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B4E16414-2A84-4C64-9601-237F4DCE5D8F}" xr6:coauthVersionLast="47" xr6:coauthVersionMax="47" xr10:uidLastSave="{00000000-0000-0000-0000-000000000000}"/>
  <bookViews>
    <workbookView xWindow="-110" yWindow="-110" windowWidth="19420" windowHeight="10300" xr2:uid="{00000000-000D-0000-FFFF-FFFF00000000}"/>
  </bookViews>
  <sheets>
    <sheet name="main" sheetId="1" r:id="rId1"/>
    <sheet name="model" sheetId="2" r:id="rId2"/>
    <sheet name="model_notes" sheetId="3" r:id="rId3"/>
    <sheet name="acquisitions" sheetId="4" r:id="rId4"/>
    <sheet name="AgServiceOilseeds" sheetId="5" r:id="rId5"/>
    <sheet name="Carbs" sheetId="6" r:id="rId6"/>
    <sheet name="Nutrition" sheetId="7" r:id="rId7"/>
    <sheet name="other"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2" l="1"/>
  <c r="I18" i="2"/>
  <c r="I17" i="2"/>
  <c r="I15" i="2"/>
  <c r="I14" i="2"/>
  <c r="I12" i="2"/>
  <c r="I11" i="2"/>
  <c r="I10" i="2"/>
  <c r="I9" i="2"/>
  <c r="E19" i="2"/>
  <c r="E18" i="2"/>
  <c r="E17" i="2"/>
  <c r="E16" i="2" s="1"/>
  <c r="E15" i="2"/>
  <c r="E13" i="2" s="1"/>
  <c r="E14" i="2"/>
  <c r="E12" i="2"/>
  <c r="E11" i="2"/>
  <c r="E10" i="2"/>
  <c r="E9" i="2"/>
  <c r="S16" i="2"/>
  <c r="S13" i="2"/>
  <c r="S8" i="2"/>
  <c r="E82" i="2"/>
  <c r="E81" i="2"/>
  <c r="E75" i="2"/>
  <c r="E74" i="2"/>
  <c r="E73" i="2"/>
  <c r="I81" i="2"/>
  <c r="I79" i="2"/>
  <c r="I78" i="2"/>
  <c r="I77" i="2"/>
  <c r="I73" i="2"/>
  <c r="I70" i="2"/>
  <c r="I69" i="2"/>
  <c r="I68" i="2"/>
  <c r="S85" i="2"/>
  <c r="N85" i="2"/>
  <c r="M85" i="2"/>
  <c r="L85" i="2"/>
  <c r="J85" i="2"/>
  <c r="H85" i="2"/>
  <c r="F85" i="2"/>
  <c r="D85" i="2"/>
  <c r="B85" i="2"/>
  <c r="T85" i="2"/>
  <c r="U85" i="2"/>
  <c r="S64" i="2"/>
  <c r="T121" i="2"/>
  <c r="U121" i="2"/>
  <c r="U126" i="2"/>
  <c r="U125" i="2"/>
  <c r="U124" i="2"/>
  <c r="U123" i="2"/>
  <c r="U118" i="2"/>
  <c r="U117" i="2"/>
  <c r="U116" i="2"/>
  <c r="U115" i="2"/>
  <c r="U113" i="2"/>
  <c r="U112" i="2"/>
  <c r="U111" i="2"/>
  <c r="U110" i="2"/>
  <c r="U109" i="2"/>
  <c r="U108" i="2"/>
  <c r="U104" i="2"/>
  <c r="U103" i="2"/>
  <c r="U102" i="2"/>
  <c r="U101" i="2"/>
  <c r="U100" i="2"/>
  <c r="U98" i="2"/>
  <c r="U97" i="2"/>
  <c r="U96" i="2"/>
  <c r="U95" i="2"/>
  <c r="U93" i="2"/>
  <c r="U92" i="2"/>
  <c r="U91" i="2"/>
  <c r="U90" i="2"/>
  <c r="U89" i="2"/>
  <c r="T52" i="2"/>
  <c r="S52" i="2"/>
  <c r="S62" i="2"/>
  <c r="S42" i="2"/>
  <c r="S39" i="2"/>
  <c r="E55" i="2"/>
  <c r="E54" i="2"/>
  <c r="E51" i="2"/>
  <c r="E50" i="2"/>
  <c r="E49" i="2"/>
  <c r="E48" i="2"/>
  <c r="E47" i="2"/>
  <c r="E46" i="2"/>
  <c r="E45" i="2"/>
  <c r="E40" i="2"/>
  <c r="E41" i="2"/>
  <c r="I55" i="2"/>
  <c r="I54" i="2"/>
  <c r="I51" i="2"/>
  <c r="I50" i="2"/>
  <c r="I49" i="2"/>
  <c r="I48" i="2"/>
  <c r="I47" i="2"/>
  <c r="I46" i="2"/>
  <c r="I45" i="2"/>
  <c r="I41" i="2"/>
  <c r="I40" i="2"/>
  <c r="D52" i="2"/>
  <c r="C52" i="2"/>
  <c r="W73" i="2"/>
  <c r="V73" i="2"/>
  <c r="T126" i="2"/>
  <c r="T125" i="2"/>
  <c r="T124" i="2"/>
  <c r="T123" i="2"/>
  <c r="T118" i="2"/>
  <c r="T117" i="2"/>
  <c r="T116" i="2"/>
  <c r="T115" i="2"/>
  <c r="T113" i="2"/>
  <c r="T112" i="2"/>
  <c r="T111" i="2"/>
  <c r="T110" i="2"/>
  <c r="T109" i="2"/>
  <c r="T108" i="2"/>
  <c r="T104" i="2"/>
  <c r="T103" i="2"/>
  <c r="T102" i="2"/>
  <c r="T101" i="2"/>
  <c r="T100" i="2"/>
  <c r="T98" i="2"/>
  <c r="T97" i="2"/>
  <c r="T96" i="2"/>
  <c r="T95" i="2"/>
  <c r="T93" i="2"/>
  <c r="T92" i="2"/>
  <c r="T91" i="2"/>
  <c r="T90" i="2"/>
  <c r="T89" i="2"/>
  <c r="U35" i="2"/>
  <c r="U34" i="2"/>
  <c r="U33" i="2"/>
  <c r="U31" i="2"/>
  <c r="U30" i="2"/>
  <c r="U28" i="2"/>
  <c r="U27" i="2"/>
  <c r="U26" i="2"/>
  <c r="U25" i="2"/>
  <c r="T35" i="2"/>
  <c r="T34" i="2"/>
  <c r="T33" i="2"/>
  <c r="T31" i="2"/>
  <c r="T30" i="2"/>
  <c r="T28" i="2"/>
  <c r="T27" i="2"/>
  <c r="T26" i="2"/>
  <c r="T25" i="2"/>
  <c r="C84" i="2"/>
  <c r="E84" i="2" s="1"/>
  <c r="C83" i="2"/>
  <c r="E83" i="2" s="1"/>
  <c r="C82" i="2"/>
  <c r="C80" i="2"/>
  <c r="E80" i="2" s="1"/>
  <c r="C79" i="2"/>
  <c r="E79" i="2" s="1"/>
  <c r="C78" i="2"/>
  <c r="E78" i="2" s="1"/>
  <c r="C77" i="2"/>
  <c r="E77" i="2" s="1"/>
  <c r="C76" i="2"/>
  <c r="E76" i="2" s="1"/>
  <c r="C75" i="2"/>
  <c r="C74" i="2"/>
  <c r="C72" i="2"/>
  <c r="E72" i="2" s="1"/>
  <c r="C71" i="2"/>
  <c r="E71" i="2" s="1"/>
  <c r="C70" i="2"/>
  <c r="E70" i="2" s="1"/>
  <c r="C69" i="2"/>
  <c r="E69" i="2" s="1"/>
  <c r="C68" i="2"/>
  <c r="E68" i="2" s="1"/>
  <c r="C67" i="2"/>
  <c r="C85" i="2" s="1"/>
  <c r="U62" i="2"/>
  <c r="T62" i="2"/>
  <c r="U37" i="2"/>
  <c r="U64" i="2" s="1"/>
  <c r="U87" i="2" s="1"/>
  <c r="T37" i="2"/>
  <c r="T64" i="2" s="1"/>
  <c r="T87" i="2" s="1"/>
  <c r="G84" i="2"/>
  <c r="I84" i="2" s="1"/>
  <c r="G83" i="2"/>
  <c r="I83" i="2" s="1"/>
  <c r="G82" i="2"/>
  <c r="I82" i="2" s="1"/>
  <c r="G80" i="2"/>
  <c r="I80" i="2" s="1"/>
  <c r="G79" i="2"/>
  <c r="G78" i="2"/>
  <c r="G77" i="2"/>
  <c r="G76" i="2"/>
  <c r="I76" i="2" s="1"/>
  <c r="G75" i="2"/>
  <c r="I75" i="2" s="1"/>
  <c r="G74" i="2"/>
  <c r="I74" i="2" s="1"/>
  <c r="G72" i="2"/>
  <c r="I72" i="2" s="1"/>
  <c r="G71" i="2"/>
  <c r="I71" i="2" s="1"/>
  <c r="G70" i="2"/>
  <c r="G69" i="2"/>
  <c r="G68" i="2"/>
  <c r="G67" i="2"/>
  <c r="I67" i="2" s="1"/>
  <c r="D39" i="2"/>
  <c r="C39" i="2"/>
  <c r="B39" i="2"/>
  <c r="I127" i="2"/>
  <c r="H127" i="2"/>
  <c r="G127" i="2"/>
  <c r="F127" i="2"/>
  <c r="E127" i="2"/>
  <c r="D127" i="2"/>
  <c r="C127" i="2"/>
  <c r="B127" i="2"/>
  <c r="I119" i="2"/>
  <c r="H119" i="2"/>
  <c r="G119" i="2"/>
  <c r="F119" i="2"/>
  <c r="E119" i="2"/>
  <c r="D119" i="2"/>
  <c r="C119" i="2"/>
  <c r="B119" i="2"/>
  <c r="I114" i="2"/>
  <c r="H114" i="2"/>
  <c r="G114" i="2"/>
  <c r="F114" i="2"/>
  <c r="E114" i="2"/>
  <c r="D114" i="2"/>
  <c r="C114" i="2"/>
  <c r="B114" i="2"/>
  <c r="I105" i="2"/>
  <c r="H105" i="2"/>
  <c r="G105" i="2"/>
  <c r="F105" i="2"/>
  <c r="E105" i="2"/>
  <c r="D105" i="2"/>
  <c r="C105" i="2"/>
  <c r="B105" i="2"/>
  <c r="I99" i="2"/>
  <c r="H99" i="2"/>
  <c r="G99" i="2"/>
  <c r="F99" i="2"/>
  <c r="E99" i="2"/>
  <c r="D99" i="2"/>
  <c r="C99" i="2"/>
  <c r="B99" i="2"/>
  <c r="I94" i="2"/>
  <c r="H94" i="2"/>
  <c r="G94" i="2"/>
  <c r="F94" i="2"/>
  <c r="E94" i="2"/>
  <c r="D94" i="2"/>
  <c r="C94" i="2"/>
  <c r="B94" i="2"/>
  <c r="H52" i="2"/>
  <c r="G52" i="2"/>
  <c r="F52" i="2"/>
  <c r="L39" i="2"/>
  <c r="K39" i="2"/>
  <c r="J39" i="2"/>
  <c r="H39" i="2"/>
  <c r="G39" i="2"/>
  <c r="F39" i="2"/>
  <c r="H42" i="2"/>
  <c r="G42" i="2"/>
  <c r="F42" i="2"/>
  <c r="D42" i="2"/>
  <c r="D43" i="2" s="1"/>
  <c r="C42" i="2"/>
  <c r="C43" i="2" s="1"/>
  <c r="B42" i="2"/>
  <c r="B43" i="2" s="1"/>
  <c r="I37" i="2"/>
  <c r="I64" i="2" s="1"/>
  <c r="I87" i="2" s="1"/>
  <c r="H37" i="2"/>
  <c r="H64" i="2" s="1"/>
  <c r="H87" i="2" s="1"/>
  <c r="G37" i="2"/>
  <c r="G64" i="2" s="1"/>
  <c r="G87" i="2" s="1"/>
  <c r="F37" i="2"/>
  <c r="F64" i="2" s="1"/>
  <c r="F87" i="2" s="1"/>
  <c r="E37" i="2"/>
  <c r="E64" i="2" s="1"/>
  <c r="E87" i="2" s="1"/>
  <c r="D37" i="2"/>
  <c r="D64" i="2" s="1"/>
  <c r="D87" i="2" s="1"/>
  <c r="C37" i="2"/>
  <c r="C64" i="2" s="1"/>
  <c r="C87" i="2" s="1"/>
  <c r="B37" i="2"/>
  <c r="B64" i="2" s="1"/>
  <c r="B87" i="2" s="1"/>
  <c r="I32" i="2"/>
  <c r="H32" i="2"/>
  <c r="G32" i="2"/>
  <c r="F32" i="2"/>
  <c r="E32" i="2"/>
  <c r="D32" i="2"/>
  <c r="C32" i="2"/>
  <c r="B32" i="2"/>
  <c r="I29" i="2"/>
  <c r="H29" i="2"/>
  <c r="G29" i="2"/>
  <c r="F29" i="2"/>
  <c r="E29" i="2"/>
  <c r="D29" i="2"/>
  <c r="C29" i="2"/>
  <c r="B29" i="2"/>
  <c r="I24" i="2"/>
  <c r="H24" i="2"/>
  <c r="H23" i="2" s="1"/>
  <c r="G24" i="2"/>
  <c r="F24" i="2"/>
  <c r="F23" i="2" s="1"/>
  <c r="E24" i="2"/>
  <c r="E23" i="2" s="1"/>
  <c r="E22" i="2" s="1"/>
  <c r="D24" i="2"/>
  <c r="C24" i="2"/>
  <c r="B24" i="2"/>
  <c r="H16" i="2"/>
  <c r="G16" i="2"/>
  <c r="F16" i="2"/>
  <c r="D16" i="2"/>
  <c r="C16" i="2"/>
  <c r="B16" i="2"/>
  <c r="H13" i="2"/>
  <c r="G13" i="2"/>
  <c r="F13" i="2"/>
  <c r="D13" i="2"/>
  <c r="C13" i="2"/>
  <c r="B13" i="2"/>
  <c r="H8" i="2"/>
  <c r="G8" i="2"/>
  <c r="F8" i="2"/>
  <c r="D8" i="2"/>
  <c r="C8" i="2"/>
  <c r="B8" i="2"/>
  <c r="L24" i="2"/>
  <c r="L29" i="2"/>
  <c r="L32" i="2"/>
  <c r="P24" i="2"/>
  <c r="O24" i="2"/>
  <c r="P29" i="2"/>
  <c r="P32" i="2"/>
  <c r="P16" i="2"/>
  <c r="P13" i="2"/>
  <c r="P8" i="2"/>
  <c r="P127" i="2"/>
  <c r="P119" i="2"/>
  <c r="P114" i="2"/>
  <c r="P105" i="2"/>
  <c r="P99" i="2"/>
  <c r="P94" i="2"/>
  <c r="P52" i="2"/>
  <c r="P42" i="2"/>
  <c r="P39" i="2"/>
  <c r="P37" i="2"/>
  <c r="P64" i="2" s="1"/>
  <c r="P87" i="2" s="1"/>
  <c r="K84" i="2"/>
  <c r="V84" i="2" s="1"/>
  <c r="K83" i="2"/>
  <c r="V83" i="2" s="1"/>
  <c r="K82" i="2"/>
  <c r="V82" i="2" s="1"/>
  <c r="K80" i="2"/>
  <c r="K79" i="2"/>
  <c r="K78" i="2"/>
  <c r="K77" i="2"/>
  <c r="K76" i="2"/>
  <c r="K75" i="2"/>
  <c r="K74" i="2"/>
  <c r="V74" i="2" s="1"/>
  <c r="K72" i="2"/>
  <c r="K71" i="2"/>
  <c r="K70" i="2"/>
  <c r="K69" i="2"/>
  <c r="K68" i="2"/>
  <c r="V68" i="2" s="1"/>
  <c r="K67" i="2"/>
  <c r="K85" i="2" s="1"/>
  <c r="O84" i="2"/>
  <c r="P84" i="2" s="1"/>
  <c r="O83" i="2"/>
  <c r="P83" i="2" s="1"/>
  <c r="O82" i="2"/>
  <c r="P82" i="2" s="1"/>
  <c r="O80" i="2"/>
  <c r="P80" i="2" s="1"/>
  <c r="O79" i="2"/>
  <c r="P79" i="2" s="1"/>
  <c r="O78" i="2"/>
  <c r="P78" i="2" s="1"/>
  <c r="W78" i="2" s="1"/>
  <c r="O77" i="2"/>
  <c r="P77" i="2" s="1"/>
  <c r="O76" i="2"/>
  <c r="P76" i="2" s="1"/>
  <c r="O75" i="2"/>
  <c r="P75" i="2" s="1"/>
  <c r="W75" i="2" s="1"/>
  <c r="O74" i="2"/>
  <c r="P74" i="2" s="1"/>
  <c r="O72" i="2"/>
  <c r="P72" i="2" s="1"/>
  <c r="O71" i="2"/>
  <c r="P71" i="2" s="1"/>
  <c r="O70" i="2"/>
  <c r="P70" i="2" s="1"/>
  <c r="O69" i="2"/>
  <c r="P69" i="2" s="1"/>
  <c r="O68" i="2"/>
  <c r="P68" i="2" s="1"/>
  <c r="W68" i="2" s="1"/>
  <c r="O67" i="2"/>
  <c r="O85" i="2" s="1"/>
  <c r="V126" i="2"/>
  <c r="V125" i="2"/>
  <c r="V124" i="2"/>
  <c r="V123" i="2"/>
  <c r="V118" i="2"/>
  <c r="V117" i="2"/>
  <c r="V116" i="2"/>
  <c r="V115" i="2"/>
  <c r="V113" i="2"/>
  <c r="V112" i="2"/>
  <c r="V111" i="2"/>
  <c r="V110" i="2"/>
  <c r="V109" i="2"/>
  <c r="V108" i="2"/>
  <c r="V104" i="2"/>
  <c r="V103" i="2"/>
  <c r="V102" i="2"/>
  <c r="V101" i="2"/>
  <c r="V100" i="2"/>
  <c r="V98" i="2"/>
  <c r="V97" i="2"/>
  <c r="V96" i="2"/>
  <c r="V95" i="2"/>
  <c r="V93" i="2"/>
  <c r="V92" i="2"/>
  <c r="V91" i="2"/>
  <c r="V90" i="2"/>
  <c r="V89" i="2"/>
  <c r="O127" i="2"/>
  <c r="O119" i="2"/>
  <c r="O114" i="2"/>
  <c r="W37" i="2"/>
  <c r="W64" i="2" s="1"/>
  <c r="W87" i="2" s="1"/>
  <c r="V37" i="2"/>
  <c r="V64" i="2" s="1"/>
  <c r="V87" i="2" s="1"/>
  <c r="R37" i="2"/>
  <c r="R64" i="2" s="1"/>
  <c r="R87" i="2" s="1"/>
  <c r="Q37" i="2"/>
  <c r="Q64" i="2" s="1"/>
  <c r="Q87" i="2" s="1"/>
  <c r="O37" i="2"/>
  <c r="O64" i="2" s="1"/>
  <c r="O87" i="2" s="1"/>
  <c r="N37" i="2"/>
  <c r="N64" i="2" s="1"/>
  <c r="N87" i="2" s="1"/>
  <c r="M37" i="2"/>
  <c r="M64" i="2" s="1"/>
  <c r="M87" i="2" s="1"/>
  <c r="L37" i="2"/>
  <c r="L64" i="2" s="1"/>
  <c r="L87" i="2" s="1"/>
  <c r="K37" i="2"/>
  <c r="K64" i="2" s="1"/>
  <c r="K87" i="2" s="1"/>
  <c r="J37" i="2"/>
  <c r="J64" i="2" s="1"/>
  <c r="J87" i="2" s="1"/>
  <c r="O105" i="2"/>
  <c r="O99" i="2"/>
  <c r="O94" i="2"/>
  <c r="O39" i="2"/>
  <c r="N39" i="2"/>
  <c r="W62" i="2"/>
  <c r="V62" i="2"/>
  <c r="W94" i="2"/>
  <c r="W55" i="2"/>
  <c r="V55" i="2"/>
  <c r="W54" i="2"/>
  <c r="V54" i="2"/>
  <c r="W51" i="2"/>
  <c r="V51" i="2"/>
  <c r="W50" i="2"/>
  <c r="V50" i="2"/>
  <c r="W49" i="2"/>
  <c r="V49" i="2"/>
  <c r="W47" i="2"/>
  <c r="V47" i="2"/>
  <c r="W46" i="2"/>
  <c r="V46" i="2"/>
  <c r="W45" i="2"/>
  <c r="V45" i="2"/>
  <c r="W41" i="2"/>
  <c r="V41" i="2"/>
  <c r="W40" i="2"/>
  <c r="V40" i="2"/>
  <c r="W35" i="2"/>
  <c r="V35" i="2"/>
  <c r="W34" i="2"/>
  <c r="V34" i="2"/>
  <c r="W33" i="2"/>
  <c r="V33" i="2"/>
  <c r="W31" i="2"/>
  <c r="V31" i="2"/>
  <c r="W30" i="2"/>
  <c r="V30" i="2"/>
  <c r="W28" i="2"/>
  <c r="V28" i="2"/>
  <c r="W27" i="2"/>
  <c r="V27" i="2"/>
  <c r="W26" i="2"/>
  <c r="V26" i="2"/>
  <c r="W25" i="2"/>
  <c r="V25" i="2"/>
  <c r="W19" i="2"/>
  <c r="V19" i="2"/>
  <c r="W18" i="2"/>
  <c r="V18" i="2"/>
  <c r="W17" i="2"/>
  <c r="V17" i="2"/>
  <c r="W15" i="2"/>
  <c r="V15" i="2"/>
  <c r="W14" i="2"/>
  <c r="V14" i="2"/>
  <c r="W12" i="2"/>
  <c r="V12" i="2"/>
  <c r="W11" i="2"/>
  <c r="V11" i="2"/>
  <c r="W10" i="2"/>
  <c r="V10" i="2"/>
  <c r="W9" i="2"/>
  <c r="W127" i="2"/>
  <c r="W119" i="2"/>
  <c r="W114" i="2"/>
  <c r="W105" i="2"/>
  <c r="W99" i="2"/>
  <c r="V9" i="2"/>
  <c r="O42" i="2"/>
  <c r="O52" i="2"/>
  <c r="O16" i="2"/>
  <c r="O13" i="2"/>
  <c r="O8" i="2"/>
  <c r="O32" i="2"/>
  <c r="O29" i="2"/>
  <c r="N32" i="2"/>
  <c r="M32" i="2"/>
  <c r="K32" i="2"/>
  <c r="J32" i="2"/>
  <c r="N16" i="2"/>
  <c r="M16" i="2"/>
  <c r="L16" i="2"/>
  <c r="K16" i="2"/>
  <c r="J16" i="2"/>
  <c r="N13" i="2"/>
  <c r="M13" i="2"/>
  <c r="L13" i="2"/>
  <c r="K13" i="2"/>
  <c r="J13" i="2"/>
  <c r="N8" i="2"/>
  <c r="M8" i="2"/>
  <c r="L8" i="2"/>
  <c r="K8" i="2"/>
  <c r="J8" i="2"/>
  <c r="N127" i="2"/>
  <c r="M127" i="2"/>
  <c r="L127" i="2"/>
  <c r="K127" i="2"/>
  <c r="N119" i="2"/>
  <c r="M119" i="2"/>
  <c r="L119" i="2"/>
  <c r="K119" i="2"/>
  <c r="N114" i="2"/>
  <c r="M114" i="2"/>
  <c r="L114" i="2"/>
  <c r="K114" i="2"/>
  <c r="N105" i="2"/>
  <c r="M105" i="2"/>
  <c r="L105" i="2"/>
  <c r="K105" i="2"/>
  <c r="N99" i="2"/>
  <c r="M99" i="2"/>
  <c r="L99" i="2"/>
  <c r="K99" i="2"/>
  <c r="N94" i="2"/>
  <c r="M94" i="2"/>
  <c r="L94" i="2"/>
  <c r="K94" i="2"/>
  <c r="J127" i="2"/>
  <c r="J119" i="2"/>
  <c r="J114" i="2"/>
  <c r="J105" i="2"/>
  <c r="J99" i="2"/>
  <c r="J94" i="2"/>
  <c r="G85" i="2" l="1"/>
  <c r="I8" i="2"/>
  <c r="E67" i="2"/>
  <c r="E85" i="2" s="1"/>
  <c r="I13" i="2"/>
  <c r="I16" i="2"/>
  <c r="E8" i="2"/>
  <c r="E7" i="2" s="1"/>
  <c r="E6" i="2" s="1"/>
  <c r="I7" i="2"/>
  <c r="S7" i="2"/>
  <c r="I85" i="2"/>
  <c r="B23" i="2"/>
  <c r="B22" i="2" s="1"/>
  <c r="U114" i="2"/>
  <c r="U29" i="2"/>
  <c r="U99" i="2"/>
  <c r="U105" i="2"/>
  <c r="U127" i="2"/>
  <c r="U119" i="2"/>
  <c r="U120" i="2" s="1"/>
  <c r="U94" i="2"/>
  <c r="S53" i="2"/>
  <c r="S56" i="2" s="1"/>
  <c r="E52" i="2"/>
  <c r="B52" i="2"/>
  <c r="B53" i="2" s="1"/>
  <c r="B56" i="2" s="1"/>
  <c r="U32" i="2"/>
  <c r="T29" i="2"/>
  <c r="I42" i="2"/>
  <c r="M39" i="2"/>
  <c r="T119" i="2"/>
  <c r="I52" i="2"/>
  <c r="T32" i="2"/>
  <c r="W39" i="2"/>
  <c r="T99" i="2"/>
  <c r="T114" i="2"/>
  <c r="U24" i="2"/>
  <c r="T105" i="2"/>
  <c r="T127" i="2"/>
  <c r="F22" i="2"/>
  <c r="T24" i="2"/>
  <c r="T16" i="2"/>
  <c r="D7" i="2"/>
  <c r="D6" i="2" s="1"/>
  <c r="T13" i="2"/>
  <c r="V39" i="2"/>
  <c r="T94" i="2"/>
  <c r="U52" i="2"/>
  <c r="H43" i="2"/>
  <c r="D53" i="2"/>
  <c r="D56" i="2" s="1"/>
  <c r="D60" i="2" s="1"/>
  <c r="U42" i="2"/>
  <c r="C7" i="2"/>
  <c r="C6" i="2" s="1"/>
  <c r="T8" i="2"/>
  <c r="U16" i="2"/>
  <c r="U13" i="2"/>
  <c r="U8" i="2"/>
  <c r="G43" i="2"/>
  <c r="G53" i="2"/>
  <c r="G56" i="2" s="1"/>
  <c r="G60" i="2" s="1"/>
  <c r="B7" i="2"/>
  <c r="B6" i="2" s="1"/>
  <c r="H53" i="2"/>
  <c r="H56" i="2" s="1"/>
  <c r="D120" i="2"/>
  <c r="D128" i="2" s="1"/>
  <c r="C120" i="2"/>
  <c r="C128" i="2" s="1"/>
  <c r="F43" i="2"/>
  <c r="C53" i="2"/>
  <c r="C56" i="2" s="1"/>
  <c r="G120" i="2"/>
  <c r="G128" i="2" s="1"/>
  <c r="H120" i="2"/>
  <c r="H128" i="2" s="1"/>
  <c r="I120" i="2"/>
  <c r="I128" i="2" s="1"/>
  <c r="F53" i="2"/>
  <c r="F56" i="2" s="1"/>
  <c r="B120" i="2"/>
  <c r="B128" i="2" s="1"/>
  <c r="G106" i="2"/>
  <c r="B106" i="2"/>
  <c r="I106" i="2"/>
  <c r="C106" i="2"/>
  <c r="D106" i="2"/>
  <c r="H106" i="2"/>
  <c r="F120" i="2"/>
  <c r="F128" i="2" s="1"/>
  <c r="F106" i="2"/>
  <c r="E120" i="2"/>
  <c r="E128" i="2" s="1"/>
  <c r="E106" i="2"/>
  <c r="C23" i="2"/>
  <c r="C22" i="2" s="1"/>
  <c r="D23" i="2"/>
  <c r="D22" i="2" s="1"/>
  <c r="I23" i="2"/>
  <c r="I22" i="2" s="1"/>
  <c r="G23" i="2"/>
  <c r="F7" i="2"/>
  <c r="G7" i="2"/>
  <c r="H7" i="2"/>
  <c r="O120" i="2"/>
  <c r="O128" i="2" s="1"/>
  <c r="P120" i="2"/>
  <c r="P128" i="2" s="1"/>
  <c r="P23" i="2"/>
  <c r="P67" i="2"/>
  <c r="V99" i="2"/>
  <c r="V70" i="2"/>
  <c r="O23" i="2"/>
  <c r="V114" i="2"/>
  <c r="L23" i="2"/>
  <c r="L22" i="2" s="1"/>
  <c r="P7" i="2"/>
  <c r="V80" i="2"/>
  <c r="V79" i="2"/>
  <c r="V77" i="2"/>
  <c r="V75" i="2"/>
  <c r="V71" i="2"/>
  <c r="V72" i="2"/>
  <c r="V76" i="2"/>
  <c r="V69" i="2"/>
  <c r="V78" i="2"/>
  <c r="V67" i="2"/>
  <c r="W83" i="2"/>
  <c r="W82" i="2"/>
  <c r="W80" i="2"/>
  <c r="W79" i="2"/>
  <c r="W77" i="2"/>
  <c r="W74" i="2"/>
  <c r="W71" i="2"/>
  <c r="W70" i="2"/>
  <c r="W69" i="2"/>
  <c r="W72" i="2"/>
  <c r="W84" i="2"/>
  <c r="W76" i="2"/>
  <c r="P106" i="2"/>
  <c r="P53" i="2"/>
  <c r="P56" i="2" s="1"/>
  <c r="V119" i="2"/>
  <c r="V105" i="2"/>
  <c r="V127" i="2"/>
  <c r="V94" i="2"/>
  <c r="W13" i="2"/>
  <c r="V32" i="2"/>
  <c r="W120" i="2"/>
  <c r="W128" i="2" s="1"/>
  <c r="W16" i="2"/>
  <c r="W24" i="2"/>
  <c r="V42" i="2"/>
  <c r="V13" i="2"/>
  <c r="W42" i="2"/>
  <c r="K120" i="2"/>
  <c r="K128" i="2" s="1"/>
  <c r="V29" i="2"/>
  <c r="W52" i="2"/>
  <c r="O106" i="2"/>
  <c r="V52" i="2"/>
  <c r="V16" i="2"/>
  <c r="W32" i="2"/>
  <c r="V24" i="2"/>
  <c r="W29" i="2"/>
  <c r="W106" i="2"/>
  <c r="V8" i="2"/>
  <c r="W8" i="2"/>
  <c r="O53" i="2"/>
  <c r="O56" i="2" s="1"/>
  <c r="O66" i="2" s="1"/>
  <c r="O7" i="2"/>
  <c r="K7" i="2"/>
  <c r="L7" i="2"/>
  <c r="J7" i="2"/>
  <c r="N7" i="2"/>
  <c r="M7" i="2"/>
  <c r="J120" i="2"/>
  <c r="J128" i="2" s="1"/>
  <c r="M120" i="2"/>
  <c r="M128" i="2" s="1"/>
  <c r="M106" i="2"/>
  <c r="L106" i="2"/>
  <c r="N120" i="2"/>
  <c r="N128" i="2" s="1"/>
  <c r="K106" i="2"/>
  <c r="L120" i="2"/>
  <c r="L128" i="2" s="1"/>
  <c r="N106" i="2"/>
  <c r="J106" i="2"/>
  <c r="V85" i="2" l="1"/>
  <c r="W67" i="2"/>
  <c r="W85" i="2" s="1"/>
  <c r="P85" i="2"/>
  <c r="M6" i="2"/>
  <c r="I6" i="2"/>
  <c r="U106" i="2"/>
  <c r="U128" i="2"/>
  <c r="S61" i="2"/>
  <c r="S66" i="2"/>
  <c r="S60" i="2"/>
  <c r="U23" i="2"/>
  <c r="T120" i="2"/>
  <c r="T128" i="2" s="1"/>
  <c r="F6" i="2"/>
  <c r="G22" i="2"/>
  <c r="I53" i="2"/>
  <c r="I56" i="2" s="1"/>
  <c r="I61" i="2" s="1"/>
  <c r="T23" i="2"/>
  <c r="T106" i="2"/>
  <c r="H22" i="2"/>
  <c r="J6" i="2"/>
  <c r="H6" i="2"/>
  <c r="L6" i="2"/>
  <c r="U53" i="2"/>
  <c r="U56" i="2" s="1"/>
  <c r="U60" i="2" s="1"/>
  <c r="T7" i="2"/>
  <c r="D61" i="2"/>
  <c r="D66" i="2"/>
  <c r="U7" i="2"/>
  <c r="G6" i="2"/>
  <c r="K6" i="2"/>
  <c r="G61" i="2"/>
  <c r="G66" i="2"/>
  <c r="F60" i="2"/>
  <c r="F61" i="2"/>
  <c r="F66" i="2"/>
  <c r="C60" i="2"/>
  <c r="C61" i="2"/>
  <c r="C66" i="2"/>
  <c r="H61" i="2"/>
  <c r="H66" i="2"/>
  <c r="H60" i="2"/>
  <c r="B66" i="2"/>
  <c r="B61" i="2"/>
  <c r="B60" i="2"/>
  <c r="V106" i="2"/>
  <c r="V120" i="2"/>
  <c r="V128" i="2" s="1"/>
  <c r="P22" i="2"/>
  <c r="P61" i="2"/>
  <c r="P66" i="2"/>
  <c r="P6" i="2"/>
  <c r="P60" i="2"/>
  <c r="W7" i="2"/>
  <c r="V7" i="2"/>
  <c r="W23" i="2"/>
  <c r="V23" i="2"/>
  <c r="W53" i="2"/>
  <c r="W56" i="2" s="1"/>
  <c r="W60" i="2" s="1"/>
  <c r="O6" i="2"/>
  <c r="V53" i="2"/>
  <c r="V56" i="2" s="1"/>
  <c r="V60" i="2" s="1"/>
  <c r="N6" i="2"/>
  <c r="O61" i="2"/>
  <c r="O60" i="2"/>
  <c r="I66" i="2" l="1"/>
  <c r="I60" i="2"/>
  <c r="U66" i="2"/>
  <c r="U61" i="2"/>
  <c r="W66" i="2"/>
  <c r="W61" i="2"/>
  <c r="V66" i="2"/>
  <c r="V61" i="2"/>
  <c r="M42" i="2"/>
  <c r="M43" i="2" s="1"/>
  <c r="L42" i="2"/>
  <c r="K42" i="2"/>
  <c r="J42" i="2"/>
  <c r="J43" i="2" s="1"/>
  <c r="M52" i="2"/>
  <c r="L52" i="2"/>
  <c r="K52" i="2"/>
  <c r="J52" i="2"/>
  <c r="N52" i="2"/>
  <c r="N42" i="2"/>
  <c r="N29" i="2"/>
  <c r="M29" i="2"/>
  <c r="K29" i="2"/>
  <c r="N24" i="2"/>
  <c r="M24" i="2"/>
  <c r="K24" i="2"/>
  <c r="J29" i="2"/>
  <c r="J24" i="2"/>
  <c r="O43" i="2" l="1"/>
  <c r="K43" i="2"/>
  <c r="P43" i="2"/>
  <c r="L43" i="2"/>
  <c r="N43" i="2"/>
  <c r="N53" i="2"/>
  <c r="N56" i="2" s="1"/>
  <c r="J53" i="2"/>
  <c r="J56" i="2" s="1"/>
  <c r="K53" i="2"/>
  <c r="K56" i="2" s="1"/>
  <c r="O57" i="2" s="1"/>
  <c r="M53" i="2"/>
  <c r="M56" i="2" s="1"/>
  <c r="L53" i="2"/>
  <c r="L56" i="2" s="1"/>
  <c r="P57" i="2" s="1"/>
  <c r="K23" i="2"/>
  <c r="N23" i="2"/>
  <c r="M23" i="2"/>
  <c r="M22" i="2" s="1"/>
  <c r="J23" i="2"/>
  <c r="J22" i="2" s="1"/>
  <c r="O22" i="2" l="1"/>
  <c r="K22" i="2"/>
  <c r="N22" i="2"/>
  <c r="N57" i="2"/>
  <c r="L66" i="2"/>
  <c r="L60" i="2"/>
  <c r="L61" i="2"/>
  <c r="M66" i="2"/>
  <c r="M60" i="2"/>
  <c r="M61" i="2"/>
  <c r="N66" i="2"/>
  <c r="N61" i="2"/>
  <c r="N60" i="2"/>
  <c r="K61" i="2"/>
  <c r="K60" i="2"/>
  <c r="K66" i="2"/>
  <c r="J61" i="2"/>
  <c r="J60" i="2"/>
  <c r="J66" i="2"/>
  <c r="T42" i="2"/>
  <c r="T53" i="2" s="1"/>
  <c r="T56" i="2" s="1"/>
  <c r="U39" i="2"/>
  <c r="I39" i="2"/>
  <c r="T39" i="2"/>
  <c r="T66" i="2" l="1"/>
  <c r="T60" i="2"/>
  <c r="T61" i="2"/>
  <c r="E42" i="2"/>
  <c r="E39" i="2"/>
  <c r="E43" i="2" l="1"/>
  <c r="E53" i="2"/>
  <c r="E56" i="2" s="1"/>
  <c r="I43" i="2"/>
  <c r="E61" i="2" l="1"/>
  <c r="E66" i="2"/>
  <c r="E60" i="2"/>
</calcChain>
</file>

<file path=xl/sharedStrings.xml><?xml version="1.0" encoding="utf-8"?>
<sst xmlns="http://schemas.openxmlformats.org/spreadsheetml/2006/main" count="369" uniqueCount="163">
  <si>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</si>
  <si>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</si>
  <si>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</si>
  <si>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</si>
  <si>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</si>
  <si>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</si>
  <si>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</si>
  <si>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</si>
  <si>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</si>
  <si>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</si>
  <si>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</si>
  <si>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</si>
  <si>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</si>
  <si>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</si>
  <si>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</si>
  <si>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</si>
  <si>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</si>
  <si>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</si>
  <si>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</si>
  <si>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</si>
  <si>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</si>
  <si>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</si>
  <si>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</si>
  <si>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</si>
  <si>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</si>
  <si>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</si>
  <si>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</si>
  <si>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</si>
  <si>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</si>
  <si>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</si>
  <si>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</si>
  <si>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</si>
  <si>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</si>
  <si>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</si>
  <si>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</si>
  <si>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</si>
  <si>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</si>
  <si>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</si>
  <si>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</si>
  <si>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</si>
  <si>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</si>
  <si>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</si>
  <si>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</si>
  <si>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</si>
  <si>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</si>
  <si>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</si>
  <si>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</si>
  <si>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</si>
  <si>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</si>
  <si>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</si>
  <si>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</si>
  <si>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</si>
  <si>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</si>
  <si>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</si>
  <si>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</si>
  <si>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</si>
  <si>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</si>
  <si>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</si>
  <si>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</si>
  <si>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</si>
  <si>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</si>
  <si>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</si>
  <si>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</si>
  <si>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</si>
  <si>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</si>
  <si>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</si>
  <si>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</si>
  <si>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</si>
  <si>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</si>
  <si>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</si>
  <si>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</si>
  <si>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</si>
  <si>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</si>
  <si>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</si>
  <si>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</si>
  <si>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</si>
  <si>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</si>
  <si>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</si>
  <si>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</si>
  <si>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</si>
  <si>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</si>
  <si>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</si>
  <si>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</si>
  <si>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</si>
  <si>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</si>
  <si>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</si>
  <si>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</si>
  <si>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</si>
  <si>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</si>
  <si>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</si>
  <si>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</si>
  <si>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</si>
  <si>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</si>
  <si>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</si>
  <si>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</si>
  <si>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</si>
  <si>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</si>
  <si>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</si>
  <si>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</si>
  <si>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</si>
  <si>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</si>
  <si>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</si>
  <si>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</si>
  <si>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</si>
  <si>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</si>
  <si>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</si>
  <si>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</si>
  <si>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</si>
  <si>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</si>
  <si>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</si>
  <si>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</si>
  <si>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Sale of commodities, service/transportation of goods, sale of products manufactured in its global processing facilities, and structured trade finance activities</t>
  </si>
  <si>
    <t xml:space="preserve">Sale of products manufactured at the company's global corn and wheat milling facilities around the world. </t>
  </si>
  <si>
    <t xml:space="preserve">Products are shipped to customers from the company's various facilities and from network of storage terminals. </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</si>
  <si>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</si>
  <si>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</si>
  <si>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</si>
  <si>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</si>
  <si>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</si>
  <si>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</si>
  <si>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</si>
  <si>
    <t>Todo:</t>
  </si>
  <si>
    <t>edible beans, formula feeds, animal health and nutrition products, pet food and treats, and other specialty food and feed ingredients.</t>
  </si>
  <si>
    <t>Sells ingredients and solutions including plant-based proteins, natural flavors, flavor systems, natural colors, emulsifiers, prebiotics, enzymes, botanical extracts</t>
  </si>
  <si>
    <t>Dive more into contracts, hedges, etc.</t>
  </si>
  <si>
    <t>Read Management discussion and analysis</t>
  </si>
  <si>
    <t>Fill in historicals</t>
  </si>
  <si>
    <t xml:space="preserve">Vantage Corn Processor: ADM, an ethanol pioneer and for years the top U.S. producer, has sought to downscale its role in the business in recent years. </t>
  </si>
  <si>
    <t>It put the dry corn mills up for sale in 2016 and, after failing to find a buyer, spun off the assets into a wholly-owned subsidiary called Vantage Corn Processors.</t>
  </si>
  <si>
    <t>In South America Origination, slower farmer selling due to a smaller crop in Mato Grosso, and higher logistics costs related to industry take-or-pay contracts led to much lower margins. North American Origination results were lower, as increased supply from Brazil and Argentina shifted export competitiveness to South American origins, and limited carries and trading opportunities in North America.</t>
  </si>
  <si>
    <t xml:space="preserve">Lower - impacts related to unplanned downtime at Decatur East, a normalizing texturants market, and higher manufacturing costs negatively impacted margins. </t>
  </si>
  <si>
    <t>Higher - year-over-year as cost optimization efforts and lower input costs supported higher margins.</t>
  </si>
  <si>
    <t>Lower - global soybean crush margins decreased due to more balanced supply and demand conditions and lower soybean oil values caused by increased imports of used cooking oil. During the quarter, there were negative mark-to-market timing impacts of approximately $15 million versus approximately $195 million of negative impacts from the same period a year ago, totaling approximately $180 million of positive impacts year-over-year.</t>
  </si>
  <si>
    <t>Lower as refining margins eased from historical levels due to increased pre-treatment capacity and higher imports of used cooking oil. Biodiesel margins were lower versus the prior year due to lower LCFS and RIN values. During the quarter, there were negative mark-to-market timing impacts in RPO of approximately $90 million versus approximately $90 million of positive timing impacts in the prior year, totaling approximately $180 million of negative impacts year-over-year.</t>
  </si>
  <si>
    <t>Higher - strong starches and sweeteners margins and higher volumes were partially offset by lower margins in the EMEA region, as well as lower domestic ethanol margins.</t>
  </si>
  <si>
    <t>Higher - strong demand for exports of ethanol supported higher margins.</t>
  </si>
  <si>
    <t>Higher Captive Insurance results due to lower claim activity. ADM Investor Services results decreased on lower interest income. unallocated corporate costs increased on higher global technology investments to support digital transformation efforts, increased legal fees, and increased securitization fees.</t>
  </si>
  <si>
    <t>Lower - primarily due to lower results in South America Origination, as slower farmer selling and higher logistics costs related to industry take-or-pay contracts led to lower margins. The prior year quarter also included $48M of insurance proceeds related to Hurricane Ida.</t>
  </si>
  <si>
    <t>Lower - Global soybean crush margins were higher, supported by strong margins in EMEA. However, higher canola seed prices due to less supply in Europe drove lower canola crush margins, leading to lower results. During the quarter, there were approximately zero mark-to-market timing impacts versus approximately $100 million of positive impacts from the same period a year ago, totaling approximately $100 million of negative net impacts versus the prior year. The current quarter also included $24 million of insurance proceeds for the partial settlement of the Decatur East and West insurance claims related to incidents in 2023.</t>
  </si>
  <si>
    <t>Lower - primarily driven by lower results in North America, as higher imports of used cooking oil and increased pre-treatment capacity drove significantly lower refining and global biodiesel margins. During the quarter, there were negative mark-to-market timing impacts in RPO of approximately $20 million versus approximately $100 million of positive timing impacts in the prior year, totaling approximately $120 million of negative net impacts year over year.</t>
  </si>
  <si>
    <t>Higher - primarily driven by strong starches and sweeteners volumes and margins, supported by high utilization rates across the network. The current quarter also included $47 million of insurance proceeds for the partial settlement of the Decatur West insurance claims related to an incident that occurred in 2023.</t>
  </si>
  <si>
    <t>Lower - driven by higher inventories and production, leading to a lower margin environment.</t>
  </si>
  <si>
    <t>Lower - results include solid performance by recent Flavors M&amp;A, lapping of non-recurring benefits in the prior year period, changes in inventory adjustments and certain other costs, including costs associated with the closure of a joint venture. The current quarter also included $25 million of insurance proceeds for the partial settlement of the Decatur East insurance claims related to an incident that occurred in 2023.</t>
  </si>
  <si>
    <t>Higher - cost optimization efforts and lower input costs supported higher margins.</t>
  </si>
  <si>
    <t>Lower - Captive insurance results from $112 million in claim settlements. Included in claim settlements were partial settlements of $96 million for the Decatur East and West insurance claims. ADM Investor Services results decreased on lower interest income.</t>
  </si>
  <si>
    <t>Q121</t>
  </si>
  <si>
    <t>Q221</t>
  </si>
  <si>
    <t>Q321</t>
  </si>
  <si>
    <t>Q421</t>
  </si>
  <si>
    <t>Q122</t>
  </si>
  <si>
    <t>Q222</t>
  </si>
  <si>
    <t>Q322</t>
  </si>
  <si>
    <t>Q422</t>
  </si>
  <si>
    <t>Loss on debt extinguishment</t>
  </si>
  <si>
    <t>Loss of debt extinguishment</t>
  </si>
  <si>
    <t>Deferred Consideration in Securitized Rec.</t>
  </si>
  <si>
    <t>main</t>
  </si>
  <si>
    <t>P</t>
  </si>
  <si>
    <t>S/O</t>
  </si>
  <si>
    <t>MC</t>
  </si>
  <si>
    <t>Debt</t>
  </si>
  <si>
    <t>EV</t>
  </si>
  <si>
    <t>Ag Services and Oilseeds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</si>
</sst>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3" fontId="0" fillId="0" borderId="0" xfId="0" applyNumberFormat="1"/>
    <xf numFmtId="3" fontId="2" fillId="0" borderId="0" xfId="0" applyNumberFormat="1" applyFont="1"/>
    <xf numFmtId="0" fontId="0" fillId="0" borderId="0" xfId="0" applyAlignment="1">
      <alignment horizontal="left"/>
    </xf>
    <xf numFmtId="0" fontId="0" fillId="0" borderId="0" xfId="0"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0" fillId="0" borderId="0" xfId="0" applyAlignment="1">
      <alignment horizontal="left" wrapText="1"/>
    </xf>
    <xf numFmtId="1" fontId="2" fillId="0" borderId="0" xfId="0" applyNumberFormat="1" applyFont="1"/>
    <xf numFmtId="1" fontId="2" fillId="0" borderId="0" xfId="0" applyNumberFormat="1" applyFont="1" applyAlignment="1">
      <alignment horizontal="center"/>
    </xf>
    <xf numFmtId="0" fontId="5" fillId="0" borderId="0" xfId="0" applyFont="1"/>
    <xf numFmtId="164" fontId="0" fillId="0" borderId="0" xfId="0" applyNumberFormat="1"/>
    <xf numFmtId="0" fontId="6" fillId="0" borderId="0" xfId="0" applyFont="1"/>
    <xf numFmtId="3" fontId="5" fillId="0" borderId="0" xfId="0" applyNumberFormat="1" applyFont="1"/>
    <xf numFmtId="3" fontId="6" fillId="0" borderId="0" xfId="0" applyNumberFormat="1" applyFont="1"/>
    <xf numFmtId="1" fontId="5" fillId="0" borderId="0" xfId="0" applyNumberFormat="1" applyFont="1"/>
    <xf numFmtId="164" fontId="6" fillId="0" borderId="0" xfId="0" applyNumberFormat="1" applyFont="1"/>
    <xf numFmtId="4" fontId="5" fillId="0" borderId="0" xfId="0" applyNumberFormat="1" applyFont="1"/>
    <xf numFmtId="4" fontId="6" fillId="0" borderId="0" xfId="0" applyNumberFormat="1" applyFont="1"/>
    <xf numFmtId="0" fontId="2" fillId="2" borderId="0" xfId="0" applyFont="1" applyFill="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34151</xdr:colOff>
      <xdr:row>1</xdr:row>
      <xdr:rowOff>45144</xdr:rowOff>
    </xdr:from>
    <xdr:to>
      <xdr:col>16</xdr:col>
      <xdr:colOff>41515</xdr:colOff>
      <xdr:row>129</xdr:row>
      <xdr:rowOff>135199</xdr:rowOff>
    </xdr:to>
    <xdr:cxnSp macro="">
      <xdr:nvCxnSpPr>
        <xdr:cNvPr id="3" name="Straight Connector 2">
          <a:extLst>
            <a:ext uri="{FF2B5EF4-FFF2-40B4-BE49-F238E27FC236}">
              <a16:creationId xmlns:a16="http://schemas.microsoft.com/office/drawing/2014/main" id="{A249B953-3E5A-2091-CD2B-57B190EB39A1}"/>
            </a:ext>
          </a:extLst>
        </xdr:cNvPr>
        <xdr:cNvCxnSpPr/>
      </xdr:nvCxnSpPr>
      <xdr:spPr>
        <a:xfrm flipH="1">
          <a:off x="11010580" y="45144"/>
          <a:ext cx="7364" cy="23131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31"/>
  <sheetViews>
    <sheetView tabSelected="1" workbookViewId="0">
      <selection activeCell="J4" sqref="J4"/>
    </sheetView>
  </sheetViews>
  <sheetFormatPr defaultRowHeight="14.5" x14ac:dyDescent="0.35"/>
  <cols>
    <col min="2" max="2" width="12.90625" customWidth="1"/>
  </cols>
  <sheetData>
    <row r="3" spans="2:10" x14ac:dyDescent="0.35">
      <c r="B3" t="s">
        <v>121</v>
      </c>
      <c r="I3" t="s">
        <v>157</v>
      </c>
      <c r="J3">
        <v>48.53</v>
      </c>
    </row>
    <row r="4" spans="2:10" x14ac:dyDescent="0.35">
      <c r="B4" t="s">
        <v>124</v>
      </c>
      <c r="I4" t="s">
        <v>158</v>
      </c>
    </row>
    <row r="5" spans="2:10" x14ac:dyDescent="0.35">
      <c r="B5" t="s">
        <v>125</v>
      </c>
      <c r="I5" t="s">
        <v>159</v>
      </c>
    </row>
    <row r="6" spans="2:10" x14ac:dyDescent="0.35">
      <c r="B6" t="s">
        <v>126</v>
      </c>
      <c r="I6" t="s">
        <v>22</v>
      </c>
    </row>
    <row r="7" spans="2:10" x14ac:dyDescent="0.35">
      <c r="I7" t="s">
        <v>160</v>
      </c>
    </row>
    <row r="8" spans="2:10" x14ac:dyDescent="0.35">
      <c r="I8" t="s">
        <v>161</v>
      </c>
    </row>
    <row r="9" spans="2:10" x14ac:dyDescent="0.35">
      <c r="B9" s="14" t="s">
        <v>110</v>
      </c>
    </row>
    <row r="10" spans="2:10" x14ac:dyDescent="0.35">
      <c r="B10" s="28" t="s">
        <v>162</v>
      </c>
    </row>
    <row r="11" spans="2:10" x14ac:dyDescent="0.35">
      <c r="B11" s="28" t="s">
        <v>31</v>
      </c>
    </row>
    <row r="12" spans="2:10" x14ac:dyDescent="0.35">
      <c r="B12" s="28" t="s">
        <v>32</v>
      </c>
    </row>
    <row r="13" spans="2:10" x14ac:dyDescent="0.35">
      <c r="B13" s="28" t="s">
        <v>19</v>
      </c>
    </row>
    <row r="15" spans="2:10" ht="14.5" customHeight="1" x14ac:dyDescent="0.35"/>
    <row r="24" spans="2:11" x14ac:dyDescent="0.35">
      <c r="B24" s="15"/>
    </row>
    <row r="31" spans="2:11" x14ac:dyDescent="0.35">
      <c r="C31" s="15"/>
      <c r="D31" s="15"/>
      <c r="E31" s="15"/>
      <c r="F31" s="15"/>
      <c r="G31" s="15"/>
      <c r="H31" s="15"/>
      <c r="I31" s="15"/>
      <c r="J31" s="15"/>
      <c r="K31" s="15"/>
    </row>
  </sheetData>
  <hyperlinks>
    <hyperlink ref="B10" location="AgServiceOilseeds!A1" display="Ag Services and Oilseeds" xr:uid="{3A4D2231-7AE3-403C-B558-60B171A2D019}"/>
    <hyperlink ref="B11" location="Carbs!A1" display="Carbohydrate Solutions" xr:uid="{A073D8B6-B3DE-44F9-833F-4516C7FEE375}"/>
    <hyperlink ref="B12" location="Nutrition!A1" display="Nutrition" xr:uid="{DBC34FE3-39BD-4400-B3A6-1431D9ED3C0C}"/>
    <hyperlink ref="B13" location="other!A1" display="Other" xr:uid="{6A2845E3-B659-49A4-83D3-E7F0A51CE0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P162"/>
  <sheetViews>
    <sheetView zoomScale="70" zoomScaleNormal="70" workbookViewId="0">
      <pane xSplit="1" topLeftCell="B1" activePane="topRight" state="frozen"/>
      <selection activeCell="A7" sqref="A7"/>
      <selection pane="topRight"/>
    </sheetView>
  </sheetViews>
  <sheetFormatPr defaultRowHeight="14.5" x14ac:dyDescent="0.35"/>
  <cols>
    <col min="1" max="1" width="37.08984375" bestFit="1" customWidth="1"/>
    <col min="2" max="4" width="6.81640625" bestFit="1" customWidth="1"/>
    <col min="5" max="5" width="8.08984375" bestFit="1" customWidth="1"/>
    <col min="6" max="9" width="7.453125" bestFit="1" customWidth="1"/>
    <col min="10" max="10" width="9.453125" bestFit="1" customWidth="1"/>
    <col min="11" max="13" width="7.453125" bestFit="1" customWidth="1"/>
    <col min="14" max="16" width="9.90625" bestFit="1" customWidth="1"/>
    <col min="21" max="21" width="8.7265625" style="20"/>
  </cols>
  <sheetData>
    <row r="1" spans="1:23" x14ac:dyDescent="0.35">
      <c r="A1" s="28" t="s">
        <v>156</v>
      </c>
    </row>
    <row r="2" spans="1:23" x14ac:dyDescent="0.35">
      <c r="A2" t="s">
        <v>0</v>
      </c>
      <c r="J2" t="s">
        <v>1</v>
      </c>
      <c r="K2" t="s">
        <v>1</v>
      </c>
      <c r="L2" t="s">
        <v>1</v>
      </c>
      <c r="M2" t="s">
        <v>1</v>
      </c>
      <c r="N2" t="s">
        <v>1</v>
      </c>
      <c r="O2" t="s">
        <v>1</v>
      </c>
      <c r="P2" t="s">
        <v>1</v>
      </c>
      <c r="R2" s="1" t="s">
        <v>2</v>
      </c>
      <c r="S2" s="2"/>
      <c r="T2" s="2"/>
      <c r="V2" t="s">
        <v>3</v>
      </c>
    </row>
    <row r="3" spans="1:23" s="3" customFormat="1" x14ac:dyDescent="0.35">
      <c r="A3" s="3" t="s">
        <v>4</v>
      </c>
      <c r="B3" s="3" t="s">
        <v>145</v>
      </c>
      <c r="C3" s="3" t="s">
        <v>146</v>
      </c>
      <c r="D3" s="3" t="s">
        <v>147</v>
      </c>
      <c r="E3" s="3" t="s">
        <v>148</v>
      </c>
      <c r="F3" s="3" t="s">
        <v>149</v>
      </c>
      <c r="G3" s="3" t="s">
        <v>150</v>
      </c>
      <c r="H3" s="3" t="s">
        <v>151</v>
      </c>
      <c r="I3" s="3" t="s">
        <v>152</v>
      </c>
      <c r="J3" s="3" t="s">
        <v>5</v>
      </c>
      <c r="K3" s="3" t="s">
        <v>6</v>
      </c>
      <c r="L3" s="3" t="s">
        <v>7</v>
      </c>
      <c r="M3" s="3" t="s">
        <v>8</v>
      </c>
      <c r="N3" s="3" t="s">
        <v>9</v>
      </c>
      <c r="O3" s="3" t="s">
        <v>10</v>
      </c>
      <c r="P3" s="3" t="s">
        <v>11</v>
      </c>
      <c r="Q3" s="3" t="s">
        <v>12</v>
      </c>
      <c r="R3" s="1" t="s">
        <v>2</v>
      </c>
      <c r="S3" s="18">
        <v>2020</v>
      </c>
      <c r="T3" s="18">
        <v>2021</v>
      </c>
      <c r="U3" s="18">
        <v>2022</v>
      </c>
      <c r="V3" s="3">
        <v>2023</v>
      </c>
      <c r="W3" s="3">
        <v>2024</v>
      </c>
    </row>
    <row r="4" spans="1:23" x14ac:dyDescent="0.35">
      <c r="J4" s="9">
        <v>45016</v>
      </c>
      <c r="N4" s="9">
        <v>45382</v>
      </c>
      <c r="O4" s="9">
        <v>45473</v>
      </c>
      <c r="P4" s="9">
        <v>45565</v>
      </c>
      <c r="R4" s="1" t="s">
        <v>2</v>
      </c>
    </row>
    <row r="5" spans="1:23" x14ac:dyDescent="0.35">
      <c r="A5" s="3" t="s">
        <v>108</v>
      </c>
      <c r="B5" s="3"/>
      <c r="C5" s="3"/>
      <c r="D5" s="3"/>
      <c r="E5" s="3"/>
      <c r="F5" s="3"/>
      <c r="G5" s="3"/>
      <c r="H5" s="3"/>
      <c r="I5" s="3"/>
      <c r="J5" s="3"/>
      <c r="K5" s="3"/>
      <c r="L5" s="3"/>
      <c r="M5" s="3"/>
      <c r="N5" s="3"/>
      <c r="O5" s="3"/>
      <c r="P5" s="3"/>
      <c r="Q5" s="3"/>
      <c r="R5" s="1" t="s">
        <v>2</v>
      </c>
    </row>
    <row r="6" spans="1:23" s="3" customFormat="1" x14ac:dyDescent="0.35">
      <c r="A6" s="3" t="s">
        <v>41</v>
      </c>
      <c r="B6" s="12" t="e">
        <f>(B7-#REF!)/#REF!</f>
        <v>#REF!</v>
      </c>
      <c r="C6" s="12" t="e">
        <f>(C7-#REF!)/#REF!</f>
        <v>#REF!</v>
      </c>
      <c r="D6" s="12" t="e">
        <f>(D7-#REF!)/#REF!</f>
        <v>#REF!</v>
      </c>
      <c r="E6" s="12" t="e">
        <f t="shared" ref="E6:M6" si="0">(E7-A7)/A7</f>
        <v>#VALUE!</v>
      </c>
      <c r="F6" s="12">
        <f t="shared" si="0"/>
        <v>0.25178637590642039</v>
      </c>
      <c r="G6" s="12">
        <f t="shared" si="0"/>
        <v>0.19008985431387942</v>
      </c>
      <c r="H6" s="12">
        <f t="shared" si="0"/>
        <v>0.21352015732546706</v>
      </c>
      <c r="I6" s="12">
        <f t="shared" si="0"/>
        <v>0.1235327240438342</v>
      </c>
      <c r="J6" s="12">
        <f t="shared" si="0"/>
        <v>1.7843551797040169E-2</v>
      </c>
      <c r="K6" s="12">
        <f t="shared" si="0"/>
        <v>-7.6748277378683477E-2</v>
      </c>
      <c r="L6" s="12">
        <f t="shared" si="0"/>
        <v>-0.12105497710975165</v>
      </c>
      <c r="M6" s="12">
        <f t="shared" si="0"/>
        <v>-1</v>
      </c>
      <c r="N6" s="12">
        <f>(N7-J7)/J7</f>
        <v>-9.2431040212695242E-2</v>
      </c>
      <c r="O6" s="12">
        <f>(O7-K7)/K7</f>
        <v>-0.1167923779277491</v>
      </c>
      <c r="P6" s="12">
        <f>(P7-L7)/L7</f>
        <v>-8.1032495966812626E-2</v>
      </c>
      <c r="R6" s="13" t="s">
        <v>2</v>
      </c>
      <c r="U6" s="18"/>
    </row>
    <row r="7" spans="1:23" x14ac:dyDescent="0.35">
      <c r="A7" s="3" t="s">
        <v>109</v>
      </c>
      <c r="B7" s="6">
        <f t="shared" ref="B7:I7" si="1">+B8+B13+B16+B19</f>
        <v>18893</v>
      </c>
      <c r="C7" s="6">
        <f t="shared" si="1"/>
        <v>22926</v>
      </c>
      <c r="D7" s="6">
        <f t="shared" si="1"/>
        <v>20340</v>
      </c>
      <c r="E7" s="6">
        <f t="shared" si="1"/>
        <v>23087</v>
      </c>
      <c r="F7" s="6">
        <f t="shared" si="1"/>
        <v>23650</v>
      </c>
      <c r="G7" s="6">
        <f t="shared" si="1"/>
        <v>27284</v>
      </c>
      <c r="H7" s="6">
        <f t="shared" si="1"/>
        <v>24683</v>
      </c>
      <c r="I7" s="6">
        <f t="shared" si="1"/>
        <v>25939</v>
      </c>
      <c r="J7" s="6">
        <f t="shared" ref="J7" si="2">+J8+J13+J16+J19</f>
        <v>24072</v>
      </c>
      <c r="K7" s="6">
        <f t="shared" ref="K7" si="3">+K8+K13+K16+K19</f>
        <v>25190</v>
      </c>
      <c r="L7" s="6">
        <f t="shared" ref="L7" si="4">+L8+L13+L16+L19</f>
        <v>21695</v>
      </c>
      <c r="M7" s="6">
        <f t="shared" ref="M7" si="5">+M8+M13+M16+M19</f>
        <v>0</v>
      </c>
      <c r="N7" s="6">
        <f>+N8+N13+N16+N19</f>
        <v>21847</v>
      </c>
      <c r="O7" s="6">
        <f>+O8+O13+O16+O19</f>
        <v>22248</v>
      </c>
      <c r="P7" s="6">
        <f>+P8+P13+P16+P19</f>
        <v>19937</v>
      </c>
      <c r="Q7" s="6"/>
      <c r="R7" s="1" t="s">
        <v>2</v>
      </c>
      <c r="S7" s="6">
        <f t="shared" ref="S7" si="6">+S8+S13+S16+S19</f>
        <v>64355</v>
      </c>
      <c r="T7" s="6">
        <f t="shared" ref="T7:U7" si="7">+T8+T13+T16+T19</f>
        <v>85246</v>
      </c>
      <c r="U7" s="21">
        <f t="shared" si="7"/>
        <v>101556</v>
      </c>
      <c r="V7" s="6">
        <f t="shared" ref="V7:W7" si="8">+V8+V13+V16+V19</f>
        <v>70957</v>
      </c>
      <c r="W7" s="6">
        <f t="shared" si="8"/>
        <v>64032</v>
      </c>
    </row>
    <row r="8" spans="1:23" x14ac:dyDescent="0.35">
      <c r="A8" s="3" t="s">
        <v>30</v>
      </c>
      <c r="B8" s="6">
        <f t="shared" ref="B8:I8" si="9">+SUM(B9:B12)</f>
        <v>15007</v>
      </c>
      <c r="C8" s="6">
        <f t="shared" si="9"/>
        <v>18271</v>
      </c>
      <c r="D8" s="6">
        <f t="shared" si="9"/>
        <v>15689</v>
      </c>
      <c r="E8" s="6">
        <f t="shared" si="9"/>
        <v>18080</v>
      </c>
      <c r="F8" s="6">
        <f t="shared" si="9"/>
        <v>18253</v>
      </c>
      <c r="G8" s="6">
        <f t="shared" si="9"/>
        <v>21429</v>
      </c>
      <c r="H8" s="6">
        <f t="shared" si="9"/>
        <v>19141</v>
      </c>
      <c r="I8" s="6">
        <f t="shared" si="9"/>
        <v>20740</v>
      </c>
      <c r="J8" s="6">
        <f>+SUM(J9:J12)</f>
        <v>18579</v>
      </c>
      <c r="K8" s="6">
        <f t="shared" ref="K8" si="10">+SUM(K9:K12)</f>
        <v>19844</v>
      </c>
      <c r="L8" s="6">
        <f t="shared" ref="L8" si="11">+SUM(L9:L12)</f>
        <v>16479</v>
      </c>
      <c r="M8" s="6">
        <f t="shared" ref="M8" si="12">+SUM(M9:M12)</f>
        <v>0</v>
      </c>
      <c r="N8" s="6">
        <f t="shared" ref="N8:O8" si="13">+SUM(N9:N12)</f>
        <v>17219</v>
      </c>
      <c r="O8" s="6">
        <f t="shared" si="13"/>
        <v>17333</v>
      </c>
      <c r="P8" s="6">
        <f t="shared" ref="P8" si="14">+SUM(P9:P12)</f>
        <v>15089</v>
      </c>
      <c r="Q8" s="6"/>
      <c r="R8" s="1" t="s">
        <v>2</v>
      </c>
      <c r="S8" s="6">
        <f t="shared" ref="S8" si="15">+SUM(S9:S12)</f>
        <v>49716</v>
      </c>
      <c r="T8" s="6">
        <f t="shared" ref="T8:U8" si="16">+SUM(T9:T12)</f>
        <v>67047</v>
      </c>
      <c r="U8" s="21">
        <f t="shared" si="16"/>
        <v>79563</v>
      </c>
      <c r="V8" s="6">
        <f t="shared" ref="V8:W8" si="17">+SUM(V9:V12)</f>
        <v>54902</v>
      </c>
      <c r="W8" s="6">
        <f t="shared" si="17"/>
        <v>49641</v>
      </c>
    </row>
    <row r="9" spans="1:23" x14ac:dyDescent="0.35">
      <c r="A9" s="8" t="s">
        <v>35</v>
      </c>
      <c r="B9" s="5">
        <v>10146</v>
      </c>
      <c r="C9" s="5">
        <v>12815</v>
      </c>
      <c r="D9" s="5">
        <v>9899</v>
      </c>
      <c r="E9" s="5">
        <f>T9-SUM(B9:D9)</f>
        <v>12157</v>
      </c>
      <c r="F9" s="5">
        <v>11847</v>
      </c>
      <c r="G9" s="5">
        <v>14333</v>
      </c>
      <c r="H9" s="5">
        <v>12537</v>
      </c>
      <c r="I9" s="5">
        <f>U9-SUM(F9:H9)</f>
        <v>14464</v>
      </c>
      <c r="J9" s="5">
        <v>11695</v>
      </c>
      <c r="K9" s="5">
        <v>13366</v>
      </c>
      <c r="L9" s="5">
        <v>10198</v>
      </c>
      <c r="M9" s="5"/>
      <c r="N9" s="5">
        <v>11197</v>
      </c>
      <c r="O9" s="5">
        <v>11746</v>
      </c>
      <c r="P9" s="5">
        <v>9653</v>
      </c>
      <c r="Q9" s="5"/>
      <c r="R9" s="1" t="s">
        <v>2</v>
      </c>
      <c r="S9" s="5">
        <v>32726</v>
      </c>
      <c r="T9" s="5">
        <v>45017</v>
      </c>
      <c r="U9" s="22">
        <v>53181</v>
      </c>
      <c r="V9" s="5">
        <f>SUM(J9:M9)</f>
        <v>35259</v>
      </c>
      <c r="W9" s="5">
        <f>SUM(N9:Q9)</f>
        <v>32596</v>
      </c>
    </row>
    <row r="10" spans="1:23" x14ac:dyDescent="0.35">
      <c r="A10" s="8" t="s">
        <v>36</v>
      </c>
      <c r="B10" s="5">
        <v>2742</v>
      </c>
      <c r="C10" s="5">
        <v>2827</v>
      </c>
      <c r="D10" s="5">
        <v>2842</v>
      </c>
      <c r="E10" s="5">
        <f t="shared" ref="E10:E19" si="18">T10-SUM(B10:D10)</f>
        <v>2957</v>
      </c>
      <c r="F10" s="5">
        <v>3222</v>
      </c>
      <c r="G10" s="5">
        <v>3362</v>
      </c>
      <c r="H10" s="5">
        <v>3220</v>
      </c>
      <c r="I10" s="5">
        <f t="shared" ref="I10:I19" si="19">U10-SUM(F10:H10)</f>
        <v>3335</v>
      </c>
      <c r="J10" s="5">
        <v>3683</v>
      </c>
      <c r="K10" s="5">
        <v>3480</v>
      </c>
      <c r="L10" s="5">
        <v>3352</v>
      </c>
      <c r="M10" s="5"/>
      <c r="N10" s="5">
        <v>3327</v>
      </c>
      <c r="O10" s="5">
        <v>2850</v>
      </c>
      <c r="P10" s="5">
        <v>2869</v>
      </c>
      <c r="Q10" s="5"/>
      <c r="R10" s="1" t="s">
        <v>2</v>
      </c>
      <c r="S10" s="5">
        <v>9593</v>
      </c>
      <c r="T10" s="5">
        <v>11368</v>
      </c>
      <c r="U10" s="22">
        <v>13139</v>
      </c>
      <c r="V10" s="5">
        <f>SUM(J10:M10)</f>
        <v>10515</v>
      </c>
      <c r="W10" s="5">
        <f>SUM(N10:Q10)</f>
        <v>9046</v>
      </c>
    </row>
    <row r="11" spans="1:23" x14ac:dyDescent="0.35">
      <c r="A11" s="8" t="s">
        <v>37</v>
      </c>
      <c r="B11" s="5">
        <v>2119</v>
      </c>
      <c r="C11" s="5">
        <v>2629</v>
      </c>
      <c r="D11" s="5">
        <v>2948</v>
      </c>
      <c r="E11" s="5">
        <f t="shared" si="18"/>
        <v>2966</v>
      </c>
      <c r="F11" s="5">
        <v>3184</v>
      </c>
      <c r="G11" s="5">
        <v>3734</v>
      </c>
      <c r="H11" s="5">
        <v>3384</v>
      </c>
      <c r="I11" s="5">
        <f t="shared" si="19"/>
        <v>2941</v>
      </c>
      <c r="J11" s="5">
        <v>3201</v>
      </c>
      <c r="K11" s="5">
        <v>2998</v>
      </c>
      <c r="L11" s="5">
        <v>2929</v>
      </c>
      <c r="M11" s="5"/>
      <c r="N11" s="5">
        <v>2695</v>
      </c>
      <c r="O11" s="5">
        <v>2737</v>
      </c>
      <c r="P11" s="5">
        <v>2567</v>
      </c>
      <c r="Q11" s="5"/>
      <c r="R11" s="1" t="s">
        <v>2</v>
      </c>
      <c r="S11" s="5">
        <v>7397</v>
      </c>
      <c r="T11" s="5">
        <v>10662</v>
      </c>
      <c r="U11" s="22">
        <v>13243</v>
      </c>
      <c r="V11" s="5">
        <f>SUM(J11:M11)</f>
        <v>9128</v>
      </c>
      <c r="W11" s="5">
        <f>SUM(N11:Q11)</f>
        <v>7999</v>
      </c>
    </row>
    <row r="12" spans="1:23" x14ac:dyDescent="0.35">
      <c r="A12" s="8" t="s">
        <v>34</v>
      </c>
      <c r="B12" s="5"/>
      <c r="C12" s="5"/>
      <c r="D12" s="5"/>
      <c r="E12" s="5">
        <f t="shared" si="18"/>
        <v>0</v>
      </c>
      <c r="F12" s="5"/>
      <c r="G12" s="5"/>
      <c r="H12" s="5"/>
      <c r="I12" s="5">
        <f t="shared" si="19"/>
        <v>0</v>
      </c>
      <c r="J12" s="5"/>
      <c r="K12" s="5"/>
      <c r="L12" s="5"/>
      <c r="M12" s="5"/>
      <c r="N12" s="5"/>
      <c r="O12" s="5"/>
      <c r="P12" s="5"/>
      <c r="Q12" s="5"/>
      <c r="R12" s="1" t="s">
        <v>2</v>
      </c>
      <c r="S12" s="5"/>
      <c r="T12" s="5">
        <v>0</v>
      </c>
      <c r="U12" s="22">
        <v>0</v>
      </c>
      <c r="V12" s="5">
        <f>SUM(J12:M12)</f>
        <v>0</v>
      </c>
      <c r="W12" s="5">
        <f>SUM(N12:Q12)</f>
        <v>0</v>
      </c>
    </row>
    <row r="13" spans="1:23" x14ac:dyDescent="0.35">
      <c r="A13" s="3" t="s">
        <v>31</v>
      </c>
      <c r="B13" s="6">
        <f t="shared" ref="B13:I13" si="20">SUM(B14:B15)</f>
        <v>2223</v>
      </c>
      <c r="C13" s="6">
        <f t="shared" si="20"/>
        <v>2820</v>
      </c>
      <c r="D13" s="6">
        <f t="shared" si="20"/>
        <v>2866</v>
      </c>
      <c r="E13" s="6">
        <f t="shared" si="20"/>
        <v>3201</v>
      </c>
      <c r="F13" s="6">
        <f t="shared" si="20"/>
        <v>3366</v>
      </c>
      <c r="G13" s="6">
        <f t="shared" si="20"/>
        <v>3751</v>
      </c>
      <c r="H13" s="6">
        <f t="shared" si="20"/>
        <v>3581</v>
      </c>
      <c r="I13" s="6">
        <f t="shared" si="20"/>
        <v>3263</v>
      </c>
      <c r="J13" s="6">
        <f>SUM(J14:J15)</f>
        <v>3537</v>
      </c>
      <c r="K13" s="6">
        <f t="shared" ref="K13" si="21">SUM(K14:K15)</f>
        <v>3381</v>
      </c>
      <c r="L13" s="6">
        <f t="shared" ref="L13" si="22">SUM(L14:L15)</f>
        <v>3325</v>
      </c>
      <c r="M13" s="6">
        <f t="shared" ref="M13" si="23">SUM(M14:M15)</f>
        <v>0</v>
      </c>
      <c r="N13" s="6">
        <f t="shared" ref="N13:O13" si="24">SUM(N14:N15)</f>
        <v>2683</v>
      </c>
      <c r="O13" s="6">
        <f t="shared" si="24"/>
        <v>2894</v>
      </c>
      <c r="P13" s="6">
        <f t="shared" ref="P13" si="25">SUM(P14:P15)</f>
        <v>2908</v>
      </c>
      <c r="Q13" s="6"/>
      <c r="R13" s="1" t="s">
        <v>2</v>
      </c>
      <c r="S13" s="6">
        <f t="shared" ref="S13" si="26">SUM(S14:S15)</f>
        <v>8472</v>
      </c>
      <c r="T13" s="6">
        <f t="shared" ref="T13:U13" si="27">SUM(T14:T15)</f>
        <v>11110</v>
      </c>
      <c r="U13" s="21">
        <f t="shared" si="27"/>
        <v>13961</v>
      </c>
      <c r="V13" s="6">
        <f t="shared" ref="V13:W13" si="28">SUM(V14:V15)</f>
        <v>10243</v>
      </c>
      <c r="W13" s="6">
        <f t="shared" si="28"/>
        <v>8485</v>
      </c>
    </row>
    <row r="14" spans="1:23" x14ac:dyDescent="0.35">
      <c r="A14" s="8" t="s">
        <v>33</v>
      </c>
      <c r="B14" s="5">
        <v>1745</v>
      </c>
      <c r="C14" s="5">
        <v>1846</v>
      </c>
      <c r="D14" s="5">
        <v>1972</v>
      </c>
      <c r="E14" s="5">
        <f t="shared" si="18"/>
        <v>2048</v>
      </c>
      <c r="F14" s="5">
        <v>2498</v>
      </c>
      <c r="G14" s="5">
        <v>2519</v>
      </c>
      <c r="H14" s="5">
        <v>2680</v>
      </c>
      <c r="I14" s="5">
        <f t="shared" si="19"/>
        <v>2554</v>
      </c>
      <c r="J14" s="5">
        <v>2737</v>
      </c>
      <c r="K14" s="5">
        <v>2475</v>
      </c>
      <c r="L14" s="5">
        <v>2448</v>
      </c>
      <c r="M14" s="5"/>
      <c r="N14" s="5">
        <v>2156</v>
      </c>
      <c r="O14" s="5">
        <v>2211</v>
      </c>
      <c r="P14" s="5">
        <v>2192</v>
      </c>
      <c r="Q14" s="5"/>
      <c r="R14" s="1" t="s">
        <v>2</v>
      </c>
      <c r="S14" s="5">
        <v>6387</v>
      </c>
      <c r="T14" s="5">
        <v>7611</v>
      </c>
      <c r="U14" s="22">
        <v>10251</v>
      </c>
      <c r="V14" s="5">
        <f>SUM(J14:M14)</f>
        <v>7660</v>
      </c>
      <c r="W14" s="5">
        <f>SUM(N14:Q14)</f>
        <v>6559</v>
      </c>
    </row>
    <row r="15" spans="1:23" x14ac:dyDescent="0.35">
      <c r="A15" s="7" t="s">
        <v>40</v>
      </c>
      <c r="B15" s="5">
        <v>478</v>
      </c>
      <c r="C15" s="5">
        <v>974</v>
      </c>
      <c r="D15" s="5">
        <v>894</v>
      </c>
      <c r="E15" s="5">
        <f t="shared" si="18"/>
        <v>1153</v>
      </c>
      <c r="F15" s="5">
        <v>868</v>
      </c>
      <c r="G15" s="5">
        <v>1232</v>
      </c>
      <c r="H15" s="5">
        <v>901</v>
      </c>
      <c r="I15" s="5">
        <f t="shared" si="19"/>
        <v>709</v>
      </c>
      <c r="J15" s="5">
        <v>800</v>
      </c>
      <c r="K15" s="5">
        <v>906</v>
      </c>
      <c r="L15" s="5">
        <v>877</v>
      </c>
      <c r="M15" s="5"/>
      <c r="N15" s="5">
        <v>527</v>
      </c>
      <c r="O15" s="5">
        <v>683</v>
      </c>
      <c r="P15" s="5">
        <v>716</v>
      </c>
      <c r="Q15" s="5"/>
      <c r="R15" s="1" t="s">
        <v>2</v>
      </c>
      <c r="S15" s="5">
        <v>2085</v>
      </c>
      <c r="T15" s="5">
        <v>3499</v>
      </c>
      <c r="U15" s="22">
        <v>3710</v>
      </c>
      <c r="V15" s="5">
        <f>SUM(J15:M15)</f>
        <v>2583</v>
      </c>
      <c r="W15" s="5">
        <f>SUM(N15:Q15)</f>
        <v>1926</v>
      </c>
    </row>
    <row r="16" spans="1:23" x14ac:dyDescent="0.35">
      <c r="A16" s="3" t="s">
        <v>32</v>
      </c>
      <c r="B16" s="6">
        <f t="shared" ref="B16:I16" si="29">SUM(B17:B18)</f>
        <v>1563</v>
      </c>
      <c r="C16" s="6">
        <f t="shared" si="29"/>
        <v>1733</v>
      </c>
      <c r="D16" s="6">
        <f t="shared" si="29"/>
        <v>1697</v>
      </c>
      <c r="E16" s="6">
        <f t="shared" si="29"/>
        <v>1716</v>
      </c>
      <c r="F16" s="6">
        <f t="shared" si="29"/>
        <v>1924</v>
      </c>
      <c r="G16" s="6">
        <f t="shared" si="29"/>
        <v>2003</v>
      </c>
      <c r="H16" s="6">
        <f t="shared" si="29"/>
        <v>1864</v>
      </c>
      <c r="I16" s="6">
        <f t="shared" si="29"/>
        <v>1845</v>
      </c>
      <c r="J16" s="6">
        <f>SUM(J17:J18)</f>
        <v>1853</v>
      </c>
      <c r="K16" s="6">
        <f t="shared" ref="K16" si="30">SUM(K17:K18)</f>
        <v>1853</v>
      </c>
      <c r="L16" s="6">
        <f t="shared" ref="L16" si="31">SUM(L17:L18)</f>
        <v>1784</v>
      </c>
      <c r="M16" s="6">
        <f t="shared" ref="M16" si="32">SUM(M17:M18)</f>
        <v>0</v>
      </c>
      <c r="N16" s="6">
        <f t="shared" ref="N16:O16" si="33">SUM(N17:N18)</f>
        <v>1836</v>
      </c>
      <c r="O16" s="6">
        <f t="shared" si="33"/>
        <v>1908</v>
      </c>
      <c r="P16" s="6">
        <f t="shared" ref="P16" si="34">SUM(P17:P18)</f>
        <v>1831</v>
      </c>
      <c r="Q16" s="6"/>
      <c r="R16" s="1" t="s">
        <v>2</v>
      </c>
      <c r="S16" s="6">
        <f t="shared" ref="S16" si="35">SUM(S17:S18)</f>
        <v>5800</v>
      </c>
      <c r="T16" s="6">
        <f t="shared" ref="T16:U16" si="36">SUM(T17:T18)</f>
        <v>6709</v>
      </c>
      <c r="U16" s="21">
        <f t="shared" si="36"/>
        <v>7636</v>
      </c>
      <c r="V16" s="6">
        <f t="shared" ref="V16:W16" si="37">SUM(V17:V18)</f>
        <v>5490</v>
      </c>
      <c r="W16" s="6">
        <f t="shared" si="37"/>
        <v>5575</v>
      </c>
    </row>
    <row r="17" spans="1:23" x14ac:dyDescent="0.35">
      <c r="A17" s="8" t="s">
        <v>38</v>
      </c>
      <c r="B17" s="5">
        <v>754</v>
      </c>
      <c r="C17" s="5">
        <v>848</v>
      </c>
      <c r="D17" s="5">
        <v>808</v>
      </c>
      <c r="E17" s="5">
        <f t="shared" si="18"/>
        <v>776</v>
      </c>
      <c r="F17" s="5">
        <v>958</v>
      </c>
      <c r="G17" s="5">
        <v>1020</v>
      </c>
      <c r="H17" s="5">
        <v>906</v>
      </c>
      <c r="I17" s="5">
        <f t="shared" si="19"/>
        <v>885</v>
      </c>
      <c r="J17" s="5">
        <v>936</v>
      </c>
      <c r="K17" s="5">
        <v>966</v>
      </c>
      <c r="L17" s="5">
        <v>900</v>
      </c>
      <c r="M17" s="5"/>
      <c r="N17" s="5">
        <v>964</v>
      </c>
      <c r="O17" s="5">
        <v>1061</v>
      </c>
      <c r="P17" s="5">
        <v>1004</v>
      </c>
      <c r="Q17" s="5"/>
      <c r="R17" s="1" t="s">
        <v>2</v>
      </c>
      <c r="S17" s="5">
        <v>2812</v>
      </c>
      <c r="T17" s="5">
        <v>3186</v>
      </c>
      <c r="U17" s="22">
        <v>3769</v>
      </c>
      <c r="V17" s="5">
        <f>SUM(J17:M17)</f>
        <v>2802</v>
      </c>
      <c r="W17" s="5">
        <f>SUM(N17:Q17)</f>
        <v>3029</v>
      </c>
    </row>
    <row r="18" spans="1:23" x14ac:dyDescent="0.35">
      <c r="A18" s="8" t="s">
        <v>39</v>
      </c>
      <c r="B18" s="5">
        <v>809</v>
      </c>
      <c r="C18" s="5">
        <v>885</v>
      </c>
      <c r="D18" s="5">
        <v>889</v>
      </c>
      <c r="E18" s="5">
        <f t="shared" si="18"/>
        <v>940</v>
      </c>
      <c r="F18" s="5">
        <v>966</v>
      </c>
      <c r="G18" s="5">
        <v>983</v>
      </c>
      <c r="H18" s="5">
        <v>958</v>
      </c>
      <c r="I18" s="5">
        <f t="shared" si="19"/>
        <v>960</v>
      </c>
      <c r="J18" s="5">
        <v>917</v>
      </c>
      <c r="K18" s="5">
        <v>887</v>
      </c>
      <c r="L18" s="5">
        <v>884</v>
      </c>
      <c r="M18" s="5"/>
      <c r="N18" s="5">
        <v>872</v>
      </c>
      <c r="O18" s="5">
        <v>847</v>
      </c>
      <c r="P18" s="5">
        <v>827</v>
      </c>
      <c r="Q18" s="5"/>
      <c r="R18" s="1" t="s">
        <v>2</v>
      </c>
      <c r="S18" s="5">
        <v>2988</v>
      </c>
      <c r="T18" s="5">
        <v>3523</v>
      </c>
      <c r="U18" s="22">
        <v>3867</v>
      </c>
      <c r="V18" s="5">
        <f>SUM(J18:M18)</f>
        <v>2688</v>
      </c>
      <c r="W18" s="5">
        <f>SUM(N18:Q18)</f>
        <v>2546</v>
      </c>
    </row>
    <row r="19" spans="1:23" x14ac:dyDescent="0.35">
      <c r="A19" s="3" t="s">
        <v>19</v>
      </c>
      <c r="B19" s="5">
        <v>100</v>
      </c>
      <c r="C19" s="5">
        <v>102</v>
      </c>
      <c r="D19" s="5">
        <v>88</v>
      </c>
      <c r="E19" s="5">
        <f t="shared" si="18"/>
        <v>90</v>
      </c>
      <c r="F19" s="5">
        <v>107</v>
      </c>
      <c r="G19" s="5">
        <v>101</v>
      </c>
      <c r="H19" s="5">
        <v>97</v>
      </c>
      <c r="I19" s="5">
        <f t="shared" si="19"/>
        <v>91</v>
      </c>
      <c r="J19" s="5">
        <v>103</v>
      </c>
      <c r="K19" s="5">
        <v>112</v>
      </c>
      <c r="L19" s="5">
        <v>107</v>
      </c>
      <c r="M19" s="5"/>
      <c r="N19" s="5">
        <v>109</v>
      </c>
      <c r="O19" s="5">
        <v>113</v>
      </c>
      <c r="P19" s="5">
        <v>109</v>
      </c>
      <c r="Q19" s="5"/>
      <c r="R19" s="1" t="s">
        <v>2</v>
      </c>
      <c r="S19" s="5">
        <v>367</v>
      </c>
      <c r="T19" s="5">
        <v>380</v>
      </c>
      <c r="U19" s="22">
        <v>396</v>
      </c>
      <c r="V19" s="5">
        <f>SUM(J19:M19)</f>
        <v>322</v>
      </c>
      <c r="W19" s="5">
        <f>SUM(N19:Q19)</f>
        <v>331</v>
      </c>
    </row>
    <row r="20" spans="1:23" x14ac:dyDescent="0.35">
      <c r="A20" s="3"/>
      <c r="B20" s="6"/>
      <c r="C20" s="6"/>
      <c r="D20" s="6"/>
      <c r="E20" s="6"/>
      <c r="F20" s="6"/>
      <c r="G20" s="6"/>
      <c r="H20" s="6"/>
      <c r="I20" s="6"/>
      <c r="J20" s="6"/>
      <c r="K20" s="6"/>
      <c r="L20" s="6"/>
      <c r="M20" s="6"/>
      <c r="N20" s="6"/>
      <c r="O20" s="6"/>
      <c r="P20" s="6"/>
      <c r="Q20" s="6"/>
      <c r="R20" s="1" t="s">
        <v>2</v>
      </c>
      <c r="V20" s="6"/>
      <c r="W20" s="6"/>
    </row>
    <row r="21" spans="1:23" s="3" customFormat="1" x14ac:dyDescent="0.35">
      <c r="A21" s="3" t="s">
        <v>52</v>
      </c>
      <c r="P21" s="12"/>
      <c r="R21" s="1" t="s">
        <v>2</v>
      </c>
      <c r="S21" s="4"/>
      <c r="T21" s="4"/>
      <c r="U21" s="18"/>
    </row>
    <row r="22" spans="1:23" s="3" customFormat="1" x14ac:dyDescent="0.35">
      <c r="A22" s="3" t="s">
        <v>41</v>
      </c>
      <c r="B22" s="12" t="e">
        <f>(B23-#REF!)/#REF!</f>
        <v>#REF!</v>
      </c>
      <c r="C22" s="12" t="e">
        <f>(C23-#REF!)/#REF!</f>
        <v>#REF!</v>
      </c>
      <c r="D22" s="12" t="e">
        <f>(D23-#REF!)/#REF!</f>
        <v>#REF!</v>
      </c>
      <c r="E22" s="12" t="e">
        <f t="shared" ref="E22:M22" si="38">(E23-A23)/A23</f>
        <v>#VALUE!</v>
      </c>
      <c r="F22" s="12" t="e">
        <f t="shared" si="38"/>
        <v>#DIV/0!</v>
      </c>
      <c r="G22" s="12" t="e">
        <f t="shared" si="38"/>
        <v>#DIV/0!</v>
      </c>
      <c r="H22" s="12" t="e">
        <f t="shared" si="38"/>
        <v>#DIV/0!</v>
      </c>
      <c r="I22" s="12" t="e">
        <f t="shared" si="38"/>
        <v>#DIV/0!</v>
      </c>
      <c r="J22" s="12" t="e">
        <f t="shared" si="38"/>
        <v>#DIV/0!</v>
      </c>
      <c r="K22" s="12" t="e">
        <f t="shared" si="38"/>
        <v>#DIV/0!</v>
      </c>
      <c r="L22" s="12" t="e">
        <f t="shared" si="38"/>
        <v>#DIV/0!</v>
      </c>
      <c r="M22" s="12" t="e">
        <f t="shared" si="38"/>
        <v>#DIV/0!</v>
      </c>
      <c r="N22" s="12">
        <f>(N23-J23)/J23</f>
        <v>-0.23652173913043478</v>
      </c>
      <c r="O22" s="12">
        <f>(O23-K23)/K23</f>
        <v>-0.37285012285012287</v>
      </c>
      <c r="P22" s="12">
        <f>(P23-L23)/L23</f>
        <v>-0.29460580912863071</v>
      </c>
      <c r="R22" s="13" t="s">
        <v>2</v>
      </c>
      <c r="U22" s="18"/>
    </row>
    <row r="23" spans="1:23" s="3" customFormat="1" x14ac:dyDescent="0.35">
      <c r="A23" s="3" t="s">
        <v>53</v>
      </c>
      <c r="B23" s="6">
        <f t="shared" ref="B23:I23" si="39">+B24+B29+B32+B35</f>
        <v>0</v>
      </c>
      <c r="C23" s="6">
        <f t="shared" si="39"/>
        <v>0</v>
      </c>
      <c r="D23" s="6">
        <f t="shared" si="39"/>
        <v>0</v>
      </c>
      <c r="E23" s="6">
        <f t="shared" si="39"/>
        <v>0</v>
      </c>
      <c r="F23" s="6">
        <f t="shared" si="39"/>
        <v>0</v>
      </c>
      <c r="G23" s="6">
        <f t="shared" si="39"/>
        <v>0</v>
      </c>
      <c r="H23" s="6">
        <f t="shared" si="39"/>
        <v>0</v>
      </c>
      <c r="I23" s="6">
        <f t="shared" si="39"/>
        <v>0</v>
      </c>
      <c r="J23" s="6">
        <f t="shared" ref="J23:M23" si="40">+J24+J29+J32+J35</f>
        <v>1725</v>
      </c>
      <c r="K23" s="6">
        <f t="shared" si="40"/>
        <v>1628</v>
      </c>
      <c r="L23" s="6">
        <f t="shared" ref="L23" si="41">+L24+L29+L32+L35</f>
        <v>1446</v>
      </c>
      <c r="M23" s="6">
        <f t="shared" si="40"/>
        <v>0</v>
      </c>
      <c r="N23" s="6">
        <f>+N24+N29+N32+N35</f>
        <v>1317</v>
      </c>
      <c r="O23" s="6">
        <f>+O24+O29+O32+O35</f>
        <v>1021</v>
      </c>
      <c r="P23" s="6">
        <f>+P24+P29+P32+P35</f>
        <v>1020</v>
      </c>
      <c r="Q23" s="6"/>
      <c r="R23" s="1" t="s">
        <v>2</v>
      </c>
      <c r="S23" s="6"/>
      <c r="T23" s="6">
        <f t="shared" ref="T23:U23" si="42">+T24+T29+T32+T35</f>
        <v>0</v>
      </c>
      <c r="U23" s="21">
        <f t="shared" si="42"/>
        <v>0</v>
      </c>
      <c r="V23" s="6">
        <f t="shared" ref="V23:W23" si="43">+V24+V29+V32+V35</f>
        <v>4799</v>
      </c>
      <c r="W23" s="6">
        <f t="shared" si="43"/>
        <v>3358</v>
      </c>
    </row>
    <row r="24" spans="1:23" s="3" customFormat="1" x14ac:dyDescent="0.35">
      <c r="A24" s="3" t="s">
        <v>30</v>
      </c>
      <c r="B24" s="6">
        <f t="shared" ref="B24:I24" si="44">+SUM(B25:B28)</f>
        <v>0</v>
      </c>
      <c r="C24" s="6">
        <f t="shared" si="44"/>
        <v>0</v>
      </c>
      <c r="D24" s="6">
        <f t="shared" si="44"/>
        <v>0</v>
      </c>
      <c r="E24" s="6">
        <f t="shared" si="44"/>
        <v>0</v>
      </c>
      <c r="F24" s="6">
        <f t="shared" si="44"/>
        <v>0</v>
      </c>
      <c r="G24" s="6">
        <f t="shared" si="44"/>
        <v>0</v>
      </c>
      <c r="H24" s="6">
        <f t="shared" si="44"/>
        <v>0</v>
      </c>
      <c r="I24" s="6">
        <f t="shared" si="44"/>
        <v>0</v>
      </c>
      <c r="J24" s="6">
        <f>+SUM(J25:J28)</f>
        <v>1211</v>
      </c>
      <c r="K24" s="6">
        <f t="shared" ref="K24:N24" si="45">+SUM(K25:K28)</f>
        <v>1054</v>
      </c>
      <c r="L24" s="6">
        <f t="shared" ref="L24" si="46">+SUM(L25:L28)</f>
        <v>848</v>
      </c>
      <c r="M24" s="6">
        <f t="shared" si="45"/>
        <v>0</v>
      </c>
      <c r="N24" s="6">
        <f t="shared" si="45"/>
        <v>864</v>
      </c>
      <c r="O24" s="6">
        <f t="shared" ref="O24:P24" si="47">+SUM(O25:O28)</f>
        <v>459</v>
      </c>
      <c r="P24" s="6">
        <f t="shared" si="47"/>
        <v>480</v>
      </c>
      <c r="Q24" s="6"/>
      <c r="R24" s="1" t="s">
        <v>2</v>
      </c>
      <c r="S24" s="6"/>
      <c r="T24" s="6">
        <f t="shared" ref="T24:U24" si="48">+SUM(T25:T28)</f>
        <v>0</v>
      </c>
      <c r="U24" s="21">
        <f t="shared" si="48"/>
        <v>0</v>
      </c>
      <c r="V24" s="6">
        <f t="shared" ref="V24:W24" si="49">+SUM(V25:V28)</f>
        <v>3113</v>
      </c>
      <c r="W24" s="6">
        <f t="shared" si="49"/>
        <v>1803</v>
      </c>
    </row>
    <row r="25" spans="1:23" x14ac:dyDescent="0.35">
      <c r="A25" s="8" t="s">
        <v>35</v>
      </c>
      <c r="B25" s="5"/>
      <c r="C25" s="5"/>
      <c r="D25" s="5"/>
      <c r="E25" s="5"/>
      <c r="F25" s="5"/>
      <c r="G25" s="5"/>
      <c r="H25" s="5"/>
      <c r="I25" s="5"/>
      <c r="J25" s="5">
        <v>348</v>
      </c>
      <c r="K25" s="5">
        <v>380</v>
      </c>
      <c r="L25">
        <v>226</v>
      </c>
      <c r="M25" s="5"/>
      <c r="N25" s="5">
        <v>232</v>
      </c>
      <c r="O25" s="5">
        <v>122</v>
      </c>
      <c r="P25" s="5">
        <v>107</v>
      </c>
      <c r="Q25" s="5"/>
      <c r="R25" s="1" t="s">
        <v>2</v>
      </c>
      <c r="S25" s="5"/>
      <c r="T25" s="5">
        <f>SUM(B25:E25)</f>
        <v>0</v>
      </c>
      <c r="U25" s="22">
        <f>SUM(F25:I25)</f>
        <v>0</v>
      </c>
      <c r="V25" s="5">
        <f>SUM(J25:M25)</f>
        <v>954</v>
      </c>
      <c r="W25" s="5">
        <f>SUM(N25:Q25)</f>
        <v>461</v>
      </c>
    </row>
    <row r="26" spans="1:23" x14ac:dyDescent="0.35">
      <c r="A26" s="8" t="s">
        <v>36</v>
      </c>
      <c r="B26" s="5"/>
      <c r="C26" s="5"/>
      <c r="D26" s="5"/>
      <c r="E26" s="5"/>
      <c r="F26" s="5"/>
      <c r="G26" s="5"/>
      <c r="H26" s="5"/>
      <c r="I26" s="5"/>
      <c r="J26" s="5">
        <v>427</v>
      </c>
      <c r="K26" s="5">
        <v>224</v>
      </c>
      <c r="L26">
        <v>250</v>
      </c>
      <c r="M26" s="5"/>
      <c r="N26" s="5">
        <v>313</v>
      </c>
      <c r="O26" s="5">
        <v>132</v>
      </c>
      <c r="P26" s="5">
        <v>187</v>
      </c>
      <c r="Q26" s="5"/>
      <c r="R26" s="1" t="s">
        <v>2</v>
      </c>
      <c r="S26" s="5"/>
      <c r="T26" s="5">
        <f>SUM(B26:E26)</f>
        <v>0</v>
      </c>
      <c r="U26" s="22">
        <f>SUM(F26:I26)</f>
        <v>0</v>
      </c>
      <c r="V26" s="5">
        <f>SUM(J26:M26)</f>
        <v>901</v>
      </c>
      <c r="W26" s="5">
        <f>SUM(N26:Q26)</f>
        <v>632</v>
      </c>
    </row>
    <row r="27" spans="1:23" x14ac:dyDescent="0.35">
      <c r="A27" s="8" t="s">
        <v>37</v>
      </c>
      <c r="B27" s="5"/>
      <c r="C27" s="5"/>
      <c r="D27" s="5"/>
      <c r="E27" s="5"/>
      <c r="F27" s="5"/>
      <c r="G27" s="5"/>
      <c r="H27" s="5"/>
      <c r="I27" s="5"/>
      <c r="J27" s="5">
        <v>327</v>
      </c>
      <c r="K27" s="5">
        <v>362</v>
      </c>
      <c r="L27">
        <v>337</v>
      </c>
      <c r="M27" s="5"/>
      <c r="N27" s="5">
        <v>170</v>
      </c>
      <c r="O27" s="5">
        <v>137</v>
      </c>
      <c r="P27" s="5">
        <v>124</v>
      </c>
      <c r="Q27" s="5"/>
      <c r="R27" s="1" t="s">
        <v>2</v>
      </c>
      <c r="S27" s="5"/>
      <c r="T27" s="5">
        <f>SUM(B27:E27)</f>
        <v>0</v>
      </c>
      <c r="U27" s="22">
        <f>SUM(F27:I27)</f>
        <v>0</v>
      </c>
      <c r="V27" s="5">
        <f>SUM(J27:M27)</f>
        <v>1026</v>
      </c>
      <c r="W27" s="5">
        <f>SUM(N27:Q27)</f>
        <v>431</v>
      </c>
    </row>
    <row r="28" spans="1:23" x14ac:dyDescent="0.35">
      <c r="A28" s="8" t="s">
        <v>34</v>
      </c>
      <c r="B28" s="5"/>
      <c r="C28" s="5"/>
      <c r="D28" s="5"/>
      <c r="E28" s="5"/>
      <c r="F28" s="5"/>
      <c r="G28" s="5"/>
      <c r="H28" s="5"/>
      <c r="I28" s="5"/>
      <c r="J28" s="5">
        <v>109</v>
      </c>
      <c r="K28" s="5">
        <v>88</v>
      </c>
      <c r="L28">
        <v>35</v>
      </c>
      <c r="M28" s="5"/>
      <c r="N28" s="5">
        <v>149</v>
      </c>
      <c r="O28" s="5">
        <v>68</v>
      </c>
      <c r="P28" s="5">
        <v>62</v>
      </c>
      <c r="Q28" s="5"/>
      <c r="R28" s="1" t="s">
        <v>2</v>
      </c>
      <c r="S28" s="5"/>
      <c r="T28" s="5">
        <f>SUM(B28:E28)</f>
        <v>0</v>
      </c>
      <c r="U28" s="22">
        <f>SUM(F28:I28)</f>
        <v>0</v>
      </c>
      <c r="V28" s="5">
        <f>SUM(J28:M28)</f>
        <v>232</v>
      </c>
      <c r="W28" s="5">
        <f>SUM(N28:Q28)</f>
        <v>279</v>
      </c>
    </row>
    <row r="29" spans="1:23" s="3" customFormat="1" x14ac:dyDescent="0.35">
      <c r="A29" s="3" t="s">
        <v>31</v>
      </c>
      <c r="B29" s="6">
        <f t="shared" ref="B29:I29" si="50">SUM(B30:B31)</f>
        <v>0</v>
      </c>
      <c r="C29" s="6">
        <f t="shared" si="50"/>
        <v>0</v>
      </c>
      <c r="D29" s="6">
        <f t="shared" si="50"/>
        <v>0</v>
      </c>
      <c r="E29" s="6">
        <f t="shared" si="50"/>
        <v>0</v>
      </c>
      <c r="F29" s="6">
        <f t="shared" si="50"/>
        <v>0</v>
      </c>
      <c r="G29" s="6">
        <f t="shared" si="50"/>
        <v>0</v>
      </c>
      <c r="H29" s="6">
        <f t="shared" si="50"/>
        <v>0</v>
      </c>
      <c r="I29" s="6">
        <f t="shared" si="50"/>
        <v>0</v>
      </c>
      <c r="J29" s="6">
        <f>SUM(J30:J31)</f>
        <v>279</v>
      </c>
      <c r="K29" s="6">
        <f t="shared" ref="K29:P29" si="51">SUM(K30:K31)</f>
        <v>319</v>
      </c>
      <c r="L29" s="6">
        <f t="shared" si="51"/>
        <v>468</v>
      </c>
      <c r="M29" s="6">
        <f t="shared" si="51"/>
        <v>0</v>
      </c>
      <c r="N29" s="6">
        <f t="shared" si="51"/>
        <v>248</v>
      </c>
      <c r="O29" s="6">
        <f t="shared" si="51"/>
        <v>357</v>
      </c>
      <c r="P29" s="6">
        <f t="shared" si="51"/>
        <v>452</v>
      </c>
      <c r="Q29" s="6"/>
      <c r="R29" s="1" t="s">
        <v>2</v>
      </c>
      <c r="S29" s="6"/>
      <c r="T29" s="6">
        <f t="shared" ref="T29:U29" si="52">SUM(T30:T31)</f>
        <v>0</v>
      </c>
      <c r="U29" s="21">
        <f t="shared" si="52"/>
        <v>0</v>
      </c>
      <c r="V29" s="6">
        <f t="shared" ref="V29:W29" si="53">SUM(V30:V31)</f>
        <v>1066</v>
      </c>
      <c r="W29" s="6">
        <f t="shared" si="53"/>
        <v>1057</v>
      </c>
    </row>
    <row r="30" spans="1:23" x14ac:dyDescent="0.35">
      <c r="A30" s="8" t="s">
        <v>33</v>
      </c>
      <c r="B30" s="5"/>
      <c r="C30" s="5"/>
      <c r="D30" s="5"/>
      <c r="E30" s="5"/>
      <c r="F30" s="5"/>
      <c r="G30" s="5"/>
      <c r="H30" s="5"/>
      <c r="I30" s="5"/>
      <c r="J30" s="5">
        <v>313</v>
      </c>
      <c r="K30" s="5">
        <v>301</v>
      </c>
      <c r="L30">
        <v>403</v>
      </c>
      <c r="M30" s="5"/>
      <c r="N30" s="5">
        <v>261</v>
      </c>
      <c r="O30" s="5">
        <v>323</v>
      </c>
      <c r="P30" s="5">
        <v>455</v>
      </c>
      <c r="Q30" s="5"/>
      <c r="R30" s="1" t="s">
        <v>2</v>
      </c>
      <c r="S30" s="5"/>
      <c r="T30" s="5">
        <f t="shared" ref="T30:T35" si="54">SUM(B30:E30)</f>
        <v>0</v>
      </c>
      <c r="U30" s="22">
        <f>SUM(F30:I30)</f>
        <v>0</v>
      </c>
      <c r="V30" s="5">
        <f>SUM(J30:M30)</f>
        <v>1017</v>
      </c>
      <c r="W30" s="5">
        <f>SUM(N30:Q30)</f>
        <v>1039</v>
      </c>
    </row>
    <row r="31" spans="1:23" x14ac:dyDescent="0.35">
      <c r="A31" s="7" t="s">
        <v>40</v>
      </c>
      <c r="B31" s="5"/>
      <c r="C31" s="5"/>
      <c r="D31" s="5"/>
      <c r="E31" s="5"/>
      <c r="F31" s="5"/>
      <c r="G31" s="5"/>
      <c r="H31" s="5"/>
      <c r="I31" s="5"/>
      <c r="J31" s="5">
        <v>-34</v>
      </c>
      <c r="K31" s="5">
        <v>18</v>
      </c>
      <c r="L31">
        <v>65</v>
      </c>
      <c r="M31" s="5"/>
      <c r="N31" s="5">
        <v>-13</v>
      </c>
      <c r="O31" s="5">
        <v>34</v>
      </c>
      <c r="P31" s="5">
        <v>-3</v>
      </c>
      <c r="Q31" s="5"/>
      <c r="R31" s="1" t="s">
        <v>2</v>
      </c>
      <c r="S31" s="5"/>
      <c r="T31" s="5">
        <f t="shared" si="54"/>
        <v>0</v>
      </c>
      <c r="U31" s="22">
        <f>SUM(F31:I31)</f>
        <v>0</v>
      </c>
      <c r="V31" s="5">
        <f>SUM(J31:M31)</f>
        <v>49</v>
      </c>
      <c r="W31" s="5">
        <f>SUM(N31:Q31)</f>
        <v>18</v>
      </c>
    </row>
    <row r="32" spans="1:23" s="3" customFormat="1" x14ac:dyDescent="0.35">
      <c r="A32" s="3" t="s">
        <v>32</v>
      </c>
      <c r="B32" s="6">
        <f t="shared" ref="B32:I32" si="55">SUM(B33:B34)</f>
        <v>0</v>
      </c>
      <c r="C32" s="6">
        <f t="shared" si="55"/>
        <v>0</v>
      </c>
      <c r="D32" s="6">
        <f t="shared" si="55"/>
        <v>0</v>
      </c>
      <c r="E32" s="6">
        <f t="shared" si="55"/>
        <v>0</v>
      </c>
      <c r="F32" s="6">
        <f t="shared" si="55"/>
        <v>0</v>
      </c>
      <c r="G32" s="6">
        <f t="shared" si="55"/>
        <v>0</v>
      </c>
      <c r="H32" s="6">
        <f t="shared" si="55"/>
        <v>0</v>
      </c>
      <c r="I32" s="6">
        <f t="shared" si="55"/>
        <v>0</v>
      </c>
      <c r="J32" s="6">
        <f>SUM(J33:J34)</f>
        <v>138</v>
      </c>
      <c r="K32" s="6">
        <f t="shared" ref="K32:L32" si="56">SUM(K33:K34)</f>
        <v>169</v>
      </c>
      <c r="L32" s="6">
        <f t="shared" si="56"/>
        <v>130</v>
      </c>
      <c r="M32" s="6">
        <f t="shared" ref="M32" si="57">SUM(M33:M34)</f>
        <v>0</v>
      </c>
      <c r="N32" s="6">
        <f t="shared" ref="N32:P32" si="58">SUM(N33:N34)</f>
        <v>84</v>
      </c>
      <c r="O32" s="6">
        <f t="shared" si="58"/>
        <v>109</v>
      </c>
      <c r="P32" s="6">
        <f t="shared" si="58"/>
        <v>105</v>
      </c>
      <c r="Q32" s="6"/>
      <c r="R32" s="1" t="s">
        <v>2</v>
      </c>
      <c r="S32" s="5"/>
      <c r="T32" s="5">
        <f t="shared" si="54"/>
        <v>0</v>
      </c>
      <c r="U32" s="21">
        <f t="shared" ref="U32" si="59">SUM(U33:U34)</f>
        <v>0</v>
      </c>
      <c r="V32" s="6">
        <f t="shared" ref="V32:W32" si="60">SUM(V33:V34)</f>
        <v>437</v>
      </c>
      <c r="W32" s="6">
        <f t="shared" si="60"/>
        <v>298</v>
      </c>
    </row>
    <row r="33" spans="1:42" x14ac:dyDescent="0.35">
      <c r="A33" s="8" t="s">
        <v>38</v>
      </c>
      <c r="B33" s="5"/>
      <c r="C33" s="5"/>
      <c r="D33" s="5"/>
      <c r="E33" s="5"/>
      <c r="F33" s="5"/>
      <c r="G33" s="5"/>
      <c r="H33" s="5"/>
      <c r="I33" s="5"/>
      <c r="J33" s="5">
        <v>138</v>
      </c>
      <c r="K33" s="5">
        <v>185</v>
      </c>
      <c r="L33">
        <v>118</v>
      </c>
      <c r="M33" s="5"/>
      <c r="N33" s="5">
        <v>76</v>
      </c>
      <c r="O33" s="5">
        <v>103</v>
      </c>
      <c r="P33" s="5">
        <v>86</v>
      </c>
      <c r="Q33" s="5"/>
      <c r="R33" s="1" t="s">
        <v>2</v>
      </c>
      <c r="S33" s="5"/>
      <c r="T33" s="5">
        <f t="shared" si="54"/>
        <v>0</v>
      </c>
      <c r="U33" s="22">
        <f>SUM(F33:I33)</f>
        <v>0</v>
      </c>
      <c r="V33" s="5">
        <f>SUM(J33:M33)</f>
        <v>441</v>
      </c>
      <c r="W33" s="5">
        <f>SUM(N33:Q33)</f>
        <v>265</v>
      </c>
    </row>
    <row r="34" spans="1:42" x14ac:dyDescent="0.35">
      <c r="A34" s="8" t="s">
        <v>39</v>
      </c>
      <c r="B34" s="5"/>
      <c r="C34" s="5"/>
      <c r="D34" s="5"/>
      <c r="E34" s="5"/>
      <c r="F34" s="5"/>
      <c r="G34" s="5"/>
      <c r="H34" s="5"/>
      <c r="I34" s="5"/>
      <c r="J34" s="5">
        <v>0</v>
      </c>
      <c r="K34" s="5">
        <v>-16</v>
      </c>
      <c r="L34">
        <v>12</v>
      </c>
      <c r="M34" s="5"/>
      <c r="N34" s="5">
        <v>8</v>
      </c>
      <c r="O34" s="5">
        <v>6</v>
      </c>
      <c r="P34" s="5">
        <v>19</v>
      </c>
      <c r="Q34" s="5"/>
      <c r="R34" s="1" t="s">
        <v>2</v>
      </c>
      <c r="S34" s="5"/>
      <c r="T34" s="5">
        <f t="shared" si="54"/>
        <v>0</v>
      </c>
      <c r="U34" s="22">
        <f>SUM(F34:I34)</f>
        <v>0</v>
      </c>
      <c r="V34" s="5">
        <f>SUM(J34:M34)</f>
        <v>-4</v>
      </c>
      <c r="W34" s="5">
        <f>SUM(N34:Q34)</f>
        <v>33</v>
      </c>
    </row>
    <row r="35" spans="1:42" x14ac:dyDescent="0.35">
      <c r="A35" s="3" t="s">
        <v>19</v>
      </c>
      <c r="B35" s="5"/>
      <c r="C35" s="5"/>
      <c r="D35" s="5"/>
      <c r="E35" s="5"/>
      <c r="F35" s="5"/>
      <c r="G35" s="5"/>
      <c r="H35" s="5"/>
      <c r="I35" s="5"/>
      <c r="J35" s="5">
        <v>97</v>
      </c>
      <c r="K35" s="5">
        <v>86</v>
      </c>
      <c r="L35" s="5"/>
      <c r="M35" s="5"/>
      <c r="N35" s="5">
        <v>121</v>
      </c>
      <c r="O35" s="5">
        <v>96</v>
      </c>
      <c r="P35" s="5">
        <v>-17</v>
      </c>
      <c r="Q35" s="5"/>
      <c r="R35" s="1" t="s">
        <v>2</v>
      </c>
      <c r="S35" s="5"/>
      <c r="T35" s="5">
        <f t="shared" si="54"/>
        <v>0</v>
      </c>
      <c r="U35" s="22">
        <f>SUM(F35:I35)</f>
        <v>0</v>
      </c>
      <c r="V35" s="5">
        <f>SUM(J35:M35)</f>
        <v>183</v>
      </c>
      <c r="W35" s="5">
        <f>SUM(N35:Q35)</f>
        <v>200</v>
      </c>
    </row>
    <row r="36" spans="1:42" x14ac:dyDescent="0.35">
      <c r="A36" s="3"/>
      <c r="B36" s="3"/>
      <c r="C36" s="3"/>
      <c r="D36" s="3"/>
      <c r="E36" s="3"/>
      <c r="F36" s="3"/>
      <c r="G36" s="3"/>
      <c r="H36" s="3"/>
      <c r="I36" s="3"/>
      <c r="J36" s="5"/>
      <c r="K36" s="5"/>
      <c r="L36" s="5"/>
      <c r="M36" s="5"/>
      <c r="N36" s="5"/>
      <c r="O36" s="5"/>
      <c r="P36" s="5"/>
      <c r="Q36" s="5"/>
      <c r="R36" s="1"/>
      <c r="S36" s="5"/>
      <c r="T36" s="5"/>
      <c r="U36" s="22"/>
      <c r="V36" s="5"/>
      <c r="W36" s="5"/>
    </row>
    <row r="37" spans="1:42" s="16" customFormat="1" x14ac:dyDescent="0.35">
      <c r="B37" s="16" t="str">
        <f t="shared" ref="B37:I37" si="61">B3</f>
        <v>Q121</v>
      </c>
      <c r="C37" s="16" t="str">
        <f t="shared" si="61"/>
        <v>Q221</v>
      </c>
      <c r="D37" s="16" t="str">
        <f t="shared" si="61"/>
        <v>Q321</v>
      </c>
      <c r="E37" s="16" t="str">
        <f t="shared" si="61"/>
        <v>Q421</v>
      </c>
      <c r="F37" s="16" t="str">
        <f t="shared" si="61"/>
        <v>Q122</v>
      </c>
      <c r="G37" s="16" t="str">
        <f t="shared" si="61"/>
        <v>Q222</v>
      </c>
      <c r="H37" s="16" t="str">
        <f t="shared" si="61"/>
        <v>Q322</v>
      </c>
      <c r="I37" s="16" t="str">
        <f t="shared" si="61"/>
        <v>Q422</v>
      </c>
      <c r="J37" s="16" t="str">
        <f>J3</f>
        <v>Q123</v>
      </c>
      <c r="K37" s="16" t="str">
        <f t="shared" ref="K37:W37" si="62">K3</f>
        <v>Q223</v>
      </c>
      <c r="L37" s="16" t="str">
        <f t="shared" si="62"/>
        <v>Q323</v>
      </c>
      <c r="M37" s="16" t="str">
        <f t="shared" si="62"/>
        <v>Q423</v>
      </c>
      <c r="N37" s="16" t="str">
        <f t="shared" si="62"/>
        <v>Q124</v>
      </c>
      <c r="O37" s="16" t="str">
        <f t="shared" si="62"/>
        <v>Q224</v>
      </c>
      <c r="P37" s="16" t="str">
        <f t="shared" ref="P37" si="63">P3</f>
        <v>Q324</v>
      </c>
      <c r="Q37" s="16" t="str">
        <f t="shared" si="62"/>
        <v>Q424</v>
      </c>
      <c r="R37" s="17" t="str">
        <f t="shared" si="62"/>
        <v>xxx</v>
      </c>
      <c r="S37" s="16">
        <v>2020</v>
      </c>
      <c r="T37" s="16">
        <f t="shared" ref="T37:U37" si="64">T3</f>
        <v>2021</v>
      </c>
      <c r="U37" s="23">
        <f t="shared" si="64"/>
        <v>2022</v>
      </c>
      <c r="V37" s="16">
        <f t="shared" si="62"/>
        <v>2023</v>
      </c>
      <c r="W37" s="16">
        <f t="shared" si="62"/>
        <v>2024</v>
      </c>
    </row>
    <row r="38" spans="1:42" x14ac:dyDescent="0.35">
      <c r="R38" s="1" t="s">
        <v>2</v>
      </c>
      <c r="S38" s="5"/>
      <c r="T38" s="5"/>
      <c r="U38" s="22"/>
      <c r="V38" s="5"/>
      <c r="W38" s="5"/>
    </row>
    <row r="39" spans="1:42" s="3" customFormat="1" x14ac:dyDescent="0.35">
      <c r="A39" s="3" t="s">
        <v>41</v>
      </c>
      <c r="B39" s="12" t="e">
        <f t="shared" ref="B39" si="65">(B40-#REF!)/#REF!</f>
        <v>#REF!</v>
      </c>
      <c r="C39" s="12" t="e">
        <f t="shared" ref="C39" si="66">(C40-#REF!)/#REF!</f>
        <v>#REF!</v>
      </c>
      <c r="D39" s="12" t="e">
        <f t="shared" ref="D39:E39" si="67">(D40-#REF!)/#REF!</f>
        <v>#REF!</v>
      </c>
      <c r="E39" s="12" t="e">
        <f t="shared" si="67"/>
        <v>#REF!</v>
      </c>
      <c r="F39" s="12">
        <f t="shared" ref="F39:M39" si="68">(F40-B40)/B40</f>
        <v>0.25178637590642039</v>
      </c>
      <c r="G39" s="12">
        <f t="shared" si="68"/>
        <v>0.19008985431387942</v>
      </c>
      <c r="H39" s="12">
        <f t="shared" si="68"/>
        <v>0.21352015732546706</v>
      </c>
      <c r="I39" s="12">
        <f t="shared" si="68"/>
        <v>0.12338674750974447</v>
      </c>
      <c r="J39" s="12">
        <f t="shared" si="68"/>
        <v>1.7843551797040169E-2</v>
      </c>
      <c r="K39" s="12">
        <f t="shared" si="68"/>
        <v>-7.6748277378683477E-2</v>
      </c>
      <c r="L39" s="12">
        <f t="shared" si="68"/>
        <v>-0.12105497710975165</v>
      </c>
      <c r="M39" s="12">
        <f t="shared" si="68"/>
        <v>-1</v>
      </c>
      <c r="N39" s="12">
        <f>(N40-J40)/J40</f>
        <v>-9.2431040212695242E-2</v>
      </c>
      <c r="O39" s="12">
        <f>(O40-K40)/K40</f>
        <v>-0.1167923779277491</v>
      </c>
      <c r="P39" s="12">
        <f>(P40-L40)/L40</f>
        <v>-8.1032495966812626E-2</v>
      </c>
      <c r="R39" s="13" t="s">
        <v>2</v>
      </c>
      <c r="S39" s="19" t="e">
        <f>(S40-R40)/R40</f>
        <v>#VALUE!</v>
      </c>
      <c r="T39" s="19">
        <f>(T40-S40)/S40</f>
        <v>0.32466785797529329</v>
      </c>
      <c r="U39" s="24">
        <f>(U40-T40)/T40</f>
        <v>0.19128670131027931</v>
      </c>
      <c r="V39" s="19">
        <f t="shared" ref="V39" si="69">(V40-U40)/U40</f>
        <v>-0.30130174485013195</v>
      </c>
      <c r="W39" s="19">
        <f>(W40-V40)/V40</f>
        <v>-9.7594317685358742E-2</v>
      </c>
    </row>
    <row r="40" spans="1:42" x14ac:dyDescent="0.35">
      <c r="A40" t="s">
        <v>50</v>
      </c>
      <c r="B40" s="5">
        <v>18893</v>
      </c>
      <c r="C40" s="5">
        <v>22926</v>
      </c>
      <c r="D40" s="5">
        <v>20340</v>
      </c>
      <c r="E40" s="5">
        <f>T40-SUM(B40:D40)</f>
        <v>23090</v>
      </c>
      <c r="F40" s="5">
        <v>23650</v>
      </c>
      <c r="G40" s="5">
        <v>27284</v>
      </c>
      <c r="H40" s="5">
        <v>24683</v>
      </c>
      <c r="I40" s="5">
        <f>U40-SUM(F40:H40)</f>
        <v>25939</v>
      </c>
      <c r="J40" s="5">
        <v>24072</v>
      </c>
      <c r="K40" s="5">
        <v>25190</v>
      </c>
      <c r="L40" s="5">
        <v>21695</v>
      </c>
      <c r="M40" s="5"/>
      <c r="N40" s="5">
        <v>21847</v>
      </c>
      <c r="O40" s="5">
        <v>22248</v>
      </c>
      <c r="P40" s="5">
        <v>19937</v>
      </c>
      <c r="Q40" s="5"/>
      <c r="R40" s="1" t="s">
        <v>2</v>
      </c>
      <c r="S40" s="5">
        <v>64355</v>
      </c>
      <c r="T40" s="5">
        <v>85249</v>
      </c>
      <c r="U40" s="22">
        <v>101556</v>
      </c>
      <c r="V40" s="5">
        <f>SUM(J40:M40)</f>
        <v>70957</v>
      </c>
      <c r="W40" s="5">
        <f>SUM(N40:Q40)</f>
        <v>64032</v>
      </c>
      <c r="X40" s="5"/>
      <c r="Y40" s="5"/>
      <c r="Z40" s="5"/>
      <c r="AA40" s="5"/>
      <c r="AB40" s="5"/>
      <c r="AC40" s="5"/>
      <c r="AD40" s="5"/>
      <c r="AE40" s="5"/>
      <c r="AF40" s="5"/>
      <c r="AG40" s="5"/>
      <c r="AH40" s="5"/>
      <c r="AI40" s="5"/>
      <c r="AJ40" s="5"/>
      <c r="AK40" s="5"/>
      <c r="AL40" s="5"/>
      <c r="AM40" s="5"/>
      <c r="AN40" s="5"/>
      <c r="AO40" s="5"/>
      <c r="AP40" s="5"/>
    </row>
    <row r="41" spans="1:42" x14ac:dyDescent="0.35">
      <c r="A41" t="s">
        <v>51</v>
      </c>
      <c r="B41" s="5">
        <v>17345</v>
      </c>
      <c r="C41" s="5">
        <v>21463</v>
      </c>
      <c r="D41" s="5">
        <v>19014</v>
      </c>
      <c r="E41" s="5">
        <f>T41-SUM(B41:D41)</f>
        <v>21440</v>
      </c>
      <c r="F41" s="5">
        <v>21753</v>
      </c>
      <c r="G41" s="5">
        <v>25184</v>
      </c>
      <c r="H41" s="5">
        <v>22872</v>
      </c>
      <c r="I41" s="5">
        <f>U41-SUM(F41:H41)</f>
        <v>24177</v>
      </c>
      <c r="J41" s="5">
        <v>21992</v>
      </c>
      <c r="K41" s="5">
        <v>23307</v>
      </c>
      <c r="L41" s="5">
        <v>19885</v>
      </c>
      <c r="M41" s="5"/>
      <c r="N41" s="5">
        <v>20188</v>
      </c>
      <c r="O41" s="5">
        <v>20852</v>
      </c>
      <c r="P41" s="5">
        <v>18572</v>
      </c>
      <c r="Q41" s="5"/>
      <c r="R41" s="1" t="s">
        <v>2</v>
      </c>
      <c r="S41" s="5">
        <v>59902</v>
      </c>
      <c r="T41" s="5">
        <v>79262</v>
      </c>
      <c r="U41" s="22">
        <v>93986</v>
      </c>
      <c r="V41" s="5">
        <f>SUM(J41:M41)</f>
        <v>65184</v>
      </c>
      <c r="W41" s="5">
        <f>SUM(N41:Q41)</f>
        <v>59612</v>
      </c>
      <c r="X41" s="5"/>
      <c r="Y41" s="5"/>
      <c r="Z41" s="5"/>
      <c r="AA41" s="5"/>
      <c r="AB41" s="5"/>
      <c r="AC41" s="5"/>
      <c r="AD41" s="5"/>
      <c r="AE41" s="5"/>
      <c r="AF41" s="5"/>
      <c r="AG41" s="5"/>
      <c r="AH41" s="5"/>
      <c r="AI41" s="5"/>
      <c r="AJ41" s="5"/>
      <c r="AK41" s="5"/>
      <c r="AL41" s="5"/>
      <c r="AM41" s="5"/>
      <c r="AN41" s="5"/>
      <c r="AO41" s="5"/>
      <c r="AP41" s="5"/>
    </row>
    <row r="42" spans="1:42" s="3" customFormat="1" x14ac:dyDescent="0.35">
      <c r="A42" s="3" t="s">
        <v>52</v>
      </c>
      <c r="B42" s="6">
        <f t="shared" ref="B42:I42" si="70">+B40-B41</f>
        <v>1548</v>
      </c>
      <c r="C42" s="6">
        <f t="shared" si="70"/>
        <v>1463</v>
      </c>
      <c r="D42" s="6">
        <f t="shared" si="70"/>
        <v>1326</v>
      </c>
      <c r="E42" s="6">
        <f t="shared" si="70"/>
        <v>1650</v>
      </c>
      <c r="F42" s="6">
        <f t="shared" si="70"/>
        <v>1897</v>
      </c>
      <c r="G42" s="6">
        <f t="shared" si="70"/>
        <v>2100</v>
      </c>
      <c r="H42" s="6">
        <f t="shared" si="70"/>
        <v>1811</v>
      </c>
      <c r="I42" s="6">
        <f t="shared" si="70"/>
        <v>1762</v>
      </c>
      <c r="J42" s="6">
        <f t="shared" ref="J42:M42" si="71">+J40-J41</f>
        <v>2080</v>
      </c>
      <c r="K42" s="6">
        <f t="shared" si="71"/>
        <v>1883</v>
      </c>
      <c r="L42" s="6">
        <f t="shared" si="71"/>
        <v>1810</v>
      </c>
      <c r="M42" s="6">
        <f t="shared" si="71"/>
        <v>0</v>
      </c>
      <c r="N42" s="6">
        <f>+N40-N41</f>
        <v>1659</v>
      </c>
      <c r="O42" s="6">
        <f>+O40-O41</f>
        <v>1396</v>
      </c>
      <c r="P42" s="6">
        <f>+P40-P41</f>
        <v>1365</v>
      </c>
      <c r="Q42" s="6"/>
      <c r="R42" s="1" t="s">
        <v>2</v>
      </c>
      <c r="S42" s="6">
        <f t="shared" ref="S42" si="72">+S40-S41</f>
        <v>4453</v>
      </c>
      <c r="T42" s="6">
        <f t="shared" ref="T42:U42" si="73">+T40-T41</f>
        <v>5987</v>
      </c>
      <c r="U42" s="21">
        <f t="shared" si="73"/>
        <v>7570</v>
      </c>
      <c r="V42" s="6">
        <f t="shared" ref="V42:W42" si="74">+V40-V41</f>
        <v>5773</v>
      </c>
      <c r="W42" s="6">
        <f t="shared" si="74"/>
        <v>4420</v>
      </c>
      <c r="X42" s="6"/>
      <c r="Y42" s="6"/>
      <c r="Z42" s="6"/>
      <c r="AA42" s="6"/>
      <c r="AB42" s="6"/>
      <c r="AC42" s="6"/>
      <c r="AD42" s="6"/>
      <c r="AE42" s="6"/>
      <c r="AF42" s="6"/>
      <c r="AG42" s="6"/>
      <c r="AH42" s="6"/>
      <c r="AI42" s="6"/>
      <c r="AJ42" s="6"/>
      <c r="AK42" s="6"/>
      <c r="AL42" s="6"/>
      <c r="AM42" s="6"/>
      <c r="AN42" s="6"/>
      <c r="AO42" s="6"/>
      <c r="AP42" s="6"/>
    </row>
    <row r="43" spans="1:42" s="3" customFormat="1" x14ac:dyDescent="0.35">
      <c r="A43" s="3" t="s">
        <v>41</v>
      </c>
      <c r="B43" s="12" t="e">
        <f t="shared" ref="B43" si="75">(B42-#REF!)/B42</f>
        <v>#REF!</v>
      </c>
      <c r="C43" s="12" t="e">
        <f t="shared" ref="C43" si="76">(C42-#REF!)/C42</f>
        <v>#REF!</v>
      </c>
      <c r="D43" s="12" t="e">
        <f t="shared" ref="D43:E43" si="77">(D42-#REF!)/D42</f>
        <v>#REF!</v>
      </c>
      <c r="E43" s="12" t="e">
        <f t="shared" si="77"/>
        <v>#REF!</v>
      </c>
      <c r="F43" s="12">
        <f t="shared" ref="F43:M43" si="78">(F42-B42)/F42</f>
        <v>0.18397469688982604</v>
      </c>
      <c r="G43" s="12">
        <f t="shared" si="78"/>
        <v>0.30333333333333334</v>
      </c>
      <c r="H43" s="12">
        <f t="shared" si="78"/>
        <v>0.26780784097183874</v>
      </c>
      <c r="I43" s="12">
        <f t="shared" si="78"/>
        <v>6.3564131668558455E-2</v>
      </c>
      <c r="J43" s="12">
        <f t="shared" si="78"/>
        <v>8.7980769230769237E-2</v>
      </c>
      <c r="K43" s="12">
        <f t="shared" si="78"/>
        <v>-0.11524163568773234</v>
      </c>
      <c r="L43" s="12">
        <f t="shared" si="78"/>
        <v>-5.5248618784530391E-4</v>
      </c>
      <c r="M43" s="12" t="e">
        <f t="shared" si="78"/>
        <v>#DIV/0!</v>
      </c>
      <c r="N43" s="12">
        <f>(N42-J42)/N42</f>
        <v>-0.2537673297166968</v>
      </c>
      <c r="O43" s="12">
        <f>(O42-K42)/O42</f>
        <v>-0.34885386819484243</v>
      </c>
      <c r="P43" s="12">
        <f>(P42-L42)/P42</f>
        <v>-0.32600732600732601</v>
      </c>
      <c r="Q43" s="6"/>
      <c r="R43" s="1"/>
      <c r="S43" s="6"/>
      <c r="T43" s="6"/>
      <c r="U43" s="21"/>
      <c r="V43" s="6"/>
      <c r="W43" s="6"/>
      <c r="X43" s="6"/>
      <c r="Y43" s="6"/>
      <c r="Z43" s="6"/>
      <c r="AA43" s="6"/>
      <c r="AB43" s="6"/>
      <c r="AC43" s="6"/>
      <c r="AD43" s="6"/>
      <c r="AE43" s="6"/>
      <c r="AF43" s="6"/>
      <c r="AG43" s="6"/>
      <c r="AH43" s="6"/>
      <c r="AI43" s="6"/>
      <c r="AJ43" s="6"/>
      <c r="AK43" s="6"/>
      <c r="AL43" s="6"/>
      <c r="AM43" s="6"/>
      <c r="AN43" s="6"/>
      <c r="AO43" s="6"/>
      <c r="AP43" s="6"/>
    </row>
    <row r="44" spans="1:42" x14ac:dyDescent="0.35">
      <c r="J44" s="5"/>
      <c r="K44" s="5"/>
      <c r="L44" s="5"/>
      <c r="M44" s="5"/>
      <c r="N44" s="5"/>
      <c r="O44" s="5"/>
      <c r="P44" s="5"/>
      <c r="Q44" s="5"/>
      <c r="R44" s="1" t="s">
        <v>2</v>
      </c>
      <c r="S44" s="5"/>
      <c r="T44" s="5"/>
      <c r="U44" s="22"/>
      <c r="V44" s="5"/>
      <c r="W44" s="5"/>
      <c r="X44" s="5"/>
      <c r="Y44" s="5"/>
      <c r="Z44" s="5"/>
      <c r="AA44" s="5"/>
      <c r="AB44" s="5"/>
      <c r="AC44" s="5"/>
      <c r="AD44" s="5"/>
      <c r="AE44" s="5"/>
      <c r="AF44" s="5"/>
      <c r="AG44" s="5"/>
      <c r="AH44" s="5"/>
      <c r="AI44" s="5"/>
      <c r="AJ44" s="5"/>
      <c r="AK44" s="5"/>
      <c r="AL44" s="5"/>
      <c r="AM44" s="5"/>
      <c r="AN44" s="5"/>
      <c r="AO44" s="5"/>
      <c r="AP44" s="5"/>
    </row>
    <row r="45" spans="1:42" x14ac:dyDescent="0.35">
      <c r="A45" t="s">
        <v>13</v>
      </c>
      <c r="B45" s="5">
        <v>749</v>
      </c>
      <c r="C45" s="5">
        <v>739</v>
      </c>
      <c r="D45" s="5">
        <v>720</v>
      </c>
      <c r="E45" s="5">
        <f t="shared" ref="E45:E51" si="79">T45-SUM(B45:D45)</f>
        <v>786</v>
      </c>
      <c r="F45" s="5">
        <v>829</v>
      </c>
      <c r="G45" s="5">
        <v>814</v>
      </c>
      <c r="H45" s="5">
        <v>818</v>
      </c>
      <c r="I45" s="5">
        <f t="shared" ref="I45:I51" si="80">U45-SUM(F45:H45)</f>
        <v>897</v>
      </c>
      <c r="J45" s="5">
        <v>881</v>
      </c>
      <c r="K45" s="5">
        <v>841</v>
      </c>
      <c r="L45" s="5">
        <v>815</v>
      </c>
      <c r="M45" s="5"/>
      <c r="N45" s="5">
        <v>951</v>
      </c>
      <c r="O45" s="5">
        <v>907</v>
      </c>
      <c r="P45" s="5">
        <v>905</v>
      </c>
      <c r="Q45" s="5"/>
      <c r="R45" s="1" t="s">
        <v>2</v>
      </c>
      <c r="S45" s="5">
        <v>2687</v>
      </c>
      <c r="T45" s="5">
        <v>2994</v>
      </c>
      <c r="U45" s="22">
        <v>3358</v>
      </c>
      <c r="V45" s="5">
        <f>SUM(J45:M45)</f>
        <v>2537</v>
      </c>
      <c r="W45" s="5">
        <f>SUM(N45:Q45)</f>
        <v>2763</v>
      </c>
      <c r="X45" s="5"/>
      <c r="Y45" s="5"/>
      <c r="Z45" s="5"/>
      <c r="AA45" s="5"/>
      <c r="AB45" s="5"/>
      <c r="AC45" s="5"/>
      <c r="AD45" s="5"/>
      <c r="AE45" s="5"/>
      <c r="AF45" s="5"/>
      <c r="AG45" s="5"/>
      <c r="AH45" s="5"/>
      <c r="AI45" s="5"/>
      <c r="AJ45" s="5"/>
      <c r="AK45" s="5"/>
      <c r="AL45" s="5"/>
      <c r="AM45" s="5"/>
      <c r="AN45" s="5"/>
      <c r="AO45" s="5"/>
      <c r="AP45" s="5"/>
    </row>
    <row r="46" spans="1:42" x14ac:dyDescent="0.35">
      <c r="A46" t="s">
        <v>54</v>
      </c>
      <c r="B46" s="5">
        <v>59</v>
      </c>
      <c r="C46" s="5">
        <v>23</v>
      </c>
      <c r="D46" s="5">
        <v>2</v>
      </c>
      <c r="E46" s="5">
        <f t="shared" si="79"/>
        <v>80</v>
      </c>
      <c r="F46" s="5">
        <v>1</v>
      </c>
      <c r="G46" s="5">
        <v>1</v>
      </c>
      <c r="H46" s="5">
        <v>28</v>
      </c>
      <c r="I46" s="5">
        <f t="shared" si="80"/>
        <v>36</v>
      </c>
      <c r="J46" s="5">
        <v>7</v>
      </c>
      <c r="K46" s="5">
        <v>60</v>
      </c>
      <c r="L46" s="5">
        <v>79</v>
      </c>
      <c r="M46" s="5"/>
      <c r="N46" s="5">
        <v>18</v>
      </c>
      <c r="O46" s="5">
        <v>7</v>
      </c>
      <c r="P46" s="5">
        <v>507</v>
      </c>
      <c r="Q46" s="5"/>
      <c r="R46" s="1" t="s">
        <v>2</v>
      </c>
      <c r="S46" s="5">
        <v>80</v>
      </c>
      <c r="T46" s="5">
        <v>164</v>
      </c>
      <c r="U46" s="22">
        <v>66</v>
      </c>
      <c r="V46" s="5">
        <f>SUM(J46:M46)</f>
        <v>146</v>
      </c>
      <c r="W46" s="5">
        <f>SUM(N46:Q46)</f>
        <v>532</v>
      </c>
      <c r="X46" s="5"/>
      <c r="Y46" s="5"/>
      <c r="Z46" s="5"/>
      <c r="AA46" s="5"/>
      <c r="AB46" s="5"/>
      <c r="AC46" s="5"/>
      <c r="AD46" s="5"/>
      <c r="AE46" s="5"/>
      <c r="AF46" s="5"/>
      <c r="AG46" s="5"/>
      <c r="AH46" s="5"/>
      <c r="AI46" s="5"/>
      <c r="AJ46" s="5"/>
      <c r="AK46" s="5"/>
      <c r="AL46" s="5"/>
      <c r="AM46" s="5"/>
      <c r="AN46" s="5"/>
      <c r="AO46" s="5"/>
      <c r="AP46" s="5"/>
    </row>
    <row r="47" spans="1:42" x14ac:dyDescent="0.35">
      <c r="A47" t="s">
        <v>55</v>
      </c>
      <c r="B47" s="5">
        <v>-125</v>
      </c>
      <c r="C47" s="5">
        <v>-163</v>
      </c>
      <c r="D47" s="5">
        <v>-110</v>
      </c>
      <c r="E47" s="5">
        <f t="shared" si="79"/>
        <v>-197</v>
      </c>
      <c r="F47" s="5">
        <v>-204</v>
      </c>
      <c r="G47" s="5">
        <v>-192</v>
      </c>
      <c r="H47" s="5">
        <v>-210</v>
      </c>
      <c r="I47" s="5">
        <f t="shared" si="80"/>
        <v>-226</v>
      </c>
      <c r="J47" s="5">
        <v>-174</v>
      </c>
      <c r="K47" s="5">
        <v>-151</v>
      </c>
      <c r="L47" s="5">
        <v>-83</v>
      </c>
      <c r="M47" s="5"/>
      <c r="N47" s="5">
        <v>-212</v>
      </c>
      <c r="O47" s="5">
        <v>-152</v>
      </c>
      <c r="P47" s="5">
        <v>-134</v>
      </c>
      <c r="Q47" s="5"/>
      <c r="R47" s="1" t="s">
        <v>2</v>
      </c>
      <c r="S47" s="5">
        <v>-579</v>
      </c>
      <c r="T47" s="5">
        <v>-595</v>
      </c>
      <c r="U47" s="22">
        <v>-832</v>
      </c>
      <c r="V47" s="5">
        <f>SUM(J47:M47)</f>
        <v>-408</v>
      </c>
      <c r="W47" s="5">
        <f>SUM(N47:Q47)</f>
        <v>-498</v>
      </c>
      <c r="X47" s="5"/>
      <c r="Y47" s="5"/>
      <c r="Z47" s="5"/>
      <c r="AA47" s="5"/>
      <c r="AB47" s="5"/>
      <c r="AC47" s="5"/>
      <c r="AD47" s="5"/>
      <c r="AE47" s="5"/>
      <c r="AF47" s="5"/>
      <c r="AG47" s="5"/>
      <c r="AH47" s="5"/>
      <c r="AI47" s="5"/>
      <c r="AJ47" s="5"/>
      <c r="AK47" s="5"/>
      <c r="AL47" s="5"/>
      <c r="AM47" s="5"/>
      <c r="AN47" s="5"/>
      <c r="AO47" s="5"/>
      <c r="AP47" s="5"/>
    </row>
    <row r="48" spans="1:42" x14ac:dyDescent="0.35">
      <c r="A48" t="s">
        <v>154</v>
      </c>
      <c r="B48" s="5">
        <v>0</v>
      </c>
      <c r="C48" s="5">
        <v>0</v>
      </c>
      <c r="D48" s="5">
        <v>0</v>
      </c>
      <c r="E48" s="5">
        <f t="shared" si="79"/>
        <v>36</v>
      </c>
      <c r="F48" s="5"/>
      <c r="G48" s="5"/>
      <c r="H48" s="5"/>
      <c r="I48" s="5">
        <f t="shared" si="80"/>
        <v>0</v>
      </c>
      <c r="J48" s="5"/>
      <c r="K48" s="5"/>
      <c r="L48" s="5"/>
      <c r="M48" s="5"/>
      <c r="N48" s="5"/>
      <c r="O48" s="5"/>
      <c r="P48" s="5"/>
      <c r="Q48" s="5"/>
      <c r="R48" s="1"/>
      <c r="S48" s="5">
        <v>409</v>
      </c>
      <c r="T48" s="5">
        <v>36</v>
      </c>
      <c r="U48" s="22">
        <v>0</v>
      </c>
      <c r="V48" s="5"/>
      <c r="W48" s="5"/>
      <c r="X48" s="5"/>
      <c r="Y48" s="5"/>
      <c r="Z48" s="5"/>
      <c r="AA48" s="5"/>
      <c r="AB48" s="5"/>
      <c r="AC48" s="5"/>
      <c r="AD48" s="5"/>
      <c r="AE48" s="5"/>
      <c r="AF48" s="5"/>
      <c r="AG48" s="5"/>
      <c r="AH48" s="5"/>
      <c r="AI48" s="5"/>
      <c r="AJ48" s="5"/>
      <c r="AK48" s="5"/>
      <c r="AL48" s="5"/>
      <c r="AM48" s="5"/>
      <c r="AN48" s="5"/>
      <c r="AO48" s="5"/>
      <c r="AP48" s="5"/>
    </row>
    <row r="49" spans="1:42" x14ac:dyDescent="0.35">
      <c r="A49" t="s">
        <v>56</v>
      </c>
      <c r="B49" s="5">
        <v>-13</v>
      </c>
      <c r="C49" s="5">
        <v>-50</v>
      </c>
      <c r="D49" s="5">
        <v>-20</v>
      </c>
      <c r="E49" s="5">
        <f t="shared" si="79"/>
        <v>-13</v>
      </c>
      <c r="F49" s="5">
        <v>-59</v>
      </c>
      <c r="G49" s="5">
        <v>-32</v>
      </c>
      <c r="H49" s="5">
        <v>-85</v>
      </c>
      <c r="I49" s="5">
        <f t="shared" si="80"/>
        <v>-117</v>
      </c>
      <c r="J49" s="5">
        <v>-134</v>
      </c>
      <c r="K49" s="5">
        <v>-142</v>
      </c>
      <c r="L49" s="5">
        <v>-152</v>
      </c>
      <c r="M49" s="5"/>
      <c r="N49" s="5">
        <v>-123</v>
      </c>
      <c r="O49" s="5">
        <v>-140</v>
      </c>
      <c r="P49" s="5">
        <v>-137</v>
      </c>
      <c r="Q49" s="5"/>
      <c r="R49" s="1" t="s">
        <v>2</v>
      </c>
      <c r="S49" s="5">
        <v>-111</v>
      </c>
      <c r="T49" s="5">
        <v>-96</v>
      </c>
      <c r="U49" s="22">
        <v>-293</v>
      </c>
      <c r="V49" s="5">
        <f>SUM(J49:M49)</f>
        <v>-428</v>
      </c>
      <c r="W49" s="5">
        <f>SUM(N49:Q49)</f>
        <v>-400</v>
      </c>
      <c r="X49" s="5"/>
      <c r="Y49" s="5"/>
      <c r="Z49" s="5"/>
      <c r="AA49" s="5"/>
      <c r="AB49" s="5"/>
      <c r="AC49" s="5"/>
      <c r="AD49" s="5"/>
      <c r="AE49" s="5"/>
      <c r="AF49" s="5"/>
      <c r="AG49" s="5"/>
      <c r="AH49" s="5"/>
      <c r="AI49" s="5"/>
      <c r="AJ49" s="5"/>
      <c r="AK49" s="5"/>
      <c r="AL49" s="5"/>
      <c r="AM49" s="5"/>
      <c r="AN49" s="5"/>
      <c r="AO49" s="5"/>
      <c r="AP49" s="5"/>
    </row>
    <row r="50" spans="1:42" x14ac:dyDescent="0.35">
      <c r="A50" t="s">
        <v>57</v>
      </c>
      <c r="B50" s="5">
        <v>87</v>
      </c>
      <c r="C50" s="5">
        <v>40</v>
      </c>
      <c r="D50" s="5">
        <v>61</v>
      </c>
      <c r="E50" s="5">
        <f t="shared" si="79"/>
        <v>77</v>
      </c>
      <c r="F50" s="5">
        <v>92</v>
      </c>
      <c r="G50" s="5">
        <v>73</v>
      </c>
      <c r="H50" s="5">
        <v>97</v>
      </c>
      <c r="I50" s="5">
        <f t="shared" si="80"/>
        <v>134</v>
      </c>
      <c r="J50" s="5">
        <v>147</v>
      </c>
      <c r="K50" s="5">
        <v>180</v>
      </c>
      <c r="L50" s="5">
        <v>155</v>
      </c>
      <c r="M50" s="5"/>
      <c r="N50" s="5">
        <v>166</v>
      </c>
      <c r="O50" s="5">
        <v>187</v>
      </c>
      <c r="P50" s="5">
        <v>174</v>
      </c>
      <c r="Q50" s="5"/>
      <c r="R50" s="1" t="s">
        <v>2</v>
      </c>
      <c r="S50" s="5">
        <v>339</v>
      </c>
      <c r="T50" s="5">
        <v>265</v>
      </c>
      <c r="U50" s="22">
        <v>396</v>
      </c>
      <c r="V50" s="5">
        <f>SUM(J50:M50)</f>
        <v>482</v>
      </c>
      <c r="W50" s="5">
        <f>SUM(N50:Q50)</f>
        <v>527</v>
      </c>
      <c r="X50" s="5"/>
      <c r="Y50" s="5"/>
      <c r="Z50" s="5"/>
      <c r="AA50" s="5"/>
      <c r="AB50" s="5"/>
      <c r="AC50" s="5"/>
      <c r="AD50" s="5"/>
      <c r="AE50" s="5"/>
      <c r="AF50" s="5"/>
      <c r="AG50" s="5"/>
      <c r="AH50" s="5"/>
      <c r="AI50" s="5"/>
      <c r="AJ50" s="5"/>
      <c r="AK50" s="5"/>
      <c r="AL50" s="5"/>
      <c r="AM50" s="5"/>
      <c r="AN50" s="5"/>
      <c r="AO50" s="5"/>
      <c r="AP50" s="5"/>
    </row>
    <row r="51" spans="1:42" x14ac:dyDescent="0.35">
      <c r="A51" t="s">
        <v>58</v>
      </c>
      <c r="B51" s="5">
        <v>-33</v>
      </c>
      <c r="C51" s="5">
        <v>49</v>
      </c>
      <c r="D51" s="5">
        <v>20</v>
      </c>
      <c r="E51" s="5">
        <f t="shared" si="79"/>
        <v>-130</v>
      </c>
      <c r="F51" s="5">
        <v>-33</v>
      </c>
      <c r="G51" s="5">
        <v>-83</v>
      </c>
      <c r="H51" s="5">
        <v>-67</v>
      </c>
      <c r="I51" s="5">
        <f t="shared" si="80"/>
        <v>-175</v>
      </c>
      <c r="J51" s="5">
        <v>-44</v>
      </c>
      <c r="K51" s="5">
        <v>-37</v>
      </c>
      <c r="L51" s="5">
        <v>-35</v>
      </c>
      <c r="M51" s="5"/>
      <c r="N51" s="5">
        <v>-26</v>
      </c>
      <c r="O51" s="5">
        <v>-9</v>
      </c>
      <c r="P51" s="5">
        <v>-58</v>
      </c>
      <c r="Q51" s="5"/>
      <c r="R51" s="1" t="s">
        <v>2</v>
      </c>
      <c r="S51" s="5">
        <v>-255</v>
      </c>
      <c r="T51" s="5">
        <v>-94</v>
      </c>
      <c r="U51" s="22">
        <v>-358</v>
      </c>
      <c r="V51" s="5">
        <f>SUM(J51:M51)</f>
        <v>-116</v>
      </c>
      <c r="W51" s="5">
        <f>SUM(N51:Q51)</f>
        <v>-93</v>
      </c>
      <c r="X51" s="5"/>
      <c r="Y51" s="5"/>
      <c r="Z51" s="5"/>
      <c r="AA51" s="5"/>
      <c r="AB51" s="5"/>
      <c r="AC51" s="5"/>
      <c r="AD51" s="5"/>
      <c r="AE51" s="5"/>
      <c r="AF51" s="5"/>
      <c r="AG51" s="5"/>
      <c r="AH51" s="5"/>
      <c r="AI51" s="5"/>
      <c r="AJ51" s="5"/>
      <c r="AK51" s="5"/>
      <c r="AL51" s="5"/>
      <c r="AM51" s="5"/>
      <c r="AN51" s="5"/>
      <c r="AO51" s="5"/>
      <c r="AP51" s="5"/>
    </row>
    <row r="52" spans="1:42" s="3" customFormat="1" x14ac:dyDescent="0.35">
      <c r="A52" s="3" t="s">
        <v>59</v>
      </c>
      <c r="B52" s="6">
        <f t="shared" ref="B52:P52" si="81">SUM(B45:B51)</f>
        <v>724</v>
      </c>
      <c r="C52" s="6">
        <f t="shared" si="81"/>
        <v>638</v>
      </c>
      <c r="D52" s="6">
        <f t="shared" si="81"/>
        <v>673</v>
      </c>
      <c r="E52" s="6">
        <f t="shared" si="81"/>
        <v>639</v>
      </c>
      <c r="F52" s="6">
        <f t="shared" si="81"/>
        <v>626</v>
      </c>
      <c r="G52" s="6">
        <f t="shared" si="81"/>
        <v>581</v>
      </c>
      <c r="H52" s="6">
        <f t="shared" si="81"/>
        <v>581</v>
      </c>
      <c r="I52" s="6">
        <f t="shared" si="81"/>
        <v>549</v>
      </c>
      <c r="J52" s="6">
        <f t="shared" si="81"/>
        <v>683</v>
      </c>
      <c r="K52" s="6">
        <f t="shared" si="81"/>
        <v>751</v>
      </c>
      <c r="L52" s="6">
        <f t="shared" si="81"/>
        <v>779</v>
      </c>
      <c r="M52" s="6">
        <f t="shared" si="81"/>
        <v>0</v>
      </c>
      <c r="N52" s="6">
        <f t="shared" si="81"/>
        <v>774</v>
      </c>
      <c r="O52" s="6">
        <f t="shared" si="81"/>
        <v>800</v>
      </c>
      <c r="P52" s="6">
        <f t="shared" si="81"/>
        <v>1257</v>
      </c>
      <c r="Q52" s="6"/>
      <c r="R52" s="1" t="s">
        <v>2</v>
      </c>
      <c r="S52" s="21">
        <f t="shared" ref="S52:T52" si="82">SUM(S45:S51)</f>
        <v>2570</v>
      </c>
      <c r="T52" s="21">
        <f t="shared" si="82"/>
        <v>2674</v>
      </c>
      <c r="U52" s="21">
        <f>SUM(U45:U51)</f>
        <v>2337</v>
      </c>
      <c r="V52" s="6">
        <f>SUM(V45:V51)</f>
        <v>2213</v>
      </c>
      <c r="W52" s="6">
        <f>SUM(W45:W51)</f>
        <v>2831</v>
      </c>
      <c r="X52" s="6"/>
      <c r="Y52" s="6"/>
      <c r="Z52" s="6"/>
      <c r="AA52" s="6"/>
      <c r="AB52" s="6"/>
      <c r="AC52" s="6"/>
      <c r="AD52" s="6"/>
      <c r="AE52" s="6"/>
      <c r="AF52" s="6"/>
      <c r="AG52" s="6"/>
      <c r="AH52" s="6"/>
      <c r="AI52" s="6"/>
      <c r="AJ52" s="6"/>
      <c r="AK52" s="6"/>
      <c r="AL52" s="6"/>
      <c r="AM52" s="6"/>
      <c r="AN52" s="6"/>
      <c r="AO52" s="6"/>
      <c r="AP52" s="6"/>
    </row>
    <row r="53" spans="1:42" s="3" customFormat="1" x14ac:dyDescent="0.35">
      <c r="A53" s="3" t="s">
        <v>60</v>
      </c>
      <c r="B53" s="6">
        <f t="shared" ref="B53:P53" si="83">B42-B52</f>
        <v>824</v>
      </c>
      <c r="C53" s="6">
        <f t="shared" si="83"/>
        <v>825</v>
      </c>
      <c r="D53" s="6">
        <f t="shared" si="83"/>
        <v>653</v>
      </c>
      <c r="E53" s="6">
        <f t="shared" si="83"/>
        <v>1011</v>
      </c>
      <c r="F53" s="6">
        <f t="shared" si="83"/>
        <v>1271</v>
      </c>
      <c r="G53" s="6">
        <f t="shared" si="83"/>
        <v>1519</v>
      </c>
      <c r="H53" s="6">
        <f t="shared" si="83"/>
        <v>1230</v>
      </c>
      <c r="I53" s="6">
        <f t="shared" si="83"/>
        <v>1213</v>
      </c>
      <c r="J53" s="6">
        <f t="shared" si="83"/>
        <v>1397</v>
      </c>
      <c r="K53" s="6">
        <f t="shared" si="83"/>
        <v>1132</v>
      </c>
      <c r="L53" s="6">
        <f t="shared" si="83"/>
        <v>1031</v>
      </c>
      <c r="M53" s="6">
        <f t="shared" si="83"/>
        <v>0</v>
      </c>
      <c r="N53" s="6">
        <f t="shared" si="83"/>
        <v>885</v>
      </c>
      <c r="O53" s="6">
        <f t="shared" si="83"/>
        <v>596</v>
      </c>
      <c r="P53" s="6">
        <f t="shared" si="83"/>
        <v>108</v>
      </c>
      <c r="Q53" s="6"/>
      <c r="R53" s="1" t="s">
        <v>2</v>
      </c>
      <c r="S53" s="21">
        <f t="shared" ref="S53:T53" si="84">S42-S52</f>
        <v>1883</v>
      </c>
      <c r="T53" s="21">
        <f t="shared" si="84"/>
        <v>3313</v>
      </c>
      <c r="U53" s="21">
        <f>U42-U52</f>
        <v>5233</v>
      </c>
      <c r="V53" s="6">
        <f>V42-V52</f>
        <v>3560</v>
      </c>
      <c r="W53" s="6">
        <f>W42-W52</f>
        <v>1589</v>
      </c>
      <c r="X53" s="6"/>
      <c r="Y53" s="6"/>
      <c r="Z53" s="6"/>
      <c r="AA53" s="6"/>
      <c r="AB53" s="6"/>
      <c r="AC53" s="6"/>
      <c r="AD53" s="6"/>
      <c r="AE53" s="6"/>
      <c r="AF53" s="6"/>
      <c r="AG53" s="6"/>
      <c r="AH53" s="6"/>
      <c r="AI53" s="6"/>
      <c r="AJ53" s="6"/>
      <c r="AK53" s="6"/>
      <c r="AL53" s="6"/>
      <c r="AM53" s="6"/>
      <c r="AN53" s="6"/>
      <c r="AO53" s="6"/>
      <c r="AP53" s="6"/>
    </row>
    <row r="54" spans="1:42" x14ac:dyDescent="0.35">
      <c r="A54" t="s">
        <v>61</v>
      </c>
      <c r="B54" s="5">
        <v>131</v>
      </c>
      <c r="C54" s="5">
        <v>113</v>
      </c>
      <c r="D54" s="5">
        <v>120</v>
      </c>
      <c r="E54" s="5">
        <f t="shared" ref="E54:E55" si="85">T54-SUM(B54:D54)</f>
        <v>214</v>
      </c>
      <c r="F54" s="5">
        <v>207</v>
      </c>
      <c r="G54" s="5">
        <v>279</v>
      </c>
      <c r="H54" s="5">
        <v>193</v>
      </c>
      <c r="I54" s="5">
        <f>U54-SUM(F54:H54)</f>
        <v>189</v>
      </c>
      <c r="J54" s="5">
        <v>225</v>
      </c>
      <c r="K54" s="5">
        <v>204</v>
      </c>
      <c r="L54" s="5">
        <v>207</v>
      </c>
      <c r="M54" s="5"/>
      <c r="N54" s="5">
        <v>166</v>
      </c>
      <c r="O54" s="5">
        <v>115</v>
      </c>
      <c r="P54" s="5">
        <v>90</v>
      </c>
      <c r="Q54" s="5"/>
      <c r="R54" s="1" t="s">
        <v>2</v>
      </c>
      <c r="S54" s="22">
        <v>101</v>
      </c>
      <c r="T54" s="22">
        <v>578</v>
      </c>
      <c r="U54" s="22">
        <v>868</v>
      </c>
      <c r="V54" s="5">
        <f>SUM(J54:M54)</f>
        <v>636</v>
      </c>
      <c r="W54" s="5">
        <f>SUM(N54:Q54)</f>
        <v>371</v>
      </c>
      <c r="X54" s="5"/>
      <c r="Y54" s="5"/>
      <c r="Z54" s="5"/>
      <c r="AA54" s="5"/>
      <c r="AB54" s="5"/>
      <c r="AC54" s="5"/>
      <c r="AD54" s="5"/>
      <c r="AE54" s="5"/>
      <c r="AF54" s="5"/>
      <c r="AG54" s="5"/>
      <c r="AH54" s="5"/>
      <c r="AI54" s="5"/>
      <c r="AJ54" s="5"/>
      <c r="AK54" s="5"/>
      <c r="AL54" s="5"/>
      <c r="AM54" s="5"/>
      <c r="AN54" s="5"/>
      <c r="AO54" s="5"/>
      <c r="AP54" s="5"/>
    </row>
    <row r="55" spans="1:42" x14ac:dyDescent="0.35">
      <c r="A55" t="s">
        <v>15</v>
      </c>
      <c r="B55" s="5">
        <v>4</v>
      </c>
      <c r="C55" s="5">
        <v>0</v>
      </c>
      <c r="D55" s="5">
        <v>7</v>
      </c>
      <c r="E55" s="5">
        <f t="shared" si="85"/>
        <v>15</v>
      </c>
      <c r="F55" s="5">
        <v>10</v>
      </c>
      <c r="G55" s="5">
        <v>4</v>
      </c>
      <c r="H55" s="5">
        <v>6</v>
      </c>
      <c r="I55" s="5">
        <f>U55-SUM(F55:H55)</f>
        <v>5</v>
      </c>
      <c r="J55" s="5">
        <v>2</v>
      </c>
      <c r="K55" s="5">
        <v>1</v>
      </c>
      <c r="L55" s="5">
        <v>3</v>
      </c>
      <c r="M55" s="5"/>
      <c r="N55" s="5">
        <v>-10</v>
      </c>
      <c r="O55" s="5">
        <v>-5</v>
      </c>
      <c r="P55" s="5">
        <v>0</v>
      </c>
      <c r="Q55" s="5"/>
      <c r="R55" s="1" t="s">
        <v>2</v>
      </c>
      <c r="S55" s="22">
        <v>10</v>
      </c>
      <c r="T55" s="22">
        <v>26</v>
      </c>
      <c r="U55" s="22">
        <v>25</v>
      </c>
      <c r="V55" s="5">
        <f>SUM(J55:M55)</f>
        <v>6</v>
      </c>
      <c r="W55" s="5">
        <f>SUM(N55:Q55)</f>
        <v>-15</v>
      </c>
      <c r="X55" s="5"/>
      <c r="Y55" s="5"/>
      <c r="Z55" s="5"/>
      <c r="AA55" s="5"/>
      <c r="AB55" s="5"/>
      <c r="AC55" s="5"/>
      <c r="AD55" s="5"/>
      <c r="AE55" s="5"/>
      <c r="AF55" s="5"/>
      <c r="AG55" s="5"/>
      <c r="AH55" s="5"/>
      <c r="AI55" s="5"/>
      <c r="AJ55" s="5"/>
      <c r="AK55" s="5"/>
      <c r="AL55" s="5"/>
      <c r="AM55" s="5"/>
      <c r="AN55" s="5"/>
      <c r="AO55" s="5"/>
      <c r="AP55" s="5"/>
    </row>
    <row r="56" spans="1:42" s="3" customFormat="1" x14ac:dyDescent="0.35">
      <c r="A56" s="3" t="s">
        <v>16</v>
      </c>
      <c r="B56" s="6">
        <f t="shared" ref="B56:I56" si="86">B53-B54-B55</f>
        <v>689</v>
      </c>
      <c r="C56" s="6">
        <f t="shared" si="86"/>
        <v>712</v>
      </c>
      <c r="D56" s="6">
        <f t="shared" si="86"/>
        <v>526</v>
      </c>
      <c r="E56" s="6">
        <f t="shared" si="86"/>
        <v>782</v>
      </c>
      <c r="F56" s="6">
        <f t="shared" si="86"/>
        <v>1054</v>
      </c>
      <c r="G56" s="6">
        <f t="shared" si="86"/>
        <v>1236</v>
      </c>
      <c r="H56" s="6">
        <f t="shared" si="86"/>
        <v>1031</v>
      </c>
      <c r="I56" s="6">
        <f t="shared" si="86"/>
        <v>1019</v>
      </c>
      <c r="J56" s="6">
        <f>J53-J54-J55</f>
        <v>1170</v>
      </c>
      <c r="K56" s="6">
        <f t="shared" ref="K56:O56" si="87">K53-K54-K55</f>
        <v>927</v>
      </c>
      <c r="L56" s="6">
        <f t="shared" si="87"/>
        <v>821</v>
      </c>
      <c r="M56" s="6">
        <f t="shared" si="87"/>
        <v>0</v>
      </c>
      <c r="N56" s="6">
        <f t="shared" si="87"/>
        <v>729</v>
      </c>
      <c r="O56" s="6">
        <f t="shared" si="87"/>
        <v>486</v>
      </c>
      <c r="P56" s="6">
        <f t="shared" ref="P56" si="88">P53-P54-P55</f>
        <v>18</v>
      </c>
      <c r="Q56" s="6"/>
      <c r="R56" s="1" t="s">
        <v>2</v>
      </c>
      <c r="S56" s="21">
        <f t="shared" ref="S56:T56" si="89">S53-S54-S55</f>
        <v>1772</v>
      </c>
      <c r="T56" s="21">
        <f t="shared" si="89"/>
        <v>2709</v>
      </c>
      <c r="U56" s="21">
        <f t="shared" ref="U56" si="90">U53-U54-U55</f>
        <v>4340</v>
      </c>
      <c r="V56" s="6">
        <f t="shared" ref="V56:W56" si="91">V53-V54-V55</f>
        <v>2918</v>
      </c>
      <c r="W56" s="6">
        <f t="shared" si="91"/>
        <v>1233</v>
      </c>
      <c r="X56" s="6"/>
      <c r="Y56" s="6"/>
      <c r="Z56" s="6"/>
      <c r="AA56" s="6"/>
      <c r="AB56" s="6"/>
      <c r="AC56" s="6"/>
      <c r="AD56" s="6"/>
      <c r="AE56" s="6"/>
      <c r="AF56" s="6"/>
      <c r="AG56" s="6"/>
      <c r="AH56" s="6"/>
      <c r="AI56" s="6"/>
      <c r="AJ56" s="6"/>
      <c r="AK56" s="6"/>
      <c r="AL56" s="6"/>
      <c r="AM56" s="6"/>
      <c r="AN56" s="6"/>
      <c r="AO56" s="6"/>
      <c r="AP56" s="6"/>
    </row>
    <row r="57" spans="1:42" x14ac:dyDescent="0.35">
      <c r="A57" s="3" t="s">
        <v>41</v>
      </c>
      <c r="B57" s="3"/>
      <c r="C57" s="3"/>
      <c r="D57" s="3"/>
      <c r="E57" s="3"/>
      <c r="F57" s="3"/>
      <c r="G57" s="3"/>
      <c r="H57" s="3"/>
      <c r="I57" s="3"/>
      <c r="J57" s="5"/>
      <c r="K57" s="5"/>
      <c r="L57" s="5"/>
      <c r="M57" s="5"/>
      <c r="N57" s="12">
        <f>(N56-J56)/J56</f>
        <v>-0.37692307692307692</v>
      </c>
      <c r="O57" s="12">
        <f>(O56-K56)/K56</f>
        <v>-0.47572815533980584</v>
      </c>
      <c r="P57" s="12">
        <f>(P56-L56)/L56</f>
        <v>-0.97807551766138856</v>
      </c>
      <c r="Q57" s="5"/>
      <c r="R57" s="1" t="s">
        <v>2</v>
      </c>
      <c r="S57" s="5"/>
      <c r="T57" s="5"/>
      <c r="U57" s="22"/>
      <c r="V57" s="5"/>
      <c r="W57" s="5"/>
      <c r="X57" s="5"/>
      <c r="Y57" s="5"/>
      <c r="Z57" s="5"/>
      <c r="AA57" s="5"/>
      <c r="AB57" s="5"/>
      <c r="AC57" s="5"/>
      <c r="AD57" s="5"/>
      <c r="AE57" s="5"/>
      <c r="AF57" s="5"/>
      <c r="AG57" s="5"/>
      <c r="AH57" s="5"/>
      <c r="AI57" s="5"/>
      <c r="AJ57" s="5"/>
      <c r="AK57" s="5"/>
      <c r="AL57" s="5"/>
      <c r="AM57" s="5"/>
      <c r="AN57" s="5"/>
      <c r="AO57" s="5"/>
      <c r="AP57" s="5"/>
    </row>
    <row r="58" spans="1:42" x14ac:dyDescent="0.35">
      <c r="A58" s="3" t="s">
        <v>62</v>
      </c>
      <c r="B58" s="3">
        <v>563</v>
      </c>
      <c r="C58" s="3">
        <v>564</v>
      </c>
      <c r="D58" s="3">
        <v>564</v>
      </c>
      <c r="E58" s="5">
        <v>564</v>
      </c>
      <c r="F58" s="3">
        <v>566</v>
      </c>
      <c r="G58" s="3">
        <v>566</v>
      </c>
      <c r="H58" s="3">
        <v>561</v>
      </c>
      <c r="I58" s="3">
        <v>562</v>
      </c>
      <c r="J58" s="5">
        <v>550</v>
      </c>
      <c r="K58" s="5">
        <v>545</v>
      </c>
      <c r="L58" s="5">
        <v>540</v>
      </c>
      <c r="M58" s="5"/>
      <c r="N58" s="5">
        <v>513</v>
      </c>
      <c r="O58" s="5">
        <v>492</v>
      </c>
      <c r="P58" s="5">
        <v>482</v>
      </c>
      <c r="Q58" s="5"/>
      <c r="R58" s="1" t="s">
        <v>2</v>
      </c>
      <c r="S58" s="5">
        <v>561</v>
      </c>
      <c r="T58" s="5">
        <v>564</v>
      </c>
      <c r="U58" s="22">
        <v>562</v>
      </c>
      <c r="V58" s="5"/>
      <c r="W58" s="5"/>
      <c r="X58" s="5"/>
      <c r="Y58" s="5"/>
      <c r="Z58" s="5"/>
      <c r="AA58" s="5"/>
      <c r="AB58" s="5"/>
      <c r="AC58" s="5"/>
      <c r="AD58" s="5"/>
      <c r="AE58" s="5"/>
      <c r="AF58" s="5"/>
      <c r="AG58" s="5"/>
      <c r="AH58" s="5"/>
      <c r="AI58" s="5"/>
      <c r="AJ58" s="5"/>
      <c r="AK58" s="5"/>
      <c r="AL58" s="5"/>
      <c r="AM58" s="5"/>
      <c r="AN58" s="5"/>
      <c r="AO58" s="5"/>
      <c r="AP58" s="5"/>
    </row>
    <row r="59" spans="1:42" x14ac:dyDescent="0.35">
      <c r="A59" s="3" t="s">
        <v>63</v>
      </c>
      <c r="B59" s="3">
        <v>564</v>
      </c>
      <c r="C59" s="3">
        <v>566</v>
      </c>
      <c r="D59" s="3">
        <v>566</v>
      </c>
      <c r="E59" s="5">
        <v>566</v>
      </c>
      <c r="F59" s="3">
        <v>568</v>
      </c>
      <c r="G59" s="3">
        <v>568</v>
      </c>
      <c r="H59" s="3">
        <v>563</v>
      </c>
      <c r="I59" s="3">
        <v>563</v>
      </c>
      <c r="J59" s="5">
        <v>551</v>
      </c>
      <c r="K59" s="5">
        <v>546</v>
      </c>
      <c r="L59" s="5">
        <v>540</v>
      </c>
      <c r="M59" s="5"/>
      <c r="N59" s="5">
        <v>514</v>
      </c>
      <c r="O59" s="5">
        <v>493</v>
      </c>
      <c r="P59" s="5">
        <v>483</v>
      </c>
      <c r="Q59" s="5"/>
      <c r="R59" s="1" t="s">
        <v>2</v>
      </c>
      <c r="S59" s="5">
        <v>565</v>
      </c>
      <c r="T59" s="5">
        <v>566</v>
      </c>
      <c r="U59" s="22">
        <v>563</v>
      </c>
      <c r="V59" s="5"/>
      <c r="W59" s="5"/>
      <c r="X59" s="5"/>
      <c r="Y59" s="5"/>
      <c r="Z59" s="5"/>
      <c r="AA59" s="5"/>
      <c r="AB59" s="5"/>
      <c r="AC59" s="5"/>
      <c r="AD59" s="5"/>
      <c r="AE59" s="5"/>
      <c r="AF59" s="5"/>
      <c r="AG59" s="5"/>
      <c r="AH59" s="5"/>
      <c r="AI59" s="5"/>
      <c r="AJ59" s="5"/>
      <c r="AK59" s="5"/>
      <c r="AL59" s="5"/>
      <c r="AM59" s="5"/>
      <c r="AN59" s="5"/>
      <c r="AO59" s="5"/>
      <c r="AP59" s="5"/>
    </row>
    <row r="60" spans="1:42" s="3" customFormat="1" x14ac:dyDescent="0.35">
      <c r="A60" s="3" t="s">
        <v>64</v>
      </c>
      <c r="B60" s="11">
        <f t="shared" ref="B60:I60" si="92">B56/B58</f>
        <v>1.2238010657193605</v>
      </c>
      <c r="C60" s="11">
        <f t="shared" si="92"/>
        <v>1.2624113475177305</v>
      </c>
      <c r="D60" s="11">
        <f t="shared" si="92"/>
        <v>0.93262411347517726</v>
      </c>
      <c r="E60" s="11">
        <f t="shared" si="92"/>
        <v>1.3865248226950355</v>
      </c>
      <c r="F60" s="11">
        <f t="shared" si="92"/>
        <v>1.862190812720848</v>
      </c>
      <c r="G60" s="11">
        <f t="shared" si="92"/>
        <v>2.1837455830388692</v>
      </c>
      <c r="H60" s="11">
        <f t="shared" si="92"/>
        <v>1.8377896613190732</v>
      </c>
      <c r="I60" s="11">
        <f t="shared" si="92"/>
        <v>1.813167259786477</v>
      </c>
      <c r="J60" s="11">
        <f>J56/J58</f>
        <v>2.1272727272727274</v>
      </c>
      <c r="K60" s="11">
        <f t="shared" ref="K60:N60" si="93">K56/K58</f>
        <v>1.7009174311926605</v>
      </c>
      <c r="L60" s="11">
        <f t="shared" si="93"/>
        <v>1.5203703703703704</v>
      </c>
      <c r="M60" s="11" t="e">
        <f t="shared" si="93"/>
        <v>#DIV/0!</v>
      </c>
      <c r="N60" s="11">
        <f t="shared" si="93"/>
        <v>1.4210526315789473</v>
      </c>
      <c r="O60" s="11">
        <f t="shared" ref="O60:P60" si="94">O56/O58</f>
        <v>0.98780487804878048</v>
      </c>
      <c r="P60" s="11">
        <f t="shared" si="94"/>
        <v>3.7344398340248962E-2</v>
      </c>
      <c r="Q60" s="11"/>
      <c r="R60" s="1" t="s">
        <v>2</v>
      </c>
      <c r="S60" s="11">
        <f t="shared" ref="S60" si="95">S56/S58</f>
        <v>3.1586452762923352</v>
      </c>
      <c r="T60" s="11">
        <f t="shared" ref="T60:U60" si="96">T56/T58</f>
        <v>4.8031914893617023</v>
      </c>
      <c r="U60" s="25">
        <f t="shared" si="96"/>
        <v>7.722419928825623</v>
      </c>
      <c r="V60" s="11" t="e">
        <f t="shared" ref="V60:W60" si="97">V56/V58</f>
        <v>#DIV/0!</v>
      </c>
      <c r="W60" s="11" t="e">
        <f t="shared" si="97"/>
        <v>#DIV/0!</v>
      </c>
      <c r="X60" s="11"/>
      <c r="Y60" s="11"/>
      <c r="Z60" s="11"/>
      <c r="AA60" s="11"/>
    </row>
    <row r="61" spans="1:42" s="3" customFormat="1" x14ac:dyDescent="0.35">
      <c r="A61" s="3" t="s">
        <v>65</v>
      </c>
      <c r="B61" s="11">
        <f t="shared" ref="B61:I61" si="98">B56/B59</f>
        <v>1.2216312056737588</v>
      </c>
      <c r="C61" s="11">
        <f t="shared" si="98"/>
        <v>1.2579505300353357</v>
      </c>
      <c r="D61" s="11">
        <f t="shared" si="98"/>
        <v>0.92932862190812726</v>
      </c>
      <c r="E61" s="11">
        <f t="shared" si="98"/>
        <v>1.3816254416961131</v>
      </c>
      <c r="F61" s="11">
        <f t="shared" si="98"/>
        <v>1.8556338028169015</v>
      </c>
      <c r="G61" s="11">
        <f t="shared" si="98"/>
        <v>2.176056338028169</v>
      </c>
      <c r="H61" s="11">
        <f t="shared" si="98"/>
        <v>1.8312611012433393</v>
      </c>
      <c r="I61" s="11">
        <f t="shared" si="98"/>
        <v>1.8099467140319716</v>
      </c>
      <c r="J61" s="11">
        <f>J56/J59</f>
        <v>2.1234119782214158</v>
      </c>
      <c r="K61" s="11">
        <f t="shared" ref="K61:N61" si="99">K56/K59</f>
        <v>1.6978021978021978</v>
      </c>
      <c r="L61" s="11">
        <f t="shared" si="99"/>
        <v>1.5203703703703704</v>
      </c>
      <c r="M61" s="11" t="e">
        <f t="shared" si="99"/>
        <v>#DIV/0!</v>
      </c>
      <c r="N61" s="11">
        <f t="shared" si="99"/>
        <v>1.4182879377431907</v>
      </c>
      <c r="O61" s="11">
        <f t="shared" ref="O61:P61" si="100">O56/O59</f>
        <v>0.98580121703853951</v>
      </c>
      <c r="P61" s="11">
        <f t="shared" si="100"/>
        <v>3.7267080745341616E-2</v>
      </c>
      <c r="Q61" s="11"/>
      <c r="R61" s="1" t="s">
        <v>2</v>
      </c>
      <c r="S61" s="11">
        <f t="shared" ref="S61" si="101">S56/S59</f>
        <v>3.1362831858407079</v>
      </c>
      <c r="T61" s="11">
        <f t="shared" ref="T61:U61" si="102">T56/T59</f>
        <v>4.7862190812720851</v>
      </c>
      <c r="U61" s="25">
        <f t="shared" si="102"/>
        <v>7.7087033747779747</v>
      </c>
      <c r="V61" s="11" t="e">
        <f t="shared" ref="V61:W61" si="103">V56/V59</f>
        <v>#DIV/0!</v>
      </c>
      <c r="W61" s="11" t="e">
        <f t="shared" si="103"/>
        <v>#DIV/0!</v>
      </c>
      <c r="X61" s="11"/>
      <c r="Y61" s="11"/>
      <c r="Z61" s="11"/>
      <c r="AA61" s="11"/>
    </row>
    <row r="62" spans="1:42" x14ac:dyDescent="0.35">
      <c r="A62" s="3" t="s">
        <v>66</v>
      </c>
      <c r="B62" s="3">
        <v>0.37</v>
      </c>
      <c r="C62" s="3">
        <v>0.37</v>
      </c>
      <c r="D62" s="3">
        <v>0.37</v>
      </c>
      <c r="E62" s="27"/>
      <c r="F62" s="3">
        <v>0.4</v>
      </c>
      <c r="G62" s="3">
        <v>0.4</v>
      </c>
      <c r="H62" s="3">
        <v>0.4</v>
      </c>
      <c r="I62" s="27"/>
      <c r="J62" s="10">
        <v>0.45</v>
      </c>
      <c r="K62" s="10">
        <v>0.45</v>
      </c>
      <c r="L62" s="10">
        <v>0.45</v>
      </c>
      <c r="M62" s="10"/>
      <c r="N62" s="10">
        <v>0.5</v>
      </c>
      <c r="O62" s="10">
        <v>0.5</v>
      </c>
      <c r="P62" s="10">
        <v>0.5</v>
      </c>
      <c r="Q62" s="10"/>
      <c r="R62" s="1" t="s">
        <v>2</v>
      </c>
      <c r="S62" s="10">
        <f>SUM(G62:J62)</f>
        <v>1.25</v>
      </c>
      <c r="T62" s="10">
        <f>SUM(H62:K62)</f>
        <v>1.3</v>
      </c>
      <c r="U62" s="26">
        <f>SUM(I62:L62)</f>
        <v>1.35</v>
      </c>
      <c r="V62" s="10">
        <f>SUM(J62:M62)</f>
        <v>1.35</v>
      </c>
      <c r="W62" s="10">
        <f>SUM(N62:Q62)</f>
        <v>1.5</v>
      </c>
      <c r="X62" s="10"/>
      <c r="Y62" s="10"/>
      <c r="Z62" s="10"/>
      <c r="AA62" s="10"/>
    </row>
    <row r="63" spans="1:42" x14ac:dyDescent="0.35">
      <c r="A63" s="3"/>
      <c r="B63" s="3"/>
      <c r="C63" s="3"/>
      <c r="D63" s="3"/>
      <c r="E63" s="3"/>
      <c r="F63" s="3"/>
      <c r="G63" s="3"/>
      <c r="H63" s="3"/>
      <c r="I63" s="3"/>
      <c r="J63" s="10"/>
      <c r="K63" s="10"/>
      <c r="L63" s="10"/>
      <c r="M63" s="10"/>
      <c r="N63" s="10"/>
      <c r="O63" s="10"/>
      <c r="P63" s="10"/>
      <c r="Q63" s="10"/>
      <c r="R63" s="1"/>
      <c r="S63" s="10"/>
      <c r="T63" s="10"/>
      <c r="U63" s="26"/>
      <c r="V63" s="10"/>
      <c r="W63" s="10"/>
      <c r="X63" s="10"/>
      <c r="Y63" s="10"/>
      <c r="Z63" s="10"/>
      <c r="AA63" s="10"/>
    </row>
    <row r="64" spans="1:42" s="16" customFormat="1" x14ac:dyDescent="0.35">
      <c r="B64" s="16" t="str">
        <f t="shared" ref="B64:R64" si="104">B37</f>
        <v>Q121</v>
      </c>
      <c r="C64" s="16" t="str">
        <f t="shared" si="104"/>
        <v>Q221</v>
      </c>
      <c r="D64" s="16" t="str">
        <f t="shared" si="104"/>
        <v>Q321</v>
      </c>
      <c r="E64" s="16" t="str">
        <f t="shared" si="104"/>
        <v>Q421</v>
      </c>
      <c r="F64" s="16" t="str">
        <f t="shared" si="104"/>
        <v>Q122</v>
      </c>
      <c r="G64" s="16" t="str">
        <f t="shared" si="104"/>
        <v>Q222</v>
      </c>
      <c r="H64" s="16" t="str">
        <f t="shared" si="104"/>
        <v>Q322</v>
      </c>
      <c r="I64" s="16" t="str">
        <f t="shared" si="104"/>
        <v>Q422</v>
      </c>
      <c r="J64" s="16" t="str">
        <f t="shared" si="104"/>
        <v>Q123</v>
      </c>
      <c r="K64" s="16" t="str">
        <f t="shared" si="104"/>
        <v>Q223</v>
      </c>
      <c r="L64" s="16" t="str">
        <f t="shared" si="104"/>
        <v>Q323</v>
      </c>
      <c r="M64" s="16" t="str">
        <f t="shared" si="104"/>
        <v>Q423</v>
      </c>
      <c r="N64" s="16" t="str">
        <f t="shared" si="104"/>
        <v>Q124</v>
      </c>
      <c r="O64" s="16" t="str">
        <f t="shared" si="104"/>
        <v>Q224</v>
      </c>
      <c r="P64" s="16" t="str">
        <f t="shared" si="104"/>
        <v>Q324</v>
      </c>
      <c r="Q64" s="16" t="str">
        <f t="shared" si="104"/>
        <v>Q424</v>
      </c>
      <c r="R64" s="17" t="str">
        <f t="shared" si="104"/>
        <v>xxx</v>
      </c>
      <c r="S64" s="16">
        <f>S37</f>
        <v>2020</v>
      </c>
      <c r="T64" s="16">
        <f>T37</f>
        <v>2021</v>
      </c>
      <c r="U64" s="23">
        <f>U37</f>
        <v>2022</v>
      </c>
      <c r="V64" s="16">
        <f>V37</f>
        <v>2023</v>
      </c>
      <c r="W64" s="16">
        <f>W37</f>
        <v>2024</v>
      </c>
    </row>
    <row r="65" spans="1:23" x14ac:dyDescent="0.35">
      <c r="R65" s="1" t="s">
        <v>2</v>
      </c>
    </row>
    <row r="66" spans="1:23" s="3" customFormat="1" x14ac:dyDescent="0.35">
      <c r="A66" s="3" t="s">
        <v>67</v>
      </c>
      <c r="B66" s="6">
        <f t="shared" ref="B66:I66" si="105">B56</f>
        <v>689</v>
      </c>
      <c r="C66" s="6">
        <f t="shared" si="105"/>
        <v>712</v>
      </c>
      <c r="D66" s="6">
        <f t="shared" si="105"/>
        <v>526</v>
      </c>
      <c r="E66" s="6">
        <f t="shared" si="105"/>
        <v>782</v>
      </c>
      <c r="F66" s="6">
        <f t="shared" si="105"/>
        <v>1054</v>
      </c>
      <c r="G66" s="6">
        <f t="shared" si="105"/>
        <v>1236</v>
      </c>
      <c r="H66" s="6">
        <f t="shared" si="105"/>
        <v>1031</v>
      </c>
      <c r="I66" s="6">
        <f t="shared" si="105"/>
        <v>1019</v>
      </c>
      <c r="J66" s="6">
        <f t="shared" ref="J66:P66" si="106">J56</f>
        <v>1170</v>
      </c>
      <c r="K66" s="6">
        <f t="shared" si="106"/>
        <v>927</v>
      </c>
      <c r="L66" s="6">
        <f t="shared" si="106"/>
        <v>821</v>
      </c>
      <c r="M66" s="6">
        <f t="shared" si="106"/>
        <v>0</v>
      </c>
      <c r="N66" s="6">
        <f t="shared" si="106"/>
        <v>729</v>
      </c>
      <c r="O66" s="6">
        <f t="shared" si="106"/>
        <v>486</v>
      </c>
      <c r="P66" s="6">
        <f t="shared" si="106"/>
        <v>18</v>
      </c>
      <c r="Q66" s="6"/>
      <c r="R66" s="1" t="s">
        <v>2</v>
      </c>
      <c r="S66" s="6">
        <f t="shared" ref="S66:U66" si="107">S56</f>
        <v>1772</v>
      </c>
      <c r="T66" s="6">
        <f t="shared" si="107"/>
        <v>2709</v>
      </c>
      <c r="U66" s="21">
        <f t="shared" si="107"/>
        <v>4340</v>
      </c>
      <c r="V66" s="6">
        <f>V56</f>
        <v>2918</v>
      </c>
      <c r="W66" s="6">
        <f>W56</f>
        <v>1233</v>
      </c>
    </row>
    <row r="67" spans="1:23" x14ac:dyDescent="0.35">
      <c r="A67" t="s">
        <v>17</v>
      </c>
      <c r="B67">
        <v>693</v>
      </c>
      <c r="C67">
        <f>1405-B67</f>
        <v>712</v>
      </c>
      <c r="D67">
        <v>533</v>
      </c>
      <c r="E67" s="5">
        <f>T67-SUM(B67:D67)</f>
        <v>797</v>
      </c>
      <c r="F67">
        <v>1064</v>
      </c>
      <c r="G67">
        <f>2304-F67</f>
        <v>1240</v>
      </c>
      <c r="H67">
        <v>1037</v>
      </c>
      <c r="I67" s="5">
        <f>U67-SUM(F67:H67)</f>
        <v>1024</v>
      </c>
      <c r="J67" s="5">
        <v>1172</v>
      </c>
      <c r="K67" s="5">
        <f>2100-J67</f>
        <v>928</v>
      </c>
      <c r="L67" s="5">
        <v>824</v>
      </c>
      <c r="M67" s="5"/>
      <c r="N67" s="5">
        <v>719</v>
      </c>
      <c r="O67" s="5">
        <f>1200-N67</f>
        <v>481</v>
      </c>
      <c r="P67" s="5">
        <f>1218-O67-N67</f>
        <v>18</v>
      </c>
      <c r="Q67" s="5"/>
      <c r="R67" s="1" t="s">
        <v>2</v>
      </c>
      <c r="S67">
        <v>1782</v>
      </c>
      <c r="T67" s="5">
        <v>2735</v>
      </c>
      <c r="U67" s="22">
        <v>4365</v>
      </c>
      <c r="V67" s="5">
        <f t="shared" ref="V67:V84" si="108">SUM(J67:M67)</f>
        <v>2924</v>
      </c>
      <c r="W67" s="5">
        <f t="shared" ref="W67:W84" si="109">SUM(N67:Q67)</f>
        <v>1218</v>
      </c>
    </row>
    <row r="68" spans="1:23" x14ac:dyDescent="0.35">
      <c r="A68" t="s">
        <v>18</v>
      </c>
      <c r="B68">
        <v>249</v>
      </c>
      <c r="C68">
        <f>492-B68</f>
        <v>243</v>
      </c>
      <c r="D68">
        <v>247</v>
      </c>
      <c r="E68" s="5">
        <f t="shared" ref="E68:E84" si="110">T68-SUM(B68:D68)</f>
        <v>257</v>
      </c>
      <c r="F68">
        <v>257</v>
      </c>
      <c r="G68">
        <f>514-F68</f>
        <v>257</v>
      </c>
      <c r="H68">
        <v>260</v>
      </c>
      <c r="I68" s="5">
        <f t="shared" ref="I68:I84" si="111">U68-SUM(F68:H68)</f>
        <v>254</v>
      </c>
      <c r="J68" s="5">
        <v>259</v>
      </c>
      <c r="K68" s="5">
        <f>521-J68</f>
        <v>262</v>
      </c>
      <c r="L68" s="5">
        <v>261</v>
      </c>
      <c r="M68" s="5"/>
      <c r="N68" s="5">
        <v>280</v>
      </c>
      <c r="O68" s="5">
        <f>566-N68</f>
        <v>286</v>
      </c>
      <c r="P68" s="5">
        <f>854-SUM(N68:O68)</f>
        <v>288</v>
      </c>
      <c r="Q68" s="5"/>
      <c r="R68" s="1" t="s">
        <v>2</v>
      </c>
      <c r="S68" s="5">
        <v>976</v>
      </c>
      <c r="T68" s="5">
        <v>996</v>
      </c>
      <c r="U68" s="22">
        <v>1028</v>
      </c>
      <c r="V68" s="5">
        <f t="shared" si="108"/>
        <v>782</v>
      </c>
      <c r="W68" s="5">
        <f t="shared" si="109"/>
        <v>854</v>
      </c>
    </row>
    <row r="69" spans="1:23" x14ac:dyDescent="0.35">
      <c r="A69" t="s">
        <v>68</v>
      </c>
      <c r="B69">
        <v>31</v>
      </c>
      <c r="C69">
        <f>54-B69</f>
        <v>23</v>
      </c>
      <c r="D69">
        <v>0</v>
      </c>
      <c r="E69" s="5">
        <f t="shared" si="110"/>
        <v>71</v>
      </c>
      <c r="F69">
        <v>1</v>
      </c>
      <c r="G69">
        <f>4-F69</f>
        <v>3</v>
      </c>
      <c r="H69">
        <v>16</v>
      </c>
      <c r="I69" s="5">
        <f t="shared" si="111"/>
        <v>17</v>
      </c>
      <c r="J69" s="5">
        <v>3</v>
      </c>
      <c r="K69" s="5">
        <f>46-J69</f>
        <v>43</v>
      </c>
      <c r="L69" s="5">
        <v>74</v>
      </c>
      <c r="M69" s="5"/>
      <c r="N69" s="5">
        <v>3</v>
      </c>
      <c r="O69" s="5">
        <f>10-N69</f>
        <v>7</v>
      </c>
      <c r="P69" s="5">
        <f>517-SUM(N69:O69)</f>
        <v>507</v>
      </c>
      <c r="Q69" s="5"/>
      <c r="R69" s="1" t="s">
        <v>2</v>
      </c>
      <c r="S69" s="5">
        <v>54</v>
      </c>
      <c r="T69" s="5">
        <v>125</v>
      </c>
      <c r="U69" s="22">
        <v>37</v>
      </c>
      <c r="V69" s="5">
        <f t="shared" si="108"/>
        <v>120</v>
      </c>
      <c r="W69" s="5">
        <f t="shared" si="109"/>
        <v>517</v>
      </c>
    </row>
    <row r="70" spans="1:23" x14ac:dyDescent="0.35">
      <c r="A70" t="s">
        <v>69</v>
      </c>
      <c r="B70">
        <v>-7</v>
      </c>
      <c r="C70">
        <f>-37-B70</f>
        <v>-30</v>
      </c>
      <c r="D70">
        <v>-58</v>
      </c>
      <c r="E70" s="5">
        <f t="shared" si="110"/>
        <v>-34</v>
      </c>
      <c r="F70">
        <v>144</v>
      </c>
      <c r="G70">
        <f>-15-F70</f>
        <v>-159</v>
      </c>
      <c r="H70">
        <v>-24</v>
      </c>
      <c r="I70" s="5">
        <f t="shared" si="111"/>
        <v>-50</v>
      </c>
      <c r="J70" s="5">
        <v>47</v>
      </c>
      <c r="K70" s="5">
        <f>8-J70</f>
        <v>-39</v>
      </c>
      <c r="L70" s="5">
        <v>9</v>
      </c>
      <c r="M70" s="5"/>
      <c r="N70" s="5">
        <v>-64</v>
      </c>
      <c r="O70" s="5">
        <f>-92-N70</f>
        <v>-28</v>
      </c>
      <c r="P70" s="5">
        <f>-107-SUM(N70:O70)</f>
        <v>-15</v>
      </c>
      <c r="Q70" s="5"/>
      <c r="R70" s="1" t="s">
        <v>2</v>
      </c>
      <c r="S70" s="5">
        <v>75</v>
      </c>
      <c r="T70" s="5">
        <v>-129</v>
      </c>
      <c r="U70" s="22">
        <v>-89</v>
      </c>
      <c r="V70" s="5">
        <f t="shared" si="108"/>
        <v>17</v>
      </c>
      <c r="W70" s="5">
        <f t="shared" si="109"/>
        <v>-107</v>
      </c>
    </row>
    <row r="71" spans="1:23" x14ac:dyDescent="0.35">
      <c r="A71" t="s">
        <v>14</v>
      </c>
      <c r="B71">
        <v>-81</v>
      </c>
      <c r="C71">
        <f>-23-B71</f>
        <v>58</v>
      </c>
      <c r="D71">
        <v>-13</v>
      </c>
      <c r="E71" s="5">
        <f t="shared" si="110"/>
        <v>-141</v>
      </c>
      <c r="F71">
        <v>-159</v>
      </c>
      <c r="G71">
        <f>-162-F71</f>
        <v>-3</v>
      </c>
      <c r="H71">
        <v>-117</v>
      </c>
      <c r="I71" s="5">
        <f t="shared" si="111"/>
        <v>-178</v>
      </c>
      <c r="J71" s="5">
        <v>-113</v>
      </c>
      <c r="K71" s="5">
        <f>-80-J71</f>
        <v>33</v>
      </c>
      <c r="L71" s="5">
        <v>16</v>
      </c>
      <c r="M71" s="5"/>
      <c r="N71" s="5">
        <v>-136</v>
      </c>
      <c r="O71" s="5">
        <f>-121-N71</f>
        <v>15</v>
      </c>
      <c r="P71" s="5">
        <f>-151-SUM(N71:O71)</f>
        <v>-30</v>
      </c>
      <c r="Q71" s="5"/>
      <c r="R71" s="1" t="s">
        <v>2</v>
      </c>
      <c r="S71" s="5">
        <v>-298</v>
      </c>
      <c r="T71" s="5">
        <v>-177</v>
      </c>
      <c r="U71" s="22">
        <v>-457</v>
      </c>
      <c r="V71" s="5">
        <f t="shared" si="108"/>
        <v>-64</v>
      </c>
      <c r="W71" s="5">
        <f t="shared" si="109"/>
        <v>-151</v>
      </c>
    </row>
    <row r="72" spans="1:23" x14ac:dyDescent="0.35">
      <c r="A72" t="s">
        <v>70</v>
      </c>
      <c r="B72">
        <v>76</v>
      </c>
      <c r="C72">
        <f>114-B72</f>
        <v>38</v>
      </c>
      <c r="D72">
        <v>21</v>
      </c>
      <c r="E72" s="5">
        <f t="shared" si="110"/>
        <v>26</v>
      </c>
      <c r="F72">
        <v>69</v>
      </c>
      <c r="G72">
        <f>97-F72</f>
        <v>28</v>
      </c>
      <c r="H72">
        <v>26</v>
      </c>
      <c r="I72" s="5">
        <f t="shared" si="111"/>
        <v>24</v>
      </c>
      <c r="J72" s="5">
        <v>65</v>
      </c>
      <c r="K72" s="5">
        <f>86-J72</f>
        <v>21</v>
      </c>
      <c r="L72" s="5">
        <v>12</v>
      </c>
      <c r="M72" s="5"/>
      <c r="N72" s="5">
        <v>66</v>
      </c>
      <c r="O72" s="5">
        <f>84-N72</f>
        <v>18</v>
      </c>
      <c r="P72" s="5">
        <f>74-SUM(N72:O72)</f>
        <v>-10</v>
      </c>
      <c r="Q72" s="5"/>
      <c r="R72" s="1" t="s">
        <v>2</v>
      </c>
      <c r="S72" s="5">
        <v>151</v>
      </c>
      <c r="T72" s="5">
        <v>161</v>
      </c>
      <c r="U72" s="22">
        <v>147</v>
      </c>
      <c r="V72" s="5">
        <f t="shared" si="108"/>
        <v>98</v>
      </c>
      <c r="W72" s="5">
        <f t="shared" si="109"/>
        <v>74</v>
      </c>
    </row>
    <row r="73" spans="1:23" x14ac:dyDescent="0.35">
      <c r="A73" t="s">
        <v>153</v>
      </c>
      <c r="D73">
        <v>36</v>
      </c>
      <c r="E73" s="5">
        <f t="shared" si="110"/>
        <v>-2</v>
      </c>
      <c r="F73">
        <v>0</v>
      </c>
      <c r="G73">
        <v>0</v>
      </c>
      <c r="H73">
        <v>0</v>
      </c>
      <c r="I73" s="5">
        <f t="shared" si="111"/>
        <v>-84</v>
      </c>
      <c r="J73">
        <v>0</v>
      </c>
      <c r="K73">
        <v>0</v>
      </c>
      <c r="L73">
        <v>0</v>
      </c>
      <c r="M73" s="5"/>
      <c r="N73">
        <v>0</v>
      </c>
      <c r="O73">
        <v>0</v>
      </c>
      <c r="P73">
        <v>0</v>
      </c>
      <c r="Q73" s="5"/>
      <c r="R73" s="1"/>
      <c r="S73" s="5">
        <v>254</v>
      </c>
      <c r="T73" s="5">
        <v>34</v>
      </c>
      <c r="U73" s="22">
        <v>-84</v>
      </c>
      <c r="V73" s="5">
        <f t="shared" si="108"/>
        <v>0</v>
      </c>
      <c r="W73" s="5">
        <f t="shared" si="109"/>
        <v>0</v>
      </c>
    </row>
    <row r="74" spans="1:23" x14ac:dyDescent="0.35">
      <c r="A74" t="s">
        <v>71</v>
      </c>
      <c r="B74">
        <v>102</v>
      </c>
      <c r="C74">
        <f>183-B74</f>
        <v>81</v>
      </c>
      <c r="D74">
        <v>75</v>
      </c>
      <c r="E74" s="5">
        <f t="shared" si="110"/>
        <v>-222</v>
      </c>
      <c r="F74">
        <v>283</v>
      </c>
      <c r="G74">
        <f>206-F74</f>
        <v>-77</v>
      </c>
      <c r="H74">
        <v>39</v>
      </c>
      <c r="I74" s="5">
        <f t="shared" si="111"/>
        <v>-245</v>
      </c>
      <c r="J74" s="5">
        <v>-104</v>
      </c>
      <c r="K74" s="5">
        <f>-141-J74</f>
        <v>-37</v>
      </c>
      <c r="L74" s="5">
        <v>128</v>
      </c>
      <c r="M74" s="5"/>
      <c r="N74" s="5">
        <v>-69</v>
      </c>
      <c r="O74" s="5">
        <f>-118-N74</f>
        <v>-49</v>
      </c>
      <c r="P74" s="5">
        <f>-115-SUM(N74:O74)</f>
        <v>3</v>
      </c>
      <c r="Q74" s="5"/>
      <c r="R74" s="1" t="s">
        <v>2</v>
      </c>
      <c r="S74" s="5">
        <v>409</v>
      </c>
      <c r="T74" s="5">
        <v>36</v>
      </c>
      <c r="U74" s="22">
        <v>0</v>
      </c>
      <c r="V74" s="5">
        <f t="shared" si="108"/>
        <v>-13</v>
      </c>
      <c r="W74" s="5">
        <f t="shared" si="109"/>
        <v>-115</v>
      </c>
    </row>
    <row r="75" spans="1:23" x14ac:dyDescent="0.35">
      <c r="A75" t="s">
        <v>72</v>
      </c>
      <c r="B75">
        <v>-11</v>
      </c>
      <c r="C75">
        <f>-79-B75</f>
        <v>-68</v>
      </c>
      <c r="D75">
        <v>-16</v>
      </c>
      <c r="E75" s="5">
        <f t="shared" si="110"/>
        <v>-54</v>
      </c>
      <c r="F75">
        <v>-34</v>
      </c>
      <c r="G75">
        <f>-42-F75</f>
        <v>-8</v>
      </c>
      <c r="H75">
        <v>-35</v>
      </c>
      <c r="I75" s="5">
        <f t="shared" si="111"/>
        <v>-38</v>
      </c>
      <c r="J75" s="5">
        <v>-11</v>
      </c>
      <c r="K75" s="5">
        <f>-32-J75</f>
        <v>-21</v>
      </c>
      <c r="L75" s="5">
        <v>-1</v>
      </c>
      <c r="M75" s="5"/>
      <c r="N75" s="5">
        <v>14</v>
      </c>
      <c r="O75" s="5">
        <f>9-N75</f>
        <v>-5</v>
      </c>
      <c r="P75" s="5">
        <f>9-SUM(N75:O75)</f>
        <v>0</v>
      </c>
      <c r="Q75" s="5"/>
      <c r="R75" s="1" t="s">
        <v>2</v>
      </c>
      <c r="S75" s="5">
        <v>-161</v>
      </c>
      <c r="T75" s="5">
        <v>-149</v>
      </c>
      <c r="U75" s="22">
        <v>-115</v>
      </c>
      <c r="V75" s="5">
        <f t="shared" si="108"/>
        <v>-33</v>
      </c>
      <c r="W75" s="5">
        <f t="shared" si="109"/>
        <v>9</v>
      </c>
    </row>
    <row r="76" spans="1:23" x14ac:dyDescent="0.35">
      <c r="A76" t="s">
        <v>19</v>
      </c>
      <c r="B76">
        <v>150</v>
      </c>
      <c r="C76">
        <f>93-B76</f>
        <v>-57</v>
      </c>
      <c r="D76">
        <v>63</v>
      </c>
      <c r="E76" s="5">
        <f t="shared" si="110"/>
        <v>153</v>
      </c>
      <c r="F76">
        <v>-9</v>
      </c>
      <c r="G76">
        <f>312-F76</f>
        <v>321</v>
      </c>
      <c r="H76">
        <v>237</v>
      </c>
      <c r="I76" s="5">
        <f t="shared" si="111"/>
        <v>-371</v>
      </c>
      <c r="J76" s="5">
        <v>-8</v>
      </c>
      <c r="K76" s="5">
        <f>-18-J76</f>
        <v>-10</v>
      </c>
      <c r="L76" s="5">
        <v>-9</v>
      </c>
      <c r="M76" s="5"/>
      <c r="N76" s="5">
        <v>69</v>
      </c>
      <c r="O76" s="5">
        <f>154-N76</f>
        <v>85</v>
      </c>
      <c r="P76" s="5">
        <f>42-SUM(N76:O76)</f>
        <v>-112</v>
      </c>
      <c r="Q76" s="5"/>
      <c r="R76" s="1" t="s">
        <v>2</v>
      </c>
      <c r="S76" s="5">
        <v>-113</v>
      </c>
      <c r="T76" s="5">
        <v>309</v>
      </c>
      <c r="U76" s="22">
        <v>178</v>
      </c>
      <c r="V76" s="5">
        <f t="shared" si="108"/>
        <v>-27</v>
      </c>
      <c r="W76" s="5">
        <f t="shared" si="109"/>
        <v>42</v>
      </c>
    </row>
    <row r="77" spans="1:23" x14ac:dyDescent="0.35">
      <c r="A77" t="s">
        <v>73</v>
      </c>
      <c r="B77">
        <v>666</v>
      </c>
      <c r="C77">
        <f>610-B77</f>
        <v>-56</v>
      </c>
      <c r="D77">
        <v>-16</v>
      </c>
      <c r="E77" s="5">
        <f t="shared" si="110"/>
        <v>-194</v>
      </c>
      <c r="F77">
        <v>-482</v>
      </c>
      <c r="G77">
        <f>-1753-F77</f>
        <v>-1271</v>
      </c>
      <c r="H77">
        <v>301</v>
      </c>
      <c r="I77" s="5">
        <f t="shared" si="111"/>
        <v>-60</v>
      </c>
      <c r="J77" s="5">
        <v>-935</v>
      </c>
      <c r="K77" s="5">
        <f>-1392-J77</f>
        <v>-457</v>
      </c>
      <c r="L77" s="5">
        <v>209</v>
      </c>
      <c r="M77" s="5"/>
      <c r="N77" s="5">
        <v>-159</v>
      </c>
      <c r="O77" s="5">
        <f>-261-N77</f>
        <v>-102</v>
      </c>
      <c r="P77" s="5">
        <f>-257-SUM(N77:O77)</f>
        <v>4</v>
      </c>
      <c r="Q77" s="5"/>
      <c r="R77" s="1" t="s">
        <v>2</v>
      </c>
      <c r="S77" s="5">
        <v>408</v>
      </c>
      <c r="T77" s="5">
        <v>400</v>
      </c>
      <c r="U77" s="22">
        <v>-1512</v>
      </c>
      <c r="V77" s="5">
        <f t="shared" si="108"/>
        <v>-1183</v>
      </c>
      <c r="W77" s="5">
        <f t="shared" si="109"/>
        <v>-257</v>
      </c>
    </row>
    <row r="78" spans="1:23" x14ac:dyDescent="0.35">
      <c r="A78" t="s">
        <v>74</v>
      </c>
      <c r="B78">
        <v>-515</v>
      </c>
      <c r="C78">
        <f>-710-B78</f>
        <v>-195</v>
      </c>
      <c r="D78">
        <v>-350</v>
      </c>
      <c r="E78" s="5">
        <f t="shared" si="110"/>
        <v>482</v>
      </c>
      <c r="F78">
        <v>-937</v>
      </c>
      <c r="G78">
        <f>-2155-F78</f>
        <v>-1218</v>
      </c>
      <c r="H78">
        <v>542</v>
      </c>
      <c r="I78" s="5">
        <f t="shared" si="111"/>
        <v>-69</v>
      </c>
      <c r="J78" s="5">
        <v>488</v>
      </c>
      <c r="K78" s="5">
        <f>846-J78</f>
        <v>358</v>
      </c>
      <c r="L78" s="5">
        <v>-403</v>
      </c>
      <c r="M78" s="5"/>
      <c r="N78" s="5">
        <v>61</v>
      </c>
      <c r="O78" s="5">
        <f>-180-N78</f>
        <v>-241</v>
      </c>
      <c r="P78" s="5">
        <f>476-SUM(N78:O78)</f>
        <v>656</v>
      </c>
      <c r="Q78" s="5"/>
      <c r="R78" s="1" t="s">
        <v>2</v>
      </c>
      <c r="S78" s="5">
        <v>-149</v>
      </c>
      <c r="T78" s="5">
        <v>-578</v>
      </c>
      <c r="U78" s="22">
        <v>-1682</v>
      </c>
      <c r="V78" s="5">
        <f t="shared" si="108"/>
        <v>443</v>
      </c>
      <c r="W78" s="5">
        <f t="shared" si="109"/>
        <v>476</v>
      </c>
    </row>
    <row r="79" spans="1:23" x14ac:dyDescent="0.35">
      <c r="A79" t="s">
        <v>20</v>
      </c>
      <c r="B79">
        <v>-1138</v>
      </c>
      <c r="C79">
        <f>223-B79</f>
        <v>1361</v>
      </c>
      <c r="D79">
        <v>182</v>
      </c>
      <c r="E79" s="5">
        <f t="shared" si="110"/>
        <v>-3244</v>
      </c>
      <c r="F79">
        <v>-2881</v>
      </c>
      <c r="G79">
        <f>-349-F79</f>
        <v>2532</v>
      </c>
      <c r="H79">
        <v>939</v>
      </c>
      <c r="I79" s="5">
        <f t="shared" si="111"/>
        <v>-885</v>
      </c>
      <c r="J79" s="5">
        <v>52</v>
      </c>
      <c r="K79" s="5">
        <f>2917-J79</f>
        <v>2865</v>
      </c>
      <c r="L79" s="5">
        <v>584</v>
      </c>
      <c r="M79" s="5"/>
      <c r="N79" s="5">
        <v>295</v>
      </c>
      <c r="O79" s="5">
        <f>1443-N79</f>
        <v>1148</v>
      </c>
      <c r="P79" s="5">
        <f>1233-SUM(N79:O79)</f>
        <v>-210</v>
      </c>
      <c r="Q79" s="5"/>
      <c r="R79" s="1" t="s">
        <v>2</v>
      </c>
      <c r="S79" s="5">
        <v>-2426</v>
      </c>
      <c r="T79" s="5">
        <v>-2839</v>
      </c>
      <c r="U79" s="22">
        <v>-295</v>
      </c>
      <c r="V79" s="5">
        <f t="shared" si="108"/>
        <v>3501</v>
      </c>
      <c r="W79" s="5">
        <f t="shared" si="109"/>
        <v>1233</v>
      </c>
    </row>
    <row r="80" spans="1:23" x14ac:dyDescent="0.35">
      <c r="A80" t="s">
        <v>75</v>
      </c>
      <c r="B80">
        <v>413</v>
      </c>
      <c r="C80">
        <f>780-B80</f>
        <v>367</v>
      </c>
      <c r="D80">
        <v>407</v>
      </c>
      <c r="E80" s="5">
        <f t="shared" si="110"/>
        <v>111</v>
      </c>
      <c r="F80">
        <v>-2141</v>
      </c>
      <c r="G80">
        <f>-1593-F80</f>
        <v>548</v>
      </c>
      <c r="H80">
        <v>664</v>
      </c>
      <c r="I80" s="5">
        <f t="shared" si="111"/>
        <v>650</v>
      </c>
      <c r="J80" s="5">
        <v>328</v>
      </c>
      <c r="K80" s="5">
        <f>582-J80</f>
        <v>254</v>
      </c>
      <c r="L80" s="5">
        <v>-456</v>
      </c>
      <c r="N80" s="5">
        <v>163</v>
      </c>
      <c r="O80" s="5">
        <f>628-N80</f>
        <v>465</v>
      </c>
      <c r="P80" s="5">
        <f>745-SUM(N80:O80)</f>
        <v>117</v>
      </c>
      <c r="R80" s="1" t="s">
        <v>2</v>
      </c>
      <c r="S80" s="5">
        <v>-2126</v>
      </c>
      <c r="T80" s="5">
        <v>1298</v>
      </c>
      <c r="U80" s="22">
        <v>-279</v>
      </c>
      <c r="V80" s="5">
        <f t="shared" si="108"/>
        <v>126</v>
      </c>
      <c r="W80" s="5">
        <f t="shared" si="109"/>
        <v>745</v>
      </c>
    </row>
    <row r="81" spans="1:23" x14ac:dyDescent="0.35">
      <c r="A81" t="s">
        <v>155</v>
      </c>
      <c r="E81" s="5">
        <f t="shared" si="110"/>
        <v>0</v>
      </c>
      <c r="I81" s="5">
        <f t="shared" si="111"/>
        <v>0</v>
      </c>
      <c r="J81" s="5"/>
      <c r="K81" s="5"/>
      <c r="L81" s="5"/>
      <c r="N81" s="5"/>
      <c r="O81" s="5"/>
      <c r="P81" s="5"/>
      <c r="R81" s="1"/>
      <c r="S81" s="5">
        <v>-4603</v>
      </c>
      <c r="T81" s="5">
        <v>0</v>
      </c>
      <c r="U81" s="20">
        <v>0</v>
      </c>
      <c r="V81" s="5">
        <v>0</v>
      </c>
      <c r="W81" s="5">
        <v>0</v>
      </c>
    </row>
    <row r="82" spans="1:23" x14ac:dyDescent="0.35">
      <c r="A82" t="s">
        <v>76</v>
      </c>
      <c r="B82">
        <v>-441</v>
      </c>
      <c r="C82">
        <f>-1023-B82</f>
        <v>-582</v>
      </c>
      <c r="D82">
        <v>1193</v>
      </c>
      <c r="E82" s="5">
        <f t="shared" si="110"/>
        <v>1749</v>
      </c>
      <c r="F82">
        <v>-245</v>
      </c>
      <c r="G82">
        <f>-710-F82</f>
        <v>-465</v>
      </c>
      <c r="H82">
        <v>1015</v>
      </c>
      <c r="I82" s="5">
        <f t="shared" si="111"/>
        <v>1084</v>
      </c>
      <c r="J82" s="5">
        <v>-1556</v>
      </c>
      <c r="K82" s="5">
        <f>-2762-J82</f>
        <v>-1206</v>
      </c>
      <c r="L82" s="5">
        <v>201</v>
      </c>
      <c r="N82" s="5">
        <v>-713</v>
      </c>
      <c r="O82" s="5">
        <f>-1257-N82</f>
        <v>-544</v>
      </c>
      <c r="P82" s="5">
        <f>-1418-SUM(N82:O82)</f>
        <v>-161</v>
      </c>
      <c r="R82" s="1" t="s">
        <v>2</v>
      </c>
      <c r="S82" s="5">
        <v>694</v>
      </c>
      <c r="T82" s="5">
        <v>1919</v>
      </c>
      <c r="U82" s="22">
        <v>1389</v>
      </c>
      <c r="V82" s="5">
        <f t="shared" si="108"/>
        <v>-2561</v>
      </c>
      <c r="W82" s="5">
        <f t="shared" si="109"/>
        <v>-1418</v>
      </c>
    </row>
    <row r="83" spans="1:23" x14ac:dyDescent="0.35">
      <c r="A83" t="s">
        <v>77</v>
      </c>
      <c r="B83">
        <v>561</v>
      </c>
      <c r="C83">
        <f>1349-B83</f>
        <v>788</v>
      </c>
      <c r="D83">
        <v>887</v>
      </c>
      <c r="E83" s="5">
        <f t="shared" si="110"/>
        <v>291</v>
      </c>
      <c r="F83">
        <v>2501</v>
      </c>
      <c r="G83">
        <f>2520-F83</f>
        <v>19</v>
      </c>
      <c r="H83">
        <v>-814</v>
      </c>
      <c r="I83" s="5">
        <f t="shared" si="111"/>
        <v>-815</v>
      </c>
      <c r="J83" s="5">
        <v>-460</v>
      </c>
      <c r="K83" s="5">
        <f>-1213-J83</f>
        <v>-753</v>
      </c>
      <c r="L83" s="5">
        <v>-367</v>
      </c>
      <c r="N83" s="5">
        <v>319</v>
      </c>
      <c r="O83" s="5">
        <f>-390-N83</f>
        <v>-709</v>
      </c>
      <c r="P83" s="5">
        <f>-249-SUM(N83:O83)</f>
        <v>141</v>
      </c>
      <c r="R83" s="1" t="s">
        <v>2</v>
      </c>
      <c r="S83" s="5">
        <v>1400</v>
      </c>
      <c r="T83" s="5">
        <v>2527</v>
      </c>
      <c r="U83" s="22">
        <v>891</v>
      </c>
      <c r="V83" s="5">
        <f t="shared" si="108"/>
        <v>-1580</v>
      </c>
      <c r="W83" s="5">
        <f t="shared" si="109"/>
        <v>-249</v>
      </c>
    </row>
    <row r="84" spans="1:23" x14ac:dyDescent="0.35">
      <c r="A84" t="s">
        <v>78</v>
      </c>
      <c r="B84">
        <v>-450</v>
      </c>
      <c r="C84">
        <f>-424-B84</f>
        <v>26</v>
      </c>
      <c r="D84">
        <v>-345</v>
      </c>
      <c r="E84" s="5">
        <f t="shared" si="110"/>
        <v>696</v>
      </c>
      <c r="F84">
        <v>1363</v>
      </c>
      <c r="G84">
        <f>147-F84</f>
        <v>-1216</v>
      </c>
      <c r="H84">
        <v>-63</v>
      </c>
      <c r="I84" s="5">
        <f t="shared" si="111"/>
        <v>-128</v>
      </c>
      <c r="J84" s="5">
        <v>-837</v>
      </c>
      <c r="K84" s="5">
        <f>-569-J84</f>
        <v>268</v>
      </c>
      <c r="L84" s="5">
        <v>-90</v>
      </c>
      <c r="N84" s="5">
        <v>-148</v>
      </c>
      <c r="O84" s="5">
        <f>-507-N84</f>
        <v>-359</v>
      </c>
      <c r="P84" s="5">
        <f>-403-SUM(N84:O84)</f>
        <v>104</v>
      </c>
      <c r="R84" s="1" t="s">
        <v>2</v>
      </c>
      <c r="S84" s="5">
        <v>1287</v>
      </c>
      <c r="T84" s="5">
        <v>-73</v>
      </c>
      <c r="U84" s="20">
        <v>-44</v>
      </c>
      <c r="V84" s="5">
        <f t="shared" si="108"/>
        <v>-659</v>
      </c>
      <c r="W84" s="5">
        <f t="shared" si="109"/>
        <v>-403</v>
      </c>
    </row>
    <row r="85" spans="1:23" s="3" customFormat="1" x14ac:dyDescent="0.35">
      <c r="A85" s="3" t="s">
        <v>21</v>
      </c>
      <c r="B85" s="21">
        <f t="shared" ref="B85:P85" si="112">+SUM(B67:B84)</f>
        <v>298</v>
      </c>
      <c r="C85" s="21">
        <f t="shared" si="112"/>
        <v>2709</v>
      </c>
      <c r="D85" s="21">
        <f t="shared" si="112"/>
        <v>2846</v>
      </c>
      <c r="E85" s="21">
        <f t="shared" si="112"/>
        <v>742</v>
      </c>
      <c r="F85" s="21">
        <f t="shared" si="112"/>
        <v>-1206</v>
      </c>
      <c r="G85" s="21">
        <f t="shared" si="112"/>
        <v>531</v>
      </c>
      <c r="H85" s="21">
        <f t="shared" si="112"/>
        <v>4023</v>
      </c>
      <c r="I85" s="21">
        <f t="shared" si="112"/>
        <v>130</v>
      </c>
      <c r="J85" s="21">
        <f t="shared" si="112"/>
        <v>-1610</v>
      </c>
      <c r="K85" s="21">
        <f t="shared" si="112"/>
        <v>2509</v>
      </c>
      <c r="L85" s="21">
        <f t="shared" si="112"/>
        <v>992</v>
      </c>
      <c r="M85" s="21">
        <f t="shared" si="112"/>
        <v>0</v>
      </c>
      <c r="N85" s="21">
        <f t="shared" si="112"/>
        <v>700</v>
      </c>
      <c r="O85" s="21">
        <f t="shared" si="112"/>
        <v>468</v>
      </c>
      <c r="P85" s="21">
        <f t="shared" si="112"/>
        <v>1300</v>
      </c>
      <c r="Q85" s="6"/>
      <c r="R85" s="1" t="s">
        <v>2</v>
      </c>
      <c r="S85" s="21">
        <f t="shared" ref="S85:T85" si="113">+SUM(S67:S84)</f>
        <v>-2386</v>
      </c>
      <c r="T85" s="21">
        <f t="shared" si="113"/>
        <v>6595</v>
      </c>
      <c r="U85" s="21">
        <f>+SUM(U67:U84)</f>
        <v>3478</v>
      </c>
      <c r="V85" s="21">
        <f t="shared" ref="V85:W85" si="114">+SUM(V67:V84)</f>
        <v>1891</v>
      </c>
      <c r="W85" s="21">
        <f t="shared" si="114"/>
        <v>2468</v>
      </c>
    </row>
    <row r="86" spans="1:23" s="3" customFormat="1" x14ac:dyDescent="0.35">
      <c r="J86" s="6"/>
      <c r="K86" s="6"/>
      <c r="L86" s="6"/>
      <c r="M86" s="6"/>
      <c r="N86" s="6"/>
      <c r="O86" s="6"/>
      <c r="P86" s="6"/>
      <c r="Q86" s="6"/>
      <c r="R86" s="1"/>
      <c r="S86" s="6"/>
      <c r="T86" s="6"/>
      <c r="U86" s="21"/>
      <c r="V86" s="6"/>
      <c r="W86" s="6"/>
    </row>
    <row r="87" spans="1:23" s="16" customFormat="1" x14ac:dyDescent="0.35">
      <c r="B87" s="16" t="str">
        <f t="shared" ref="B87:I87" si="115">B64</f>
        <v>Q121</v>
      </c>
      <c r="C87" s="16" t="str">
        <f t="shared" si="115"/>
        <v>Q221</v>
      </c>
      <c r="D87" s="16" t="str">
        <f t="shared" si="115"/>
        <v>Q321</v>
      </c>
      <c r="E87" s="16" t="str">
        <f t="shared" si="115"/>
        <v>Q421</v>
      </c>
      <c r="F87" s="16" t="str">
        <f t="shared" si="115"/>
        <v>Q122</v>
      </c>
      <c r="G87" s="16" t="str">
        <f t="shared" si="115"/>
        <v>Q222</v>
      </c>
      <c r="H87" s="16" t="str">
        <f t="shared" si="115"/>
        <v>Q322</v>
      </c>
      <c r="I87" s="16" t="str">
        <f t="shared" si="115"/>
        <v>Q422</v>
      </c>
      <c r="J87" s="16" t="str">
        <f t="shared" ref="J87:R87" si="116">J64</f>
        <v>Q123</v>
      </c>
      <c r="K87" s="16" t="str">
        <f t="shared" si="116"/>
        <v>Q223</v>
      </c>
      <c r="L87" s="16" t="str">
        <f t="shared" si="116"/>
        <v>Q323</v>
      </c>
      <c r="M87" s="16" t="str">
        <f t="shared" si="116"/>
        <v>Q423</v>
      </c>
      <c r="N87" s="16" t="str">
        <f t="shared" si="116"/>
        <v>Q124</v>
      </c>
      <c r="O87" s="16" t="str">
        <f t="shared" si="116"/>
        <v>Q224</v>
      </c>
      <c r="P87" s="16" t="str">
        <f t="shared" si="116"/>
        <v>Q324</v>
      </c>
      <c r="Q87" s="16" t="str">
        <f t="shared" si="116"/>
        <v>Q424</v>
      </c>
      <c r="R87" s="17" t="str">
        <f t="shared" si="116"/>
        <v>xxx</v>
      </c>
      <c r="T87" s="16">
        <f t="shared" ref="T87:U87" si="117">T64</f>
        <v>2021</v>
      </c>
      <c r="U87" s="23">
        <f t="shared" si="117"/>
        <v>2022</v>
      </c>
      <c r="V87" s="16">
        <f>V64</f>
        <v>2023</v>
      </c>
      <c r="W87" s="16">
        <f>W64</f>
        <v>2024</v>
      </c>
    </row>
    <row r="88" spans="1:23" x14ac:dyDescent="0.35">
      <c r="R88" s="1" t="s">
        <v>2</v>
      </c>
    </row>
    <row r="89" spans="1:23" x14ac:dyDescent="0.35">
      <c r="A89" t="s">
        <v>22</v>
      </c>
      <c r="B89" s="5"/>
      <c r="C89" s="5"/>
      <c r="D89" s="5"/>
      <c r="E89" s="5">
        <v>943</v>
      </c>
      <c r="F89" s="5">
        <v>1079</v>
      </c>
      <c r="G89" s="5">
        <v>906</v>
      </c>
      <c r="H89" s="5">
        <v>1099</v>
      </c>
      <c r="I89" s="5">
        <v>1037</v>
      </c>
      <c r="J89" s="5"/>
      <c r="M89" s="5">
        <v>1368</v>
      </c>
      <c r="N89" s="5">
        <v>830</v>
      </c>
      <c r="O89" s="5">
        <v>764</v>
      </c>
      <c r="P89" s="5">
        <v>784</v>
      </c>
      <c r="R89" s="1" t="s">
        <v>2</v>
      </c>
      <c r="S89" s="5"/>
      <c r="T89" s="5">
        <f>E89</f>
        <v>943</v>
      </c>
      <c r="U89" s="22">
        <f>I89</f>
        <v>1037</v>
      </c>
      <c r="V89" s="5">
        <f>M89</f>
        <v>1368</v>
      </c>
      <c r="W89" s="5"/>
    </row>
    <row r="90" spans="1:23" x14ac:dyDescent="0.35">
      <c r="A90" t="s">
        <v>79</v>
      </c>
      <c r="B90" s="5"/>
      <c r="C90" s="5"/>
      <c r="D90" s="5"/>
      <c r="E90" s="5">
        <v>8016</v>
      </c>
      <c r="F90" s="5">
        <v>10132</v>
      </c>
      <c r="G90" s="5">
        <v>9974</v>
      </c>
      <c r="H90" s="5">
        <v>9345</v>
      </c>
      <c r="I90" s="5">
        <v>9010</v>
      </c>
      <c r="J90" s="5"/>
      <c r="M90" s="5">
        <v>7228</v>
      </c>
      <c r="N90" s="5">
        <v>7381</v>
      </c>
      <c r="O90" s="5">
        <v>6975</v>
      </c>
      <c r="P90" s="5">
        <v>7077</v>
      </c>
      <c r="R90" s="1" t="s">
        <v>2</v>
      </c>
      <c r="S90" s="5"/>
      <c r="T90" s="5">
        <f>E90</f>
        <v>8016</v>
      </c>
      <c r="U90" s="22">
        <f t="shared" ref="U90:U93" si="118">I90</f>
        <v>9010</v>
      </c>
      <c r="V90" s="5">
        <f>M90</f>
        <v>7228</v>
      </c>
      <c r="W90" s="5"/>
    </row>
    <row r="91" spans="1:23" x14ac:dyDescent="0.35">
      <c r="A91" t="s">
        <v>80</v>
      </c>
      <c r="B91" s="5"/>
      <c r="C91" s="5"/>
      <c r="D91" s="5"/>
      <c r="E91" s="5">
        <v>3311</v>
      </c>
      <c r="F91" s="5">
        <v>4235</v>
      </c>
      <c r="G91" s="5">
        <v>5336</v>
      </c>
      <c r="H91" s="5">
        <v>4679</v>
      </c>
      <c r="I91" s="5">
        <v>4926</v>
      </c>
      <c r="J91" s="5"/>
      <c r="M91" s="5">
        <v>4232</v>
      </c>
      <c r="N91" s="5">
        <v>4178</v>
      </c>
      <c r="O91" s="5">
        <v>4382</v>
      </c>
      <c r="P91" s="5">
        <v>3770</v>
      </c>
      <c r="R91" s="1" t="s">
        <v>2</v>
      </c>
      <c r="S91" s="5"/>
      <c r="T91" s="5">
        <f>E91</f>
        <v>3311</v>
      </c>
      <c r="U91" s="22">
        <f t="shared" si="118"/>
        <v>4926</v>
      </c>
      <c r="V91" s="5">
        <f>M91</f>
        <v>4232</v>
      </c>
      <c r="W91" s="5"/>
    </row>
    <row r="92" spans="1:23" x14ac:dyDescent="0.35">
      <c r="A92" t="s">
        <v>23</v>
      </c>
      <c r="B92" s="5"/>
      <c r="C92" s="5"/>
      <c r="D92" s="5"/>
      <c r="E92" s="5">
        <v>14481</v>
      </c>
      <c r="F92" s="5">
        <v>17290</v>
      </c>
      <c r="G92" s="5">
        <v>14485</v>
      </c>
      <c r="H92" s="5">
        <v>13282</v>
      </c>
      <c r="I92" s="5">
        <v>14771</v>
      </c>
      <c r="J92" s="5"/>
      <c r="M92" s="5">
        <v>11957</v>
      </c>
      <c r="N92" s="5">
        <v>11634</v>
      </c>
      <c r="O92" s="5">
        <v>10443</v>
      </c>
      <c r="P92" s="5">
        <v>10746</v>
      </c>
      <c r="R92" s="1" t="s">
        <v>2</v>
      </c>
      <c r="S92" s="5"/>
      <c r="T92" s="5">
        <f>E92</f>
        <v>14481</v>
      </c>
      <c r="U92" s="22">
        <f t="shared" si="118"/>
        <v>14771</v>
      </c>
      <c r="V92" s="5">
        <f>M92</f>
        <v>11957</v>
      </c>
      <c r="W92" s="5"/>
    </row>
    <row r="93" spans="1:23" x14ac:dyDescent="0.35">
      <c r="A93" t="s">
        <v>81</v>
      </c>
      <c r="B93" s="5"/>
      <c r="C93" s="5"/>
      <c r="D93" s="5"/>
      <c r="E93" s="5">
        <v>5158</v>
      </c>
      <c r="F93" s="5">
        <v>7717</v>
      </c>
      <c r="G93" s="5">
        <v>6946</v>
      </c>
      <c r="H93" s="5">
        <v>6164</v>
      </c>
      <c r="I93" s="5">
        <v>5666</v>
      </c>
      <c r="J93" s="5"/>
      <c r="M93" s="5">
        <v>4982</v>
      </c>
      <c r="N93" s="5">
        <v>4983</v>
      </c>
      <c r="O93" s="5">
        <v>4398</v>
      </c>
      <c r="P93" s="5">
        <v>4249</v>
      </c>
      <c r="R93" s="1" t="s">
        <v>2</v>
      </c>
      <c r="S93" s="5"/>
      <c r="T93" s="5">
        <f>E93</f>
        <v>5158</v>
      </c>
      <c r="U93" s="22">
        <f t="shared" si="118"/>
        <v>5666</v>
      </c>
      <c r="V93" s="5">
        <f>M93</f>
        <v>4982</v>
      </c>
      <c r="W93" s="5"/>
    </row>
    <row r="94" spans="1:23" s="3" customFormat="1" x14ac:dyDescent="0.35">
      <c r="A94" s="3" t="s">
        <v>82</v>
      </c>
      <c r="B94" s="6">
        <f>+SUM(B89:B93)</f>
        <v>0</v>
      </c>
      <c r="C94" s="6">
        <f t="shared" ref="C94:I94" si="119">+SUM(C89:C93)</f>
        <v>0</v>
      </c>
      <c r="D94" s="6">
        <f t="shared" si="119"/>
        <v>0</v>
      </c>
      <c r="E94" s="6">
        <f t="shared" si="119"/>
        <v>31909</v>
      </c>
      <c r="F94" s="6">
        <f t="shared" si="119"/>
        <v>40453</v>
      </c>
      <c r="G94" s="6">
        <f t="shared" si="119"/>
        <v>37647</v>
      </c>
      <c r="H94" s="6">
        <f t="shared" si="119"/>
        <v>34569</v>
      </c>
      <c r="I94" s="6">
        <f t="shared" si="119"/>
        <v>35410</v>
      </c>
      <c r="J94" s="6">
        <f>+SUM(J89:J93)</f>
        <v>0</v>
      </c>
      <c r="K94" s="6">
        <f t="shared" ref="K94:P94" si="120">+SUM(K89:K93)</f>
        <v>0</v>
      </c>
      <c r="L94" s="6">
        <f t="shared" si="120"/>
        <v>0</v>
      </c>
      <c r="M94" s="6">
        <f t="shared" si="120"/>
        <v>29767</v>
      </c>
      <c r="N94" s="6">
        <f t="shared" si="120"/>
        <v>29006</v>
      </c>
      <c r="O94" s="6">
        <f t="shared" si="120"/>
        <v>26962</v>
      </c>
      <c r="P94" s="6">
        <f t="shared" si="120"/>
        <v>26626</v>
      </c>
      <c r="R94" s="1" t="s">
        <v>2</v>
      </c>
      <c r="S94" s="6"/>
      <c r="T94" s="6">
        <f t="shared" ref="T94:U94" si="121">+SUM(T89:T93)</f>
        <v>31909</v>
      </c>
      <c r="U94" s="21">
        <f t="shared" si="121"/>
        <v>35410</v>
      </c>
      <c r="V94" s="6">
        <f t="shared" ref="V94:W94" si="122">+SUM(V89:V93)</f>
        <v>29767</v>
      </c>
      <c r="W94" s="6">
        <f t="shared" si="122"/>
        <v>0</v>
      </c>
    </row>
    <row r="95" spans="1:23" x14ac:dyDescent="0.35">
      <c r="A95" t="s">
        <v>83</v>
      </c>
      <c r="B95" s="5"/>
      <c r="C95" s="5"/>
      <c r="D95" s="5"/>
      <c r="E95" s="5">
        <v>5285</v>
      </c>
      <c r="F95" s="5">
        <v>5404</v>
      </c>
      <c r="G95" s="5">
        <v>5464</v>
      </c>
      <c r="H95" s="5">
        <v>5429</v>
      </c>
      <c r="I95" s="5">
        <v>5467</v>
      </c>
      <c r="J95" s="5"/>
      <c r="M95" s="5">
        <v>5500</v>
      </c>
      <c r="N95" s="5">
        <v>5566</v>
      </c>
      <c r="O95" s="5">
        <v>5557</v>
      </c>
      <c r="P95" s="5">
        <v>5142</v>
      </c>
      <c r="R95" s="1" t="s">
        <v>2</v>
      </c>
      <c r="S95" s="5"/>
      <c r="T95" s="5">
        <f>E95</f>
        <v>5285</v>
      </c>
      <c r="U95" s="22">
        <f t="shared" ref="U95:U98" si="123">I95</f>
        <v>5467</v>
      </c>
      <c r="V95" s="5">
        <f>M95</f>
        <v>5500</v>
      </c>
      <c r="W95" s="5"/>
    </row>
    <row r="96" spans="1:23" x14ac:dyDescent="0.35">
      <c r="A96" t="s">
        <v>84</v>
      </c>
      <c r="B96" s="5"/>
      <c r="C96" s="5"/>
      <c r="D96" s="5"/>
      <c r="E96" s="5">
        <v>6747</v>
      </c>
      <c r="F96" s="5">
        <v>6750</v>
      </c>
      <c r="G96" s="5">
        <v>6547</v>
      </c>
      <c r="H96" s="5">
        <v>6364</v>
      </c>
      <c r="I96" s="5">
        <v>6544</v>
      </c>
      <c r="J96" s="5"/>
      <c r="M96" s="5">
        <v>6341</v>
      </c>
      <c r="N96" s="5">
        <v>7051</v>
      </c>
      <c r="O96" s="5">
        <v>6970</v>
      </c>
      <c r="P96" s="5">
        <v>6999</v>
      </c>
      <c r="R96" s="1" t="s">
        <v>2</v>
      </c>
      <c r="S96" s="5"/>
      <c r="T96" s="5">
        <f>E96</f>
        <v>6747</v>
      </c>
      <c r="U96" s="22">
        <f t="shared" si="123"/>
        <v>6544</v>
      </c>
      <c r="V96" s="5">
        <f>M96</f>
        <v>6341</v>
      </c>
      <c r="W96" s="5"/>
    </row>
    <row r="97" spans="1:23" x14ac:dyDescent="0.35">
      <c r="A97" t="s">
        <v>85</v>
      </c>
      <c r="B97" s="5"/>
      <c r="C97" s="5"/>
      <c r="D97" s="5"/>
      <c r="E97" s="5">
        <v>1023</v>
      </c>
      <c r="F97" s="5">
        <v>999</v>
      </c>
      <c r="G97" s="5">
        <v>1002</v>
      </c>
      <c r="H97" s="5">
        <v>983</v>
      </c>
      <c r="I97" s="5">
        <v>1088</v>
      </c>
      <c r="J97" s="5"/>
      <c r="M97" s="5">
        <v>1211</v>
      </c>
      <c r="N97" s="5">
        <v>1285</v>
      </c>
      <c r="O97" s="5">
        <v>1293</v>
      </c>
      <c r="P97" s="5">
        <v>1291</v>
      </c>
      <c r="R97" s="1" t="s">
        <v>2</v>
      </c>
      <c r="S97" s="5"/>
      <c r="T97" s="5">
        <f>E97</f>
        <v>1023</v>
      </c>
      <c r="U97" s="22">
        <f t="shared" si="123"/>
        <v>1088</v>
      </c>
      <c r="V97" s="5">
        <f>M97</f>
        <v>1211</v>
      </c>
      <c r="W97" s="5"/>
    </row>
    <row r="98" spans="1:23" x14ac:dyDescent="0.35">
      <c r="A98" t="s">
        <v>86</v>
      </c>
      <c r="B98" s="5"/>
      <c r="C98" s="5"/>
      <c r="D98" s="5"/>
      <c r="E98" s="5">
        <v>1369</v>
      </c>
      <c r="F98" s="5">
        <v>1466</v>
      </c>
      <c r="G98" s="5">
        <v>1488</v>
      </c>
      <c r="H98" s="5">
        <v>1354</v>
      </c>
      <c r="I98" s="5">
        <v>1332</v>
      </c>
      <c r="J98" s="5"/>
      <c r="M98" s="5">
        <v>1304</v>
      </c>
      <c r="N98" s="5">
        <v>1327</v>
      </c>
      <c r="O98" s="5">
        <v>1288</v>
      </c>
      <c r="P98" s="5">
        <v>1313</v>
      </c>
      <c r="R98" s="1" t="s">
        <v>2</v>
      </c>
      <c r="S98" s="5"/>
      <c r="T98" s="5">
        <f>E98</f>
        <v>1369</v>
      </c>
      <c r="U98" s="22">
        <f t="shared" si="123"/>
        <v>1332</v>
      </c>
      <c r="V98" s="5">
        <f>M98</f>
        <v>1304</v>
      </c>
      <c r="W98" s="5"/>
    </row>
    <row r="99" spans="1:23" s="3" customFormat="1" x14ac:dyDescent="0.35">
      <c r="A99" s="3" t="s">
        <v>87</v>
      </c>
      <c r="B99" s="6">
        <f t="shared" ref="B99:I99" si="124">+SUM(B95:B98)</f>
        <v>0</v>
      </c>
      <c r="C99" s="6">
        <f t="shared" si="124"/>
        <v>0</v>
      </c>
      <c r="D99" s="6">
        <f t="shared" si="124"/>
        <v>0</v>
      </c>
      <c r="E99" s="6">
        <f t="shared" si="124"/>
        <v>14424</v>
      </c>
      <c r="F99" s="6">
        <f t="shared" si="124"/>
        <v>14619</v>
      </c>
      <c r="G99" s="6">
        <f t="shared" si="124"/>
        <v>14501</v>
      </c>
      <c r="H99" s="6">
        <f t="shared" si="124"/>
        <v>14130</v>
      </c>
      <c r="I99" s="6">
        <f t="shared" si="124"/>
        <v>14431</v>
      </c>
      <c r="J99" s="6">
        <f>+SUM(J95:J98)</f>
        <v>0</v>
      </c>
      <c r="K99" s="6">
        <f t="shared" ref="K99:P99" si="125">+SUM(K95:K98)</f>
        <v>0</v>
      </c>
      <c r="L99" s="6">
        <f t="shared" si="125"/>
        <v>0</v>
      </c>
      <c r="M99" s="6">
        <f t="shared" si="125"/>
        <v>14356</v>
      </c>
      <c r="N99" s="6">
        <f t="shared" si="125"/>
        <v>15229</v>
      </c>
      <c r="O99" s="6">
        <f t="shared" si="125"/>
        <v>15108</v>
      </c>
      <c r="P99" s="6">
        <f t="shared" si="125"/>
        <v>14745</v>
      </c>
      <c r="R99" s="1" t="s">
        <v>2</v>
      </c>
      <c r="S99" s="6"/>
      <c r="T99" s="6">
        <f t="shared" ref="T99:U99" si="126">+SUM(T95:T98)</f>
        <v>14424</v>
      </c>
      <c r="U99" s="21">
        <f t="shared" si="126"/>
        <v>14431</v>
      </c>
      <c r="V99" s="6">
        <f t="shared" ref="V99:W99" si="127">+SUM(V95:V98)</f>
        <v>14356</v>
      </c>
      <c r="W99" s="6">
        <f t="shared" si="127"/>
        <v>0</v>
      </c>
    </row>
    <row r="100" spans="1:23" x14ac:dyDescent="0.35">
      <c r="A100" t="s">
        <v>88</v>
      </c>
      <c r="B100" s="5"/>
      <c r="C100" s="5"/>
      <c r="D100" s="5"/>
      <c r="E100" s="5">
        <v>554</v>
      </c>
      <c r="F100" s="5">
        <v>552</v>
      </c>
      <c r="G100" s="5">
        <v>510</v>
      </c>
      <c r="H100" s="5">
        <v>500</v>
      </c>
      <c r="I100" s="5">
        <v>502</v>
      </c>
      <c r="J100" s="5"/>
      <c r="M100" s="5">
        <v>573</v>
      </c>
      <c r="N100" s="5">
        <v>573</v>
      </c>
      <c r="O100" s="5">
        <v>570</v>
      </c>
      <c r="P100" s="5">
        <v>578</v>
      </c>
      <c r="R100" s="1" t="s">
        <v>2</v>
      </c>
      <c r="S100" s="5"/>
      <c r="T100" s="5">
        <f>E100</f>
        <v>554</v>
      </c>
      <c r="U100" s="22">
        <f t="shared" ref="U100:U104" si="128">I100</f>
        <v>502</v>
      </c>
      <c r="V100" s="5">
        <f>M100</f>
        <v>573</v>
      </c>
    </row>
    <row r="101" spans="1:23" x14ac:dyDescent="0.35">
      <c r="A101" t="s">
        <v>89</v>
      </c>
      <c r="B101" s="5"/>
      <c r="C101" s="5"/>
      <c r="D101" s="5"/>
      <c r="E101" s="5">
        <v>5597</v>
      </c>
      <c r="F101" s="5">
        <v>5614</v>
      </c>
      <c r="G101" s="5">
        <v>5596</v>
      </c>
      <c r="H101" s="5">
        <v>5532</v>
      </c>
      <c r="I101" s="5">
        <v>5639</v>
      </c>
      <c r="J101" s="5"/>
      <c r="M101" s="5">
        <v>5876</v>
      </c>
      <c r="N101" s="5">
        <v>5940</v>
      </c>
      <c r="O101" s="5">
        <v>6002</v>
      </c>
      <c r="P101" s="5">
        <v>6119</v>
      </c>
      <c r="R101" s="1" t="s">
        <v>2</v>
      </c>
      <c r="S101" s="5"/>
      <c r="T101" s="5">
        <f>E101</f>
        <v>5597</v>
      </c>
      <c r="U101" s="22">
        <f t="shared" si="128"/>
        <v>5639</v>
      </c>
      <c r="V101" s="5">
        <f>M101</f>
        <v>5876</v>
      </c>
    </row>
    <row r="102" spans="1:23" x14ac:dyDescent="0.35">
      <c r="A102" t="s">
        <v>90</v>
      </c>
      <c r="B102" s="5"/>
      <c r="C102" s="5"/>
      <c r="D102" s="5"/>
      <c r="E102" s="5">
        <v>19112</v>
      </c>
      <c r="F102" s="5">
        <v>19096</v>
      </c>
      <c r="G102" s="5">
        <v>18994</v>
      </c>
      <c r="H102" s="5">
        <v>18941</v>
      </c>
      <c r="I102" s="5">
        <v>19194</v>
      </c>
      <c r="J102" s="5"/>
      <c r="M102" s="5">
        <v>20223</v>
      </c>
      <c r="N102" s="5">
        <v>20298</v>
      </c>
      <c r="O102" s="5">
        <v>20397</v>
      </c>
      <c r="P102" s="5">
        <v>20659</v>
      </c>
      <c r="R102" s="1" t="s">
        <v>2</v>
      </c>
      <c r="S102" s="5"/>
      <c r="T102" s="5">
        <f>E102</f>
        <v>19112</v>
      </c>
      <c r="U102" s="22">
        <f t="shared" si="128"/>
        <v>19194</v>
      </c>
      <c r="V102" s="5">
        <f>M102</f>
        <v>20223</v>
      </c>
    </row>
    <row r="103" spans="1:23" x14ac:dyDescent="0.35">
      <c r="A103" t="s">
        <v>91</v>
      </c>
      <c r="B103" s="5"/>
      <c r="C103" s="5"/>
      <c r="D103" s="5"/>
      <c r="E103" s="5">
        <v>960</v>
      </c>
      <c r="F103" s="5">
        <v>1086</v>
      </c>
      <c r="G103" s="5">
        <v>1175</v>
      </c>
      <c r="H103" s="5">
        <v>1221</v>
      </c>
      <c r="I103" s="5">
        <v>1440</v>
      </c>
      <c r="J103" s="5"/>
      <c r="M103" s="5">
        <v>1360</v>
      </c>
      <c r="N103" s="5">
        <v>1421</v>
      </c>
      <c r="O103" s="5">
        <v>1458</v>
      </c>
      <c r="P103" s="5">
        <v>1559</v>
      </c>
      <c r="R103" s="1" t="s">
        <v>2</v>
      </c>
      <c r="S103" s="5"/>
      <c r="T103" s="5">
        <f>E103</f>
        <v>960</v>
      </c>
      <c r="U103" s="22">
        <f t="shared" si="128"/>
        <v>1440</v>
      </c>
      <c r="V103" s="5">
        <f>M103</f>
        <v>1360</v>
      </c>
    </row>
    <row r="104" spans="1:23" x14ac:dyDescent="0.35">
      <c r="A104" t="s">
        <v>92</v>
      </c>
      <c r="B104" s="5"/>
      <c r="C104" s="5"/>
      <c r="D104" s="5"/>
      <c r="E104" s="5">
        <v>-16420</v>
      </c>
      <c r="F104" s="5">
        <v>-16554</v>
      </c>
      <c r="G104" s="5">
        <v>-16595</v>
      </c>
      <c r="H104" s="5">
        <v>-16589</v>
      </c>
      <c r="I104" s="5">
        <v>-16842</v>
      </c>
      <c r="J104" s="5"/>
      <c r="M104" s="5">
        <v>-17524</v>
      </c>
      <c r="N104" s="5">
        <v>-17636</v>
      </c>
      <c r="O104" s="5">
        <v>-17799</v>
      </c>
      <c r="P104" s="5">
        <v>-18087</v>
      </c>
      <c r="R104" s="1" t="s">
        <v>2</v>
      </c>
      <c r="S104" s="5"/>
      <c r="T104" s="5">
        <f>E104</f>
        <v>-16420</v>
      </c>
      <c r="U104" s="22">
        <f t="shared" si="128"/>
        <v>-16842</v>
      </c>
      <c r="V104" s="5">
        <f>M104</f>
        <v>-17524</v>
      </c>
    </row>
    <row r="105" spans="1:23" s="3" customFormat="1" x14ac:dyDescent="0.35">
      <c r="A105" s="3" t="s">
        <v>93</v>
      </c>
      <c r="B105" s="6">
        <f t="shared" ref="B105:I105" si="129">+SUM(B100:B104)</f>
        <v>0</v>
      </c>
      <c r="C105" s="6">
        <f t="shared" si="129"/>
        <v>0</v>
      </c>
      <c r="D105" s="6">
        <f t="shared" si="129"/>
        <v>0</v>
      </c>
      <c r="E105" s="6">
        <f t="shared" si="129"/>
        <v>9803</v>
      </c>
      <c r="F105" s="6">
        <f t="shared" si="129"/>
        <v>9794</v>
      </c>
      <c r="G105" s="6">
        <f t="shared" si="129"/>
        <v>9680</v>
      </c>
      <c r="H105" s="6">
        <f t="shared" si="129"/>
        <v>9605</v>
      </c>
      <c r="I105" s="6">
        <f t="shared" si="129"/>
        <v>9933</v>
      </c>
      <c r="J105" s="6">
        <f>+SUM(J100:J104)</f>
        <v>0</v>
      </c>
      <c r="K105" s="6">
        <f t="shared" ref="K105:N105" si="130">+SUM(K100:K104)</f>
        <v>0</v>
      </c>
      <c r="L105" s="6">
        <f t="shared" si="130"/>
        <v>0</v>
      </c>
      <c r="M105" s="6">
        <f t="shared" si="130"/>
        <v>10508</v>
      </c>
      <c r="N105" s="6">
        <f t="shared" si="130"/>
        <v>10596</v>
      </c>
      <c r="O105" s="6">
        <f t="shared" ref="O105:P105" si="131">+SUM(O100:O104)</f>
        <v>10628</v>
      </c>
      <c r="P105" s="6">
        <f t="shared" si="131"/>
        <v>10828</v>
      </c>
      <c r="R105" s="1" t="s">
        <v>2</v>
      </c>
      <c r="S105" s="6"/>
      <c r="T105" s="6">
        <f t="shared" ref="T105:U105" si="132">+SUM(T100:T104)</f>
        <v>9803</v>
      </c>
      <c r="U105" s="21">
        <f t="shared" si="132"/>
        <v>9933</v>
      </c>
      <c r="V105" s="6">
        <f t="shared" ref="V105:W105" si="133">+SUM(V100:V104)</f>
        <v>10508</v>
      </c>
      <c r="W105" s="6">
        <f t="shared" si="133"/>
        <v>0</v>
      </c>
    </row>
    <row r="106" spans="1:23" s="3" customFormat="1" x14ac:dyDescent="0.35">
      <c r="A106" s="3" t="s">
        <v>24</v>
      </c>
      <c r="B106" s="6">
        <f t="shared" ref="B106:I106" si="134">+B105+B99+B94</f>
        <v>0</v>
      </c>
      <c r="C106" s="6">
        <f t="shared" si="134"/>
        <v>0</v>
      </c>
      <c r="D106" s="6">
        <f t="shared" si="134"/>
        <v>0</v>
      </c>
      <c r="E106" s="6">
        <f t="shared" si="134"/>
        <v>56136</v>
      </c>
      <c r="F106" s="6">
        <f t="shared" si="134"/>
        <v>64866</v>
      </c>
      <c r="G106" s="6">
        <f t="shared" si="134"/>
        <v>61828</v>
      </c>
      <c r="H106" s="6">
        <f t="shared" si="134"/>
        <v>58304</v>
      </c>
      <c r="I106" s="6">
        <f t="shared" si="134"/>
        <v>59774</v>
      </c>
      <c r="J106" s="6">
        <f>+J105+J99+J94</f>
        <v>0</v>
      </c>
      <c r="K106" s="6">
        <f t="shared" ref="K106:N106" si="135">+K105+K99+K94</f>
        <v>0</v>
      </c>
      <c r="L106" s="6">
        <f t="shared" si="135"/>
        <v>0</v>
      </c>
      <c r="M106" s="6">
        <f t="shared" si="135"/>
        <v>54631</v>
      </c>
      <c r="N106" s="6">
        <f t="shared" si="135"/>
        <v>54831</v>
      </c>
      <c r="O106" s="6">
        <f t="shared" ref="O106:P106" si="136">+O105+O99+O94</f>
        <v>52698</v>
      </c>
      <c r="P106" s="6">
        <f t="shared" si="136"/>
        <v>52199</v>
      </c>
      <c r="R106" s="1" t="s">
        <v>2</v>
      </c>
      <c r="S106" s="6"/>
      <c r="T106" s="6">
        <f t="shared" ref="T106:U106" si="137">+T105+T99+T94</f>
        <v>56136</v>
      </c>
      <c r="U106" s="21">
        <f t="shared" si="137"/>
        <v>59774</v>
      </c>
      <c r="V106" s="6">
        <f t="shared" ref="V106:W106" si="138">+V105+V99+V94</f>
        <v>54631</v>
      </c>
      <c r="W106" s="6">
        <f t="shared" si="138"/>
        <v>0</v>
      </c>
    </row>
    <row r="107" spans="1:23" x14ac:dyDescent="0.35">
      <c r="A107" s="3"/>
      <c r="M107" s="5"/>
      <c r="O107" s="5"/>
      <c r="R107" s="1" t="s">
        <v>2</v>
      </c>
    </row>
    <row r="108" spans="1:23" x14ac:dyDescent="0.35">
      <c r="A108" t="s">
        <v>94</v>
      </c>
      <c r="B108" s="5"/>
      <c r="C108" s="5"/>
      <c r="D108" s="5"/>
      <c r="E108" s="5">
        <v>958</v>
      </c>
      <c r="F108" s="5">
        <v>3777</v>
      </c>
      <c r="G108" s="5">
        <v>2352</v>
      </c>
      <c r="H108" s="5">
        <v>181</v>
      </c>
      <c r="I108" s="5">
        <v>503</v>
      </c>
      <c r="J108" s="5"/>
      <c r="M108" s="5">
        <v>105</v>
      </c>
      <c r="N108" s="5">
        <v>1734</v>
      </c>
      <c r="O108" s="5">
        <v>2312</v>
      </c>
      <c r="P108" s="5">
        <v>1733</v>
      </c>
      <c r="R108" s="1" t="s">
        <v>2</v>
      </c>
      <c r="S108" s="5"/>
      <c r="T108" s="5">
        <f t="shared" ref="T108:T113" si="139">E108</f>
        <v>958</v>
      </c>
      <c r="U108" s="22">
        <f t="shared" ref="U108:U113" si="140">I108</f>
        <v>503</v>
      </c>
      <c r="V108" s="5">
        <f t="shared" ref="V108:V113" si="141">M108</f>
        <v>105</v>
      </c>
    </row>
    <row r="109" spans="1:23" x14ac:dyDescent="0.35">
      <c r="A109" t="s">
        <v>95</v>
      </c>
      <c r="B109" s="5"/>
      <c r="C109" s="5"/>
      <c r="D109" s="5"/>
      <c r="E109" s="5">
        <v>6388</v>
      </c>
      <c r="F109" s="5">
        <v>6135</v>
      </c>
      <c r="G109" s="5">
        <v>5601</v>
      </c>
      <c r="H109" s="5">
        <v>6543</v>
      </c>
      <c r="I109" s="5">
        <v>7803</v>
      </c>
      <c r="J109" s="5"/>
      <c r="M109" s="5">
        <v>6313</v>
      </c>
      <c r="N109" s="5">
        <v>5599</v>
      </c>
      <c r="O109" s="5">
        <v>5035</v>
      </c>
      <c r="P109" s="5">
        <v>4911</v>
      </c>
      <c r="R109" s="1" t="s">
        <v>2</v>
      </c>
      <c r="S109" s="5"/>
      <c r="T109" s="5">
        <f t="shared" si="139"/>
        <v>6388</v>
      </c>
      <c r="U109" s="22">
        <f t="shared" si="140"/>
        <v>7803</v>
      </c>
      <c r="V109" s="5">
        <f t="shared" si="141"/>
        <v>6313</v>
      </c>
    </row>
    <row r="110" spans="1:23" x14ac:dyDescent="0.35">
      <c r="A110" t="s">
        <v>96</v>
      </c>
      <c r="B110" s="5"/>
      <c r="C110" s="5"/>
      <c r="D110" s="5"/>
      <c r="E110" s="5">
        <v>8965</v>
      </c>
      <c r="F110" s="5">
        <v>11425</v>
      </c>
      <c r="G110" s="5">
        <v>11307</v>
      </c>
      <c r="H110" s="5">
        <v>10359</v>
      </c>
      <c r="I110" s="5">
        <v>9856</v>
      </c>
      <c r="J110" s="5"/>
      <c r="M110" s="5">
        <v>7867</v>
      </c>
      <c r="N110" s="5">
        <v>8176</v>
      </c>
      <c r="O110" s="5">
        <v>7468</v>
      </c>
      <c r="P110" s="5">
        <v>7669</v>
      </c>
      <c r="R110" s="1" t="s">
        <v>2</v>
      </c>
      <c r="S110" s="5"/>
      <c r="T110" s="5">
        <f t="shared" si="139"/>
        <v>8965</v>
      </c>
      <c r="U110" s="22">
        <f t="shared" si="140"/>
        <v>9856</v>
      </c>
      <c r="V110" s="5">
        <f t="shared" si="141"/>
        <v>7867</v>
      </c>
    </row>
    <row r="111" spans="1:23" x14ac:dyDescent="0.35">
      <c r="A111" t="s">
        <v>97</v>
      </c>
      <c r="B111" s="5"/>
      <c r="C111" s="5"/>
      <c r="D111" s="5"/>
      <c r="E111" s="5">
        <v>4790</v>
      </c>
      <c r="F111" s="5">
        <v>6363</v>
      </c>
      <c r="G111" s="5">
        <v>5014</v>
      </c>
      <c r="H111" s="5">
        <v>4686</v>
      </c>
      <c r="I111" s="5">
        <v>292</v>
      </c>
      <c r="J111" s="5"/>
      <c r="M111" s="5">
        <v>4076</v>
      </c>
      <c r="N111" s="5">
        <v>3922</v>
      </c>
      <c r="O111" s="5">
        <v>3569</v>
      </c>
      <c r="P111" s="5">
        <v>3671</v>
      </c>
      <c r="R111" s="1" t="s">
        <v>2</v>
      </c>
      <c r="S111" s="5"/>
      <c r="T111" s="5">
        <f t="shared" si="139"/>
        <v>4790</v>
      </c>
      <c r="U111" s="22">
        <f t="shared" si="140"/>
        <v>292</v>
      </c>
      <c r="V111" s="5">
        <f t="shared" si="141"/>
        <v>4076</v>
      </c>
    </row>
    <row r="112" spans="1:23" x14ac:dyDescent="0.35">
      <c r="A112" t="s">
        <v>99</v>
      </c>
      <c r="B112" s="5"/>
      <c r="C112" s="5"/>
      <c r="D112" s="5"/>
      <c r="E112" s="5">
        <v>277</v>
      </c>
      <c r="F112" s="5">
        <v>280</v>
      </c>
      <c r="G112" s="5">
        <v>282</v>
      </c>
      <c r="H112" s="5">
        <v>279</v>
      </c>
      <c r="I112" s="5">
        <v>4795</v>
      </c>
      <c r="J112" s="5"/>
      <c r="M112" s="5">
        <v>300</v>
      </c>
      <c r="N112" s="5">
        <v>298</v>
      </c>
      <c r="O112" s="5">
        <v>299</v>
      </c>
      <c r="P112" s="5">
        <v>294</v>
      </c>
      <c r="R112" s="1" t="s">
        <v>2</v>
      </c>
      <c r="S112" s="5"/>
      <c r="T112" s="5">
        <f t="shared" si="139"/>
        <v>277</v>
      </c>
      <c r="U112" s="22">
        <f t="shared" si="140"/>
        <v>4795</v>
      </c>
      <c r="V112" s="5">
        <f t="shared" si="141"/>
        <v>300</v>
      </c>
    </row>
    <row r="113" spans="1:23" x14ac:dyDescent="0.35">
      <c r="A113" t="s">
        <v>25</v>
      </c>
      <c r="B113" s="5"/>
      <c r="C113" s="5"/>
      <c r="D113" s="5"/>
      <c r="E113" s="5">
        <v>570</v>
      </c>
      <c r="F113" s="5">
        <v>543</v>
      </c>
      <c r="G113" s="5">
        <v>1104</v>
      </c>
      <c r="H113" s="5">
        <v>888</v>
      </c>
      <c r="I113" s="5">
        <v>942</v>
      </c>
      <c r="J113" s="5"/>
      <c r="M113" s="5">
        <v>1</v>
      </c>
      <c r="N113" s="5">
        <v>1</v>
      </c>
      <c r="O113" s="5">
        <v>1</v>
      </c>
      <c r="P113" s="5">
        <v>725</v>
      </c>
      <c r="R113" s="1" t="s">
        <v>2</v>
      </c>
      <c r="S113" s="5"/>
      <c r="T113" s="5">
        <f t="shared" si="139"/>
        <v>570</v>
      </c>
      <c r="U113" s="22">
        <f t="shared" si="140"/>
        <v>942</v>
      </c>
      <c r="V113" s="5">
        <f t="shared" si="141"/>
        <v>1</v>
      </c>
    </row>
    <row r="114" spans="1:23" s="3" customFormat="1" x14ac:dyDescent="0.35">
      <c r="A114" s="3" t="s">
        <v>98</v>
      </c>
      <c r="B114" s="6">
        <f t="shared" ref="B114:I114" si="142">+SUM(B108:B113)</f>
        <v>0</v>
      </c>
      <c r="C114" s="6">
        <f t="shared" si="142"/>
        <v>0</v>
      </c>
      <c r="D114" s="6">
        <f t="shared" si="142"/>
        <v>0</v>
      </c>
      <c r="E114" s="6">
        <f t="shared" si="142"/>
        <v>21948</v>
      </c>
      <c r="F114" s="6">
        <f t="shared" si="142"/>
        <v>28523</v>
      </c>
      <c r="G114" s="6">
        <f t="shared" si="142"/>
        <v>25660</v>
      </c>
      <c r="H114" s="6">
        <f t="shared" si="142"/>
        <v>22936</v>
      </c>
      <c r="I114" s="6">
        <f t="shared" si="142"/>
        <v>24191</v>
      </c>
      <c r="J114" s="6">
        <f>+SUM(J108:J113)</f>
        <v>0</v>
      </c>
      <c r="K114" s="6">
        <f t="shared" ref="K114:P114" si="143">+SUM(K108:K113)</f>
        <v>0</v>
      </c>
      <c r="L114" s="6">
        <f t="shared" si="143"/>
        <v>0</v>
      </c>
      <c r="M114" s="6">
        <f t="shared" si="143"/>
        <v>18662</v>
      </c>
      <c r="N114" s="6">
        <f t="shared" si="143"/>
        <v>19730</v>
      </c>
      <c r="O114" s="6">
        <f t="shared" si="143"/>
        <v>18684</v>
      </c>
      <c r="P114" s="6">
        <f t="shared" si="143"/>
        <v>19003</v>
      </c>
      <c r="R114" s="1" t="s">
        <v>2</v>
      </c>
      <c r="S114" s="6"/>
      <c r="T114" s="6">
        <f t="shared" ref="T114:U114" si="144">+SUM(T108:T113)</f>
        <v>21948</v>
      </c>
      <c r="U114" s="21">
        <f t="shared" si="144"/>
        <v>24191</v>
      </c>
      <c r="V114" s="6">
        <f t="shared" ref="V114:W114" si="145">+SUM(V108:V113)</f>
        <v>18662</v>
      </c>
      <c r="W114" s="6">
        <f t="shared" si="145"/>
        <v>0</v>
      </c>
    </row>
    <row r="115" spans="1:23" x14ac:dyDescent="0.35">
      <c r="A115" t="s">
        <v>26</v>
      </c>
      <c r="B115" s="5"/>
      <c r="C115" s="5"/>
      <c r="D115" s="5"/>
      <c r="E115" s="5">
        <v>8011</v>
      </c>
      <c r="F115" s="5">
        <v>8752</v>
      </c>
      <c r="G115" s="5">
        <v>8062</v>
      </c>
      <c r="H115" s="5">
        <v>7971</v>
      </c>
      <c r="I115" s="5">
        <v>7735</v>
      </c>
      <c r="J115" s="5"/>
      <c r="M115" s="5">
        <v>8259</v>
      </c>
      <c r="N115" s="5">
        <v>8245</v>
      </c>
      <c r="O115" s="5">
        <v>8247</v>
      </c>
      <c r="P115" s="5">
        <v>7578</v>
      </c>
      <c r="R115" s="1" t="s">
        <v>2</v>
      </c>
      <c r="S115" s="5"/>
      <c r="T115" s="5">
        <f>E115</f>
        <v>8011</v>
      </c>
      <c r="U115" s="22">
        <f t="shared" ref="U115:U118" si="146">I115</f>
        <v>7735</v>
      </c>
      <c r="V115" s="5">
        <f>M115</f>
        <v>8259</v>
      </c>
    </row>
    <row r="116" spans="1:23" x14ac:dyDescent="0.35">
      <c r="A116" t="s">
        <v>100</v>
      </c>
      <c r="B116" s="5"/>
      <c r="C116" s="5"/>
      <c r="D116" s="5"/>
      <c r="E116" s="5">
        <v>1412</v>
      </c>
      <c r="F116" s="5">
        <v>1604</v>
      </c>
      <c r="G116" s="5">
        <v>1579</v>
      </c>
      <c r="H116" s="5">
        <v>1639</v>
      </c>
      <c r="I116" s="5">
        <v>1402</v>
      </c>
      <c r="J116" s="5"/>
      <c r="M116" s="5">
        <v>1309</v>
      </c>
      <c r="N116" s="5">
        <v>1291</v>
      </c>
      <c r="O116" s="5">
        <v>1289</v>
      </c>
      <c r="P116" s="5">
        <v>1278</v>
      </c>
      <c r="R116" s="1" t="s">
        <v>2</v>
      </c>
      <c r="S116" s="5"/>
      <c r="T116" s="5">
        <f>E116</f>
        <v>1412</v>
      </c>
      <c r="U116" s="22">
        <f t="shared" si="146"/>
        <v>1402</v>
      </c>
      <c r="V116" s="5">
        <f>M116</f>
        <v>1309</v>
      </c>
    </row>
    <row r="117" spans="1:23" x14ac:dyDescent="0.35">
      <c r="A117" t="s">
        <v>101</v>
      </c>
      <c r="B117" s="5"/>
      <c r="C117" s="5"/>
      <c r="D117" s="5"/>
      <c r="E117" s="5">
        <v>765</v>
      </c>
      <c r="F117" s="5">
        <v>739</v>
      </c>
      <c r="G117" s="5">
        <v>738</v>
      </c>
      <c r="H117" s="5">
        <v>723</v>
      </c>
      <c r="I117" s="5">
        <v>816</v>
      </c>
      <c r="J117" s="5"/>
      <c r="M117" s="5">
        <v>931</v>
      </c>
      <c r="N117" s="5">
        <v>1010</v>
      </c>
      <c r="O117" s="5">
        <v>1017</v>
      </c>
      <c r="P117" s="5">
        <v>1019</v>
      </c>
      <c r="R117" s="1" t="s">
        <v>2</v>
      </c>
      <c r="S117" s="5"/>
      <c r="T117" s="5">
        <f>E117</f>
        <v>765</v>
      </c>
      <c r="U117" s="22">
        <f t="shared" si="146"/>
        <v>816</v>
      </c>
      <c r="V117" s="5">
        <f>M117</f>
        <v>931</v>
      </c>
    </row>
    <row r="118" spans="1:23" x14ac:dyDescent="0.35">
      <c r="A118" t="s">
        <v>19</v>
      </c>
      <c r="B118" s="5"/>
      <c r="C118" s="5"/>
      <c r="D118" s="5"/>
      <c r="E118" s="5">
        <v>1233</v>
      </c>
      <c r="F118" s="5">
        <v>1231</v>
      </c>
      <c r="G118" s="5">
        <v>1102</v>
      </c>
      <c r="H118" s="5">
        <v>1016</v>
      </c>
      <c r="I118" s="5">
        <v>1014</v>
      </c>
      <c r="J118" s="5"/>
      <c r="M118" s="5">
        <v>1005</v>
      </c>
      <c r="N118" s="5">
        <v>1016</v>
      </c>
      <c r="O118" s="5">
        <v>1000</v>
      </c>
      <c r="P118" s="5">
        <v>1054</v>
      </c>
      <c r="R118" s="1" t="s">
        <v>2</v>
      </c>
      <c r="S118" s="5"/>
      <c r="T118" s="5">
        <f>E118</f>
        <v>1233</v>
      </c>
      <c r="U118" s="22">
        <f t="shared" si="146"/>
        <v>1014</v>
      </c>
      <c r="V118" s="5">
        <f>M118</f>
        <v>1005</v>
      </c>
    </row>
    <row r="119" spans="1:23" s="3" customFormat="1" x14ac:dyDescent="0.35">
      <c r="A119" s="3" t="s">
        <v>106</v>
      </c>
      <c r="B119" s="6">
        <f t="shared" ref="B119:I119" si="147">+SUM(B115:B118)</f>
        <v>0</v>
      </c>
      <c r="C119" s="6">
        <f t="shared" si="147"/>
        <v>0</v>
      </c>
      <c r="D119" s="6">
        <f t="shared" si="147"/>
        <v>0</v>
      </c>
      <c r="E119" s="6">
        <f t="shared" si="147"/>
        <v>11421</v>
      </c>
      <c r="F119" s="6">
        <f t="shared" si="147"/>
        <v>12326</v>
      </c>
      <c r="G119" s="6">
        <f t="shared" si="147"/>
        <v>11481</v>
      </c>
      <c r="H119" s="6">
        <f t="shared" si="147"/>
        <v>11349</v>
      </c>
      <c r="I119" s="6">
        <f t="shared" si="147"/>
        <v>10967</v>
      </c>
      <c r="J119" s="6">
        <f>+SUM(J115:J118)</f>
        <v>0</v>
      </c>
      <c r="K119" s="6">
        <f t="shared" ref="K119:N119" si="148">+SUM(K115:K118)</f>
        <v>0</v>
      </c>
      <c r="L119" s="6">
        <f t="shared" si="148"/>
        <v>0</v>
      </c>
      <c r="M119" s="6">
        <f t="shared" si="148"/>
        <v>11504</v>
      </c>
      <c r="N119" s="6">
        <f t="shared" si="148"/>
        <v>11562</v>
      </c>
      <c r="O119" s="6">
        <f t="shared" ref="O119:P119" si="149">+SUM(O115:O118)</f>
        <v>11553</v>
      </c>
      <c r="P119" s="6">
        <f t="shared" si="149"/>
        <v>10929</v>
      </c>
      <c r="R119" s="1" t="s">
        <v>2</v>
      </c>
      <c r="S119" s="6"/>
      <c r="T119" s="6">
        <f t="shared" ref="T119:U119" si="150">+SUM(T115:T118)</f>
        <v>11421</v>
      </c>
      <c r="U119" s="21">
        <f t="shared" si="150"/>
        <v>10967</v>
      </c>
      <c r="V119" s="6">
        <f t="shared" ref="V119:W119" si="151">+SUM(V115:V118)</f>
        <v>11504</v>
      </c>
      <c r="W119" s="6">
        <f t="shared" si="151"/>
        <v>0</v>
      </c>
    </row>
    <row r="120" spans="1:23" s="3" customFormat="1" x14ac:dyDescent="0.35">
      <c r="A120" s="3" t="s">
        <v>102</v>
      </c>
      <c r="B120" s="6">
        <f t="shared" ref="B120:I120" si="152">+B119+B114</f>
        <v>0</v>
      </c>
      <c r="C120" s="6">
        <f t="shared" si="152"/>
        <v>0</v>
      </c>
      <c r="D120" s="6">
        <f t="shared" si="152"/>
        <v>0</v>
      </c>
      <c r="E120" s="6">
        <f t="shared" si="152"/>
        <v>33369</v>
      </c>
      <c r="F120" s="6">
        <f t="shared" si="152"/>
        <v>40849</v>
      </c>
      <c r="G120" s="6">
        <f t="shared" si="152"/>
        <v>37141</v>
      </c>
      <c r="H120" s="6">
        <f t="shared" si="152"/>
        <v>34285</v>
      </c>
      <c r="I120" s="6">
        <f t="shared" si="152"/>
        <v>35158</v>
      </c>
      <c r="J120" s="6">
        <f>+J119+J114</f>
        <v>0</v>
      </c>
      <c r="K120" s="6">
        <f t="shared" ref="K120:N120" si="153">+K119+K114</f>
        <v>0</v>
      </c>
      <c r="L120" s="6">
        <f t="shared" si="153"/>
        <v>0</v>
      </c>
      <c r="M120" s="6">
        <f t="shared" si="153"/>
        <v>30166</v>
      </c>
      <c r="N120" s="6">
        <f t="shared" si="153"/>
        <v>31292</v>
      </c>
      <c r="O120" s="6">
        <f t="shared" ref="O120:P120" si="154">+O119+O114</f>
        <v>30237</v>
      </c>
      <c r="P120" s="6">
        <f t="shared" si="154"/>
        <v>29932</v>
      </c>
      <c r="R120" s="1" t="s">
        <v>2</v>
      </c>
      <c r="S120" s="6"/>
      <c r="T120" s="6">
        <f t="shared" ref="T120:U120" si="155">+T119+T114</f>
        <v>33369</v>
      </c>
      <c r="U120" s="21">
        <f t="shared" si="155"/>
        <v>35158</v>
      </c>
      <c r="V120" s="6">
        <f t="shared" ref="V120:W120" si="156">+V119+V114</f>
        <v>30166</v>
      </c>
      <c r="W120" s="6">
        <f t="shared" si="156"/>
        <v>0</v>
      </c>
    </row>
    <row r="121" spans="1:23" x14ac:dyDescent="0.35">
      <c r="A121" t="s">
        <v>103</v>
      </c>
      <c r="B121" s="5"/>
      <c r="C121" s="5"/>
      <c r="D121" s="5"/>
      <c r="E121" s="5">
        <v>259</v>
      </c>
      <c r="F121" s="5">
        <v>262</v>
      </c>
      <c r="G121" s="5">
        <v>261</v>
      </c>
      <c r="H121" s="5">
        <v>290</v>
      </c>
      <c r="I121" s="5">
        <v>299</v>
      </c>
      <c r="J121" s="5"/>
      <c r="M121" s="5">
        <v>320</v>
      </c>
      <c r="N121" s="5">
        <v>307</v>
      </c>
      <c r="O121" s="5">
        <v>302</v>
      </c>
      <c r="P121" s="5">
        <v>283</v>
      </c>
      <c r="R121" s="1" t="s">
        <v>2</v>
      </c>
      <c r="T121" s="5">
        <f>E121</f>
        <v>259</v>
      </c>
      <c r="U121" s="22">
        <f t="shared" ref="U121" si="157">I121</f>
        <v>299</v>
      </c>
      <c r="V121">
        <v>320</v>
      </c>
    </row>
    <row r="122" spans="1:23" x14ac:dyDescent="0.35">
      <c r="B122" s="5"/>
      <c r="C122" s="5"/>
      <c r="D122" s="5"/>
      <c r="E122" s="5"/>
      <c r="F122" s="5"/>
      <c r="G122" s="5"/>
      <c r="H122" s="5"/>
      <c r="I122" s="5"/>
      <c r="J122" s="5"/>
      <c r="M122" s="5"/>
      <c r="N122" s="5"/>
      <c r="R122" s="1" t="s">
        <v>2</v>
      </c>
    </row>
    <row r="123" spans="1:23" x14ac:dyDescent="0.35">
      <c r="A123" t="s">
        <v>27</v>
      </c>
      <c r="B123" s="5"/>
      <c r="C123" s="5"/>
      <c r="D123" s="5"/>
      <c r="E123" s="5">
        <v>2994</v>
      </c>
      <c r="F123" s="5">
        <v>3028</v>
      </c>
      <c r="G123" s="5">
        <v>3066</v>
      </c>
      <c r="H123" s="5">
        <v>3110</v>
      </c>
      <c r="I123" s="5">
        <v>3147</v>
      </c>
      <c r="J123" s="5"/>
      <c r="M123" s="5">
        <v>3154</v>
      </c>
      <c r="N123" s="5">
        <v>2720</v>
      </c>
      <c r="O123">
        <v>3200</v>
      </c>
      <c r="P123">
        <v>3208</v>
      </c>
      <c r="R123" s="1" t="s">
        <v>2</v>
      </c>
      <c r="S123" s="5"/>
      <c r="T123" s="5">
        <f>E123</f>
        <v>2994</v>
      </c>
      <c r="U123" s="22">
        <f t="shared" ref="U123:U126" si="158">I123</f>
        <v>3147</v>
      </c>
      <c r="V123" s="5">
        <f>M123</f>
        <v>3154</v>
      </c>
    </row>
    <row r="124" spans="1:23" x14ac:dyDescent="0.35">
      <c r="A124" t="s">
        <v>104</v>
      </c>
      <c r="B124" s="5"/>
      <c r="C124" s="5"/>
      <c r="D124" s="5"/>
      <c r="E124" s="5">
        <v>21655</v>
      </c>
      <c r="F124" s="5">
        <v>22483</v>
      </c>
      <c r="G124" s="5">
        <v>23292</v>
      </c>
      <c r="H124" s="5">
        <v>23099</v>
      </c>
      <c r="I124" s="5">
        <v>23646</v>
      </c>
      <c r="J124" s="5"/>
      <c r="M124" s="5">
        <v>23465</v>
      </c>
      <c r="N124" s="5">
        <v>23069</v>
      </c>
      <c r="O124">
        <v>21828</v>
      </c>
      <c r="P124">
        <v>21606</v>
      </c>
      <c r="R124" s="1" t="s">
        <v>2</v>
      </c>
      <c r="S124" s="5"/>
      <c r="T124" s="5">
        <f>E124</f>
        <v>21655</v>
      </c>
      <c r="U124" s="22">
        <f t="shared" si="158"/>
        <v>23646</v>
      </c>
      <c r="V124" s="5">
        <f>M124</f>
        <v>23465</v>
      </c>
    </row>
    <row r="125" spans="1:23" x14ac:dyDescent="0.35">
      <c r="A125" t="s">
        <v>105</v>
      </c>
      <c r="B125" s="5"/>
      <c r="C125" s="5"/>
      <c r="D125" s="5"/>
      <c r="E125" s="5">
        <v>-2172</v>
      </c>
      <c r="F125" s="5">
        <v>-1789</v>
      </c>
      <c r="G125" s="5">
        <v>-1965</v>
      </c>
      <c r="H125" s="5">
        <v>-2212</v>
      </c>
      <c r="I125" s="5">
        <v>-2509</v>
      </c>
      <c r="J125" s="5"/>
      <c r="M125" s="5">
        <v>-2487</v>
      </c>
      <c r="N125" s="5">
        <v>-2570</v>
      </c>
      <c r="O125">
        <v>-2880</v>
      </c>
      <c r="P125">
        <v>-2840</v>
      </c>
      <c r="R125" s="1" t="s">
        <v>2</v>
      </c>
      <c r="S125" s="5"/>
      <c r="T125" s="5">
        <f>E125</f>
        <v>-2172</v>
      </c>
      <c r="U125" s="22">
        <f t="shared" si="158"/>
        <v>-2509</v>
      </c>
      <c r="V125" s="5">
        <f>M125</f>
        <v>-2487</v>
      </c>
    </row>
    <row r="126" spans="1:23" x14ac:dyDescent="0.35">
      <c r="A126" t="s">
        <v>29</v>
      </c>
      <c r="B126" s="5"/>
      <c r="C126" s="5"/>
      <c r="D126" s="5"/>
      <c r="E126" s="5">
        <v>31</v>
      </c>
      <c r="F126" s="5">
        <v>33</v>
      </c>
      <c r="G126" s="5">
        <v>33</v>
      </c>
      <c r="H126" s="5">
        <v>32</v>
      </c>
      <c r="I126" s="5">
        <v>33</v>
      </c>
      <c r="J126" s="5"/>
      <c r="M126" s="5">
        <v>13</v>
      </c>
      <c r="N126" s="5">
        <v>13</v>
      </c>
      <c r="O126">
        <v>11</v>
      </c>
      <c r="P126">
        <v>10</v>
      </c>
      <c r="R126" s="1" t="s">
        <v>2</v>
      </c>
      <c r="S126" s="5"/>
      <c r="T126" s="5">
        <f>E126</f>
        <v>31</v>
      </c>
      <c r="U126" s="22">
        <f t="shared" si="158"/>
        <v>33</v>
      </c>
      <c r="V126" s="5">
        <f>M126</f>
        <v>13</v>
      </c>
    </row>
    <row r="127" spans="1:23" s="3" customFormat="1" x14ac:dyDescent="0.35">
      <c r="A127" s="3" t="s">
        <v>28</v>
      </c>
      <c r="B127" s="6">
        <f t="shared" ref="B127:I127" si="159">+SUM(B123:B126)</f>
        <v>0</v>
      </c>
      <c r="C127" s="6">
        <f t="shared" si="159"/>
        <v>0</v>
      </c>
      <c r="D127" s="6">
        <f t="shared" si="159"/>
        <v>0</v>
      </c>
      <c r="E127" s="6">
        <f t="shared" si="159"/>
        <v>22508</v>
      </c>
      <c r="F127" s="6">
        <f t="shared" si="159"/>
        <v>23755</v>
      </c>
      <c r="G127" s="6">
        <f t="shared" si="159"/>
        <v>24426</v>
      </c>
      <c r="H127" s="6">
        <f t="shared" si="159"/>
        <v>24029</v>
      </c>
      <c r="I127" s="6">
        <f t="shared" si="159"/>
        <v>24317</v>
      </c>
      <c r="J127" s="6">
        <f>+SUM(J123:J126)</f>
        <v>0</v>
      </c>
      <c r="K127" s="6">
        <f t="shared" ref="K127:N127" si="160">+SUM(K123:K126)</f>
        <v>0</v>
      </c>
      <c r="L127" s="6">
        <f t="shared" si="160"/>
        <v>0</v>
      </c>
      <c r="M127" s="6">
        <f t="shared" si="160"/>
        <v>24145</v>
      </c>
      <c r="N127" s="6">
        <f t="shared" si="160"/>
        <v>23232</v>
      </c>
      <c r="O127" s="6">
        <f t="shared" ref="O127:P127" si="161">+SUM(O123:O126)</f>
        <v>22159</v>
      </c>
      <c r="P127" s="6">
        <f t="shared" si="161"/>
        <v>21984</v>
      </c>
      <c r="R127" s="1" t="s">
        <v>2</v>
      </c>
      <c r="S127" s="6"/>
      <c r="T127" s="6">
        <f t="shared" ref="T127:U127" si="162">+SUM(T123:T126)</f>
        <v>22508</v>
      </c>
      <c r="U127" s="21">
        <f t="shared" si="162"/>
        <v>24317</v>
      </c>
      <c r="V127" s="6">
        <f t="shared" ref="V127:W127" si="163">+SUM(V123:V126)</f>
        <v>24145</v>
      </c>
      <c r="W127" s="6">
        <f t="shared" si="163"/>
        <v>0</v>
      </c>
    </row>
    <row r="128" spans="1:23" s="3" customFormat="1" x14ac:dyDescent="0.35">
      <c r="A128" s="3" t="s">
        <v>107</v>
      </c>
      <c r="B128" s="6">
        <f t="shared" ref="B128:I128" si="164">+B127+B121+B120</f>
        <v>0</v>
      </c>
      <c r="C128" s="6">
        <f t="shared" si="164"/>
        <v>0</v>
      </c>
      <c r="D128" s="6">
        <f t="shared" si="164"/>
        <v>0</v>
      </c>
      <c r="E128" s="6">
        <f t="shared" si="164"/>
        <v>56136</v>
      </c>
      <c r="F128" s="6">
        <f t="shared" si="164"/>
        <v>64866</v>
      </c>
      <c r="G128" s="6">
        <f t="shared" si="164"/>
        <v>61828</v>
      </c>
      <c r="H128" s="6">
        <f t="shared" si="164"/>
        <v>58604</v>
      </c>
      <c r="I128" s="6">
        <f t="shared" si="164"/>
        <v>59774</v>
      </c>
      <c r="J128" s="6">
        <f>+J127+J121+J120</f>
        <v>0</v>
      </c>
      <c r="K128" s="6">
        <f t="shared" ref="K128:N128" si="165">+K127+K121+K120</f>
        <v>0</v>
      </c>
      <c r="L128" s="6">
        <f t="shared" si="165"/>
        <v>0</v>
      </c>
      <c r="M128" s="6">
        <f t="shared" si="165"/>
        <v>54631</v>
      </c>
      <c r="N128" s="6">
        <f t="shared" si="165"/>
        <v>54831</v>
      </c>
      <c r="O128" s="6">
        <f t="shared" ref="O128:P128" si="166">+O127+O121+O120</f>
        <v>52698</v>
      </c>
      <c r="P128" s="6">
        <f t="shared" si="166"/>
        <v>52199</v>
      </c>
      <c r="R128" s="1" t="s">
        <v>2</v>
      </c>
      <c r="S128" s="6"/>
      <c r="T128" s="6">
        <f t="shared" ref="T128:U128" si="167">+T127+T121+T120</f>
        <v>56136</v>
      </c>
      <c r="U128" s="21">
        <f t="shared" si="167"/>
        <v>59774</v>
      </c>
      <c r="V128" s="6">
        <f t="shared" ref="V128:W128" si="168">+V127+V121+V120</f>
        <v>54631</v>
      </c>
      <c r="W128" s="6">
        <f t="shared" si="168"/>
        <v>0</v>
      </c>
    </row>
    <row r="129" spans="1:9" x14ac:dyDescent="0.35">
      <c r="A129" s="3"/>
      <c r="B129" s="3"/>
      <c r="C129" s="3"/>
      <c r="D129" s="3"/>
      <c r="E129" s="3"/>
      <c r="F129" s="3"/>
      <c r="G129" s="3"/>
      <c r="H129" s="3"/>
      <c r="I129" s="3"/>
    </row>
    <row r="136" spans="1:9" x14ac:dyDescent="0.35">
      <c r="A136" s="3"/>
      <c r="B136" s="3"/>
      <c r="C136" s="3"/>
      <c r="D136" s="3"/>
      <c r="E136" s="3"/>
      <c r="F136" s="3"/>
      <c r="G136" s="3"/>
      <c r="H136" s="3"/>
      <c r="I136" s="3"/>
    </row>
    <row r="143" spans="1:9" x14ac:dyDescent="0.35">
      <c r="A143" s="3"/>
      <c r="B143" s="3"/>
      <c r="C143" s="3"/>
      <c r="D143" s="3"/>
      <c r="E143" s="3"/>
      <c r="F143" s="3"/>
      <c r="G143" s="3"/>
      <c r="H143" s="3"/>
      <c r="I143" s="3"/>
    </row>
    <row r="146" spans="1:9" x14ac:dyDescent="0.35">
      <c r="A146" s="3"/>
      <c r="B146" s="3"/>
      <c r="C146" s="3"/>
      <c r="D146" s="3"/>
      <c r="E146" s="3"/>
      <c r="F146" s="3"/>
      <c r="G146" s="3"/>
      <c r="H146" s="3"/>
      <c r="I146" s="3"/>
    </row>
    <row r="152" spans="1:9" x14ac:dyDescent="0.35">
      <c r="A152" s="3"/>
      <c r="B152" s="3"/>
      <c r="C152" s="3"/>
      <c r="D152" s="3"/>
      <c r="E152" s="3"/>
      <c r="F152" s="3"/>
      <c r="G152" s="3"/>
      <c r="H152" s="3"/>
      <c r="I152" s="3"/>
    </row>
    <row r="154" spans="1:9" x14ac:dyDescent="0.35">
      <c r="A154" s="3"/>
      <c r="B154" s="3"/>
      <c r="C154" s="3"/>
      <c r="D154" s="3"/>
      <c r="E154" s="3"/>
      <c r="F154" s="3"/>
      <c r="G154" s="3"/>
      <c r="H154" s="3"/>
      <c r="I154" s="3"/>
    </row>
    <row r="155" spans="1:9" x14ac:dyDescent="0.35">
      <c r="A155" s="3"/>
      <c r="B155" s="3"/>
      <c r="C155" s="3"/>
      <c r="D155" s="3"/>
      <c r="E155" s="3"/>
      <c r="F155" s="3"/>
      <c r="G155" s="3"/>
      <c r="H155" s="3"/>
      <c r="I155" s="3"/>
    </row>
    <row r="157" spans="1:9" x14ac:dyDescent="0.35">
      <c r="A157" s="3"/>
      <c r="B157" s="3"/>
      <c r="C157" s="3"/>
      <c r="D157" s="3"/>
      <c r="E157" s="3"/>
      <c r="F157" s="3"/>
      <c r="G157" s="3"/>
      <c r="H157" s="3"/>
      <c r="I157" s="3"/>
    </row>
    <row r="162" spans="1:9" x14ac:dyDescent="0.35">
      <c r="A162" s="3"/>
      <c r="B162" s="3"/>
      <c r="C162" s="3"/>
      <c r="D162" s="3"/>
      <c r="E162" s="3"/>
      <c r="F162" s="3"/>
      <c r="G162" s="3"/>
      <c r="H162" s="3"/>
      <c r="I162" s="3"/>
    </row>
  </sheetData>
  <hyperlinks>
    <hyperlink ref="A1" location="main!A1" display="main" xr:uid="{F4DBFA08-1FE6-4E99-AD45-4E25FA7E529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U158"/>
  <sheetViews>
    <sheetView workbookViewId="0">
      <selection activeCell="I33" sqref="I33"/>
    </sheetView>
  </sheetViews>
  <sheetFormatPr defaultRowHeight="14.5" x14ac:dyDescent="0.35"/>
  <cols>
    <col min="1" max="1" width="25.54296875" bestFit="1" customWidth="1"/>
    <col min="2" max="9" width="5.1796875" bestFit="1" customWidth="1"/>
  </cols>
  <sheetData>
    <row r="1" spans="1:21" x14ac:dyDescent="0.35">
      <c r="A1" t="s">
        <v>0</v>
      </c>
      <c r="J1" t="s">
        <v>1</v>
      </c>
      <c r="K1" t="s">
        <v>1</v>
      </c>
      <c r="L1" t="s">
        <v>1</v>
      </c>
      <c r="M1" t="s">
        <v>1</v>
      </c>
      <c r="N1" t="s">
        <v>1</v>
      </c>
      <c r="O1" t="s">
        <v>1</v>
      </c>
      <c r="P1" t="s">
        <v>1</v>
      </c>
      <c r="R1" s="1" t="s">
        <v>2</v>
      </c>
      <c r="S1" s="2"/>
      <c r="T1" t="s">
        <v>3</v>
      </c>
    </row>
    <row r="2" spans="1:21" s="3" customFormat="1" x14ac:dyDescent="0.35">
      <c r="A2" s="3" t="s">
        <v>4</v>
      </c>
      <c r="B2" s="3" t="s">
        <v>145</v>
      </c>
      <c r="C2" s="3" t="s">
        <v>146</v>
      </c>
      <c r="D2" s="3" t="s">
        <v>147</v>
      </c>
      <c r="E2" s="3" t="s">
        <v>148</v>
      </c>
      <c r="F2" s="3" t="s">
        <v>149</v>
      </c>
      <c r="G2" s="3" t="s">
        <v>150</v>
      </c>
      <c r="H2" s="3" t="s">
        <v>151</v>
      </c>
      <c r="I2" s="3" t="s">
        <v>152</v>
      </c>
      <c r="J2" s="3" t="s">
        <v>5</v>
      </c>
      <c r="K2" s="3" t="s">
        <v>6</v>
      </c>
      <c r="L2" s="3" t="s">
        <v>7</v>
      </c>
      <c r="M2" s="3" t="s">
        <v>8</v>
      </c>
      <c r="N2" s="3" t="s">
        <v>9</v>
      </c>
      <c r="O2" s="3" t="s">
        <v>10</v>
      </c>
      <c r="P2" s="3" t="s">
        <v>11</v>
      </c>
      <c r="Q2" s="3" t="s">
        <v>12</v>
      </c>
      <c r="R2" s="1" t="s">
        <v>2</v>
      </c>
      <c r="S2" s="4">
        <v>2023</v>
      </c>
      <c r="T2" s="3">
        <v>2023</v>
      </c>
      <c r="U2" s="3">
        <v>2024</v>
      </c>
    </row>
    <row r="3" spans="1:21" s="3" customFormat="1" x14ac:dyDescent="0.35">
      <c r="A3"/>
      <c r="B3"/>
      <c r="C3"/>
      <c r="D3"/>
      <c r="E3"/>
      <c r="F3"/>
      <c r="G3"/>
      <c r="H3"/>
      <c r="I3"/>
      <c r="R3" s="1"/>
      <c r="S3" s="4"/>
    </row>
    <row r="4" spans="1:21" s="3" customFormat="1" x14ac:dyDescent="0.35">
      <c r="A4" s="3" t="s">
        <v>108</v>
      </c>
      <c r="R4" s="1"/>
      <c r="S4" s="4"/>
    </row>
    <row r="5" spans="1:21" s="3" customFormat="1" x14ac:dyDescent="0.35">
      <c r="A5" s="3" t="s">
        <v>41</v>
      </c>
      <c r="R5" s="1"/>
      <c r="S5" s="4"/>
    </row>
    <row r="6" spans="1:21" s="3" customFormat="1" x14ac:dyDescent="0.35">
      <c r="A6" s="3" t="s">
        <v>109</v>
      </c>
      <c r="R6" s="1"/>
      <c r="S6" s="4"/>
    </row>
    <row r="7" spans="1:21" x14ac:dyDescent="0.35">
      <c r="A7" s="3" t="s">
        <v>30</v>
      </c>
      <c r="B7" s="3"/>
      <c r="C7" s="3"/>
      <c r="D7" s="3"/>
      <c r="E7" s="3"/>
      <c r="F7" s="3"/>
      <c r="G7" s="3"/>
      <c r="H7" s="3"/>
      <c r="I7" s="3"/>
    </row>
    <row r="8" spans="1:21" x14ac:dyDescent="0.35">
      <c r="A8" s="8" t="s">
        <v>35</v>
      </c>
      <c r="B8" s="8"/>
      <c r="C8" s="8"/>
      <c r="D8" s="8"/>
      <c r="E8" s="8"/>
      <c r="F8" s="8"/>
      <c r="G8" s="8"/>
      <c r="H8" s="8"/>
      <c r="I8" s="8"/>
    </row>
    <row r="9" spans="1:21" x14ac:dyDescent="0.35">
      <c r="A9" s="8" t="s">
        <v>36</v>
      </c>
      <c r="B9" s="8"/>
      <c r="C9" s="8"/>
      <c r="D9" s="8"/>
      <c r="E9" s="8"/>
      <c r="F9" s="8"/>
      <c r="G9" s="8"/>
      <c r="H9" s="8"/>
      <c r="I9" s="8"/>
    </row>
    <row r="10" spans="1:21" x14ac:dyDescent="0.35">
      <c r="A10" s="8" t="s">
        <v>37</v>
      </c>
      <c r="B10" s="8"/>
      <c r="C10" s="8"/>
      <c r="D10" s="8"/>
      <c r="E10" s="8"/>
      <c r="F10" s="8"/>
      <c r="G10" s="8"/>
      <c r="H10" s="8"/>
      <c r="I10" s="8"/>
    </row>
    <row r="11" spans="1:21" x14ac:dyDescent="0.35">
      <c r="A11" s="8" t="s">
        <v>34</v>
      </c>
      <c r="B11" s="8"/>
      <c r="C11" s="8"/>
      <c r="D11" s="8"/>
      <c r="E11" s="8"/>
      <c r="F11" s="8"/>
      <c r="G11" s="8"/>
      <c r="H11" s="8"/>
      <c r="I11" s="8"/>
    </row>
    <row r="12" spans="1:21" x14ac:dyDescent="0.35">
      <c r="A12" s="3" t="s">
        <v>31</v>
      </c>
      <c r="B12" s="3"/>
      <c r="C12" s="3"/>
      <c r="D12" s="3"/>
      <c r="E12" s="3"/>
      <c r="F12" s="3"/>
      <c r="G12" s="3"/>
      <c r="H12" s="3"/>
      <c r="I12" s="3"/>
    </row>
    <row r="13" spans="1:21" x14ac:dyDescent="0.35">
      <c r="A13" s="8" t="s">
        <v>33</v>
      </c>
      <c r="B13" s="8"/>
      <c r="C13" s="8"/>
      <c r="D13" s="8"/>
      <c r="E13" s="8"/>
      <c r="F13" s="8"/>
      <c r="G13" s="8"/>
      <c r="H13" s="8"/>
      <c r="I13" s="8"/>
    </row>
    <row r="14" spans="1:21" x14ac:dyDescent="0.35">
      <c r="A14" s="7" t="s">
        <v>40</v>
      </c>
      <c r="B14" s="7"/>
      <c r="C14" s="7"/>
      <c r="D14" s="7"/>
      <c r="E14" s="7"/>
      <c r="F14" s="7"/>
      <c r="G14" s="7"/>
      <c r="H14" s="7"/>
      <c r="I14" s="7"/>
    </row>
    <row r="15" spans="1:21" x14ac:dyDescent="0.35">
      <c r="A15" s="3" t="s">
        <v>32</v>
      </c>
      <c r="B15" s="3"/>
      <c r="C15" s="3"/>
      <c r="D15" s="3"/>
      <c r="E15" s="3"/>
      <c r="F15" s="3"/>
      <c r="G15" s="3"/>
      <c r="H15" s="3"/>
      <c r="I15" s="3"/>
    </row>
    <row r="16" spans="1:21" x14ac:dyDescent="0.35">
      <c r="A16" s="8" t="s">
        <v>38</v>
      </c>
      <c r="B16" s="8"/>
      <c r="C16" s="8"/>
      <c r="D16" s="8"/>
      <c r="E16" s="8"/>
      <c r="F16" s="8"/>
      <c r="G16" s="8"/>
      <c r="H16" s="8"/>
      <c r="I16" s="8"/>
    </row>
    <row r="17" spans="1:16" x14ac:dyDescent="0.35">
      <c r="A17" s="8" t="s">
        <v>39</v>
      </c>
      <c r="B17" s="8"/>
      <c r="C17" s="8"/>
      <c r="D17" s="8"/>
      <c r="E17" s="8"/>
      <c r="F17" s="8"/>
      <c r="G17" s="8"/>
      <c r="H17" s="8"/>
      <c r="I17" s="8"/>
    </row>
    <row r="18" spans="1:16" x14ac:dyDescent="0.35">
      <c r="A18" s="3" t="s">
        <v>19</v>
      </c>
      <c r="B18" s="3"/>
      <c r="C18" s="3"/>
      <c r="D18" s="3"/>
      <c r="E18" s="3"/>
      <c r="F18" s="3"/>
      <c r="G18" s="3"/>
      <c r="H18" s="3"/>
      <c r="I18" s="3"/>
    </row>
    <row r="19" spans="1:16" x14ac:dyDescent="0.35">
      <c r="A19" s="3"/>
      <c r="B19" s="3"/>
      <c r="C19" s="3"/>
      <c r="D19" s="3"/>
      <c r="E19" s="3"/>
      <c r="F19" s="3"/>
      <c r="G19" s="3"/>
      <c r="H19" s="3"/>
      <c r="I19" s="3"/>
    </row>
    <row r="20" spans="1:16" x14ac:dyDescent="0.35">
      <c r="A20" s="3" t="s">
        <v>52</v>
      </c>
      <c r="B20" s="3"/>
      <c r="C20" s="3"/>
      <c r="D20" s="3"/>
      <c r="E20" s="3"/>
      <c r="F20" s="3"/>
      <c r="G20" s="3"/>
      <c r="H20" s="3"/>
      <c r="I20" s="3"/>
    </row>
    <row r="21" spans="1:16" x14ac:dyDescent="0.35">
      <c r="A21" s="3" t="s">
        <v>41</v>
      </c>
      <c r="B21" s="3"/>
      <c r="C21" s="3"/>
      <c r="D21" s="3"/>
      <c r="E21" s="3"/>
      <c r="F21" s="3"/>
      <c r="G21" s="3"/>
      <c r="H21" s="3"/>
      <c r="I21" s="3"/>
    </row>
    <row r="22" spans="1:16" x14ac:dyDescent="0.35">
      <c r="A22" s="3" t="s">
        <v>53</v>
      </c>
      <c r="B22" s="3"/>
      <c r="C22" s="3"/>
      <c r="D22" s="3"/>
      <c r="E22" s="3"/>
      <c r="F22" s="3"/>
      <c r="G22" s="3"/>
      <c r="H22" s="3"/>
      <c r="I22" s="3"/>
    </row>
    <row r="23" spans="1:16" x14ac:dyDescent="0.35">
      <c r="A23" s="3" t="s">
        <v>30</v>
      </c>
      <c r="B23" s="3"/>
      <c r="C23" s="3"/>
      <c r="D23" s="3"/>
      <c r="E23" s="3"/>
      <c r="F23" s="3"/>
      <c r="G23" s="3"/>
      <c r="H23" s="3"/>
      <c r="I23" s="3"/>
    </row>
    <row r="24" spans="1:16" x14ac:dyDescent="0.35">
      <c r="A24" s="8" t="s">
        <v>35</v>
      </c>
      <c r="B24" s="8"/>
      <c r="C24" s="8"/>
      <c r="D24" s="8"/>
      <c r="E24" s="8"/>
      <c r="F24" s="8"/>
      <c r="G24" s="8"/>
      <c r="H24" s="8"/>
      <c r="I24" s="8"/>
      <c r="N24" t="s">
        <v>42</v>
      </c>
      <c r="O24" t="s">
        <v>129</v>
      </c>
      <c r="P24" t="s">
        <v>137</v>
      </c>
    </row>
    <row r="25" spans="1:16" x14ac:dyDescent="0.35">
      <c r="A25" s="8" t="s">
        <v>36</v>
      </c>
      <c r="B25" s="8"/>
      <c r="C25" s="8"/>
      <c r="D25" s="8"/>
      <c r="E25" s="8"/>
      <c r="F25" s="8"/>
      <c r="G25" s="8"/>
      <c r="H25" s="8"/>
      <c r="I25" s="8"/>
      <c r="N25" t="s">
        <v>43</v>
      </c>
      <c r="O25" t="s">
        <v>132</v>
      </c>
      <c r="P25" t="s">
        <v>138</v>
      </c>
    </row>
    <row r="26" spans="1:16" x14ac:dyDescent="0.35">
      <c r="A26" s="8" t="s">
        <v>37</v>
      </c>
      <c r="B26" s="8"/>
      <c r="C26" s="8"/>
      <c r="D26" s="8"/>
      <c r="E26" s="8"/>
      <c r="F26" s="8"/>
      <c r="G26" s="8"/>
      <c r="H26" s="8"/>
      <c r="I26" s="8"/>
      <c r="N26" t="s">
        <v>44</v>
      </c>
      <c r="O26" t="s">
        <v>133</v>
      </c>
      <c r="P26" t="s">
        <v>139</v>
      </c>
    </row>
    <row r="27" spans="1:16" x14ac:dyDescent="0.35">
      <c r="A27" s="8" t="s">
        <v>34</v>
      </c>
      <c r="B27" s="8"/>
      <c r="C27" s="8"/>
      <c r="D27" s="8"/>
      <c r="E27" s="8"/>
      <c r="F27" s="8"/>
      <c r="G27" s="8"/>
      <c r="H27" s="8"/>
      <c r="I27" s="8"/>
    </row>
    <row r="28" spans="1:16" x14ac:dyDescent="0.35">
      <c r="A28" s="3" t="s">
        <v>31</v>
      </c>
      <c r="B28" s="3"/>
      <c r="C28" s="3"/>
      <c r="D28" s="3"/>
      <c r="E28" s="3"/>
      <c r="F28" s="3"/>
      <c r="G28" s="3"/>
      <c r="H28" s="3"/>
      <c r="I28" s="3"/>
    </row>
    <row r="29" spans="1:16" x14ac:dyDescent="0.35">
      <c r="A29" s="8" t="s">
        <v>33</v>
      </c>
      <c r="B29" s="8"/>
      <c r="C29" s="8"/>
      <c r="D29" s="8"/>
      <c r="E29" s="8"/>
      <c r="F29" s="8"/>
      <c r="G29" s="8"/>
      <c r="H29" s="8"/>
      <c r="I29" s="8"/>
      <c r="N29" t="s">
        <v>45</v>
      </c>
      <c r="O29" t="s">
        <v>134</v>
      </c>
      <c r="P29" t="s">
        <v>140</v>
      </c>
    </row>
    <row r="30" spans="1:16" x14ac:dyDescent="0.35">
      <c r="A30" s="7" t="s">
        <v>40</v>
      </c>
      <c r="B30" s="7"/>
      <c r="C30" s="7"/>
      <c r="D30" s="7"/>
      <c r="E30" s="7"/>
      <c r="F30" s="7"/>
      <c r="G30" s="7"/>
      <c r="H30" s="7"/>
      <c r="I30" s="7"/>
      <c r="N30" t="s">
        <v>46</v>
      </c>
      <c r="O30" t="s">
        <v>135</v>
      </c>
      <c r="P30" t="s">
        <v>141</v>
      </c>
    </row>
    <row r="31" spans="1:16" x14ac:dyDescent="0.35">
      <c r="A31" s="3" t="s">
        <v>32</v>
      </c>
      <c r="B31" s="3"/>
      <c r="C31" s="3"/>
      <c r="D31" s="3"/>
      <c r="E31" s="3"/>
      <c r="F31" s="3"/>
      <c r="G31" s="3"/>
      <c r="H31" s="3"/>
      <c r="I31" s="3"/>
    </row>
    <row r="32" spans="1:16" x14ac:dyDescent="0.35">
      <c r="A32" s="8" t="s">
        <v>38</v>
      </c>
      <c r="B32" s="8"/>
      <c r="C32" s="8"/>
      <c r="D32" s="8"/>
      <c r="E32" s="8"/>
      <c r="F32" s="8"/>
      <c r="G32" s="8"/>
      <c r="H32" s="8"/>
      <c r="I32" s="8"/>
      <c r="N32" t="s">
        <v>47</v>
      </c>
      <c r="O32" t="s">
        <v>130</v>
      </c>
      <c r="P32" t="s">
        <v>142</v>
      </c>
    </row>
    <row r="33" spans="1:16" x14ac:dyDescent="0.35">
      <c r="A33" s="8" t="s">
        <v>39</v>
      </c>
      <c r="B33" s="8"/>
      <c r="C33" s="8"/>
      <c r="D33" s="8"/>
      <c r="E33" s="8"/>
      <c r="F33" s="8"/>
      <c r="G33" s="8"/>
      <c r="H33" s="8"/>
      <c r="I33" s="8"/>
      <c r="N33" t="s">
        <v>48</v>
      </c>
      <c r="O33" t="s">
        <v>131</v>
      </c>
      <c r="P33" t="s">
        <v>143</v>
      </c>
    </row>
    <row r="34" spans="1:16" x14ac:dyDescent="0.35">
      <c r="A34" s="3" t="s">
        <v>19</v>
      </c>
      <c r="B34" s="3"/>
      <c r="C34" s="3"/>
      <c r="D34" s="3"/>
      <c r="E34" s="3"/>
      <c r="F34" s="3"/>
      <c r="G34" s="3"/>
      <c r="H34" s="3"/>
      <c r="I34" s="3"/>
      <c r="N34" t="s">
        <v>49</v>
      </c>
      <c r="O34" t="s">
        <v>136</v>
      </c>
      <c r="P34" t="s">
        <v>144</v>
      </c>
    </row>
    <row r="35" spans="1:16" x14ac:dyDescent="0.35">
      <c r="A35" s="3"/>
      <c r="B35" s="3"/>
      <c r="C35" s="3"/>
      <c r="D35" s="3"/>
      <c r="E35" s="3"/>
      <c r="F35" s="3"/>
      <c r="G35" s="3"/>
      <c r="H35" s="3"/>
      <c r="I35" s="3"/>
    </row>
    <row r="36" spans="1:16" x14ac:dyDescent="0.35">
      <c r="B36" s="16"/>
      <c r="C36" s="16"/>
      <c r="D36" s="16"/>
      <c r="E36" s="16"/>
      <c r="F36" s="16"/>
      <c r="G36" s="16"/>
      <c r="H36" s="16"/>
      <c r="I36" s="16"/>
    </row>
    <row r="38" spans="1:16" x14ac:dyDescent="0.35">
      <c r="B38" s="3"/>
      <c r="C38" s="3"/>
      <c r="D38" s="3"/>
      <c r="E38" s="3"/>
      <c r="F38" s="3"/>
      <c r="G38" s="3"/>
      <c r="H38" s="3"/>
      <c r="I38" s="3"/>
    </row>
    <row r="41" spans="1:16" x14ac:dyDescent="0.35">
      <c r="B41" s="3"/>
      <c r="C41" s="3"/>
      <c r="D41" s="3"/>
      <c r="E41" s="3"/>
      <c r="F41" s="3"/>
      <c r="G41" s="3"/>
      <c r="H41" s="3"/>
      <c r="I41" s="3"/>
    </row>
    <row r="42" spans="1:16" x14ac:dyDescent="0.35">
      <c r="B42" s="3"/>
      <c r="C42" s="3"/>
      <c r="D42" s="3"/>
      <c r="E42" s="3"/>
      <c r="F42" s="3"/>
      <c r="G42" s="3"/>
      <c r="H42" s="3"/>
      <c r="I42" s="3"/>
    </row>
    <row r="50" spans="2:9" x14ac:dyDescent="0.35">
      <c r="B50" s="3"/>
      <c r="C50" s="3"/>
      <c r="D50" s="3"/>
      <c r="E50" s="3"/>
      <c r="F50" s="3"/>
      <c r="G50" s="3"/>
      <c r="H50" s="3"/>
      <c r="I50" s="3"/>
    </row>
    <row r="51" spans="2:9" x14ac:dyDescent="0.35">
      <c r="B51" s="3"/>
      <c r="C51" s="3"/>
      <c r="D51" s="3"/>
      <c r="E51" s="3"/>
      <c r="F51" s="3"/>
      <c r="G51" s="3"/>
      <c r="H51" s="3"/>
      <c r="I51" s="3"/>
    </row>
    <row r="54" spans="2:9" x14ac:dyDescent="0.35">
      <c r="B54" s="3"/>
      <c r="C54" s="3"/>
      <c r="D54" s="3"/>
      <c r="E54" s="3"/>
      <c r="F54" s="3"/>
      <c r="G54" s="3"/>
      <c r="H54" s="3"/>
      <c r="I54" s="3"/>
    </row>
    <row r="55" spans="2:9" x14ac:dyDescent="0.35">
      <c r="B55" s="3"/>
      <c r="C55" s="3"/>
      <c r="D55" s="3"/>
      <c r="E55" s="3"/>
      <c r="F55" s="3"/>
      <c r="G55" s="3"/>
      <c r="H55" s="3"/>
      <c r="I55" s="3"/>
    </row>
    <row r="56" spans="2:9" x14ac:dyDescent="0.35">
      <c r="B56" s="3"/>
      <c r="C56" s="3"/>
      <c r="D56" s="3"/>
      <c r="E56" s="3"/>
      <c r="F56" s="3"/>
      <c r="G56" s="3"/>
      <c r="H56" s="3"/>
      <c r="I56" s="3"/>
    </row>
    <row r="57" spans="2:9" x14ac:dyDescent="0.35">
      <c r="B57" s="3"/>
      <c r="C57" s="3"/>
      <c r="D57" s="3"/>
      <c r="E57" s="3"/>
      <c r="F57" s="3"/>
      <c r="G57" s="3"/>
      <c r="H57" s="3"/>
      <c r="I57" s="3"/>
    </row>
    <row r="58" spans="2:9" x14ac:dyDescent="0.35">
      <c r="B58" s="3"/>
      <c r="C58" s="3"/>
      <c r="D58" s="3"/>
      <c r="E58" s="3"/>
      <c r="F58" s="3"/>
      <c r="G58" s="3"/>
      <c r="H58" s="3"/>
      <c r="I58" s="3"/>
    </row>
    <row r="59" spans="2:9" x14ac:dyDescent="0.35">
      <c r="B59" s="3"/>
      <c r="C59" s="3"/>
      <c r="D59" s="3"/>
      <c r="E59" s="3"/>
      <c r="F59" s="3"/>
      <c r="G59" s="3"/>
      <c r="H59" s="3"/>
      <c r="I59" s="3"/>
    </row>
    <row r="60" spans="2:9" x14ac:dyDescent="0.35">
      <c r="B60" s="3"/>
      <c r="C60" s="3"/>
      <c r="D60" s="3"/>
      <c r="E60" s="3"/>
      <c r="F60" s="3"/>
      <c r="G60" s="3"/>
      <c r="H60" s="3"/>
      <c r="I60" s="3"/>
    </row>
    <row r="61" spans="2:9" x14ac:dyDescent="0.35">
      <c r="B61" s="3"/>
      <c r="C61" s="3"/>
      <c r="D61" s="3"/>
      <c r="E61" s="3"/>
      <c r="F61" s="3"/>
      <c r="G61" s="3"/>
      <c r="H61" s="3"/>
      <c r="I61" s="3"/>
    </row>
    <row r="62" spans="2:9" x14ac:dyDescent="0.35">
      <c r="B62" s="16"/>
      <c r="C62" s="16"/>
      <c r="D62" s="16"/>
      <c r="E62" s="16"/>
      <c r="F62" s="16"/>
      <c r="G62" s="16"/>
      <c r="H62" s="16"/>
      <c r="I62" s="16"/>
    </row>
    <row r="64" spans="2:9" x14ac:dyDescent="0.35">
      <c r="B64" s="3"/>
      <c r="C64" s="3"/>
      <c r="D64" s="3"/>
      <c r="E64" s="3"/>
      <c r="F64" s="3"/>
      <c r="G64" s="3"/>
      <c r="H64" s="3"/>
      <c r="I64" s="3"/>
    </row>
    <row r="81" spans="2:9" x14ac:dyDescent="0.35">
      <c r="B81" s="3"/>
      <c r="C81" s="3"/>
      <c r="D81" s="3"/>
      <c r="E81" s="3"/>
      <c r="F81" s="3"/>
      <c r="G81" s="3"/>
      <c r="H81" s="3"/>
      <c r="I81" s="3"/>
    </row>
    <row r="82" spans="2:9" x14ac:dyDescent="0.35">
      <c r="B82" s="3"/>
      <c r="C82" s="3"/>
      <c r="D82" s="3"/>
      <c r="E82" s="3"/>
      <c r="F82" s="3"/>
      <c r="G82" s="3"/>
      <c r="H82" s="3"/>
      <c r="I82" s="3"/>
    </row>
    <row r="83" spans="2:9" x14ac:dyDescent="0.35">
      <c r="B83" s="16"/>
      <c r="C83" s="16"/>
      <c r="D83" s="16"/>
      <c r="E83" s="16"/>
      <c r="F83" s="16"/>
      <c r="G83" s="16"/>
      <c r="H83" s="16"/>
      <c r="I83" s="16"/>
    </row>
    <row r="86" spans="2:9" x14ac:dyDescent="0.35">
      <c r="B86" s="3"/>
      <c r="C86" s="3"/>
      <c r="D86" s="3"/>
      <c r="E86" s="3"/>
      <c r="F86" s="3"/>
      <c r="G86" s="3"/>
      <c r="H86" s="3"/>
      <c r="I86" s="3"/>
    </row>
    <row r="90" spans="2:9" x14ac:dyDescent="0.35">
      <c r="B90" s="3"/>
      <c r="C90" s="3"/>
      <c r="D90" s="3"/>
      <c r="E90" s="3"/>
      <c r="F90" s="3"/>
      <c r="G90" s="3"/>
      <c r="H90" s="3"/>
      <c r="I90" s="3"/>
    </row>
    <row r="95" spans="2:9" x14ac:dyDescent="0.35">
      <c r="B95" s="3"/>
      <c r="C95" s="3"/>
      <c r="D95" s="3"/>
      <c r="E95" s="3"/>
      <c r="F95" s="3"/>
      <c r="G95" s="3"/>
      <c r="H95" s="3"/>
      <c r="I95" s="3"/>
    </row>
    <row r="101" spans="2:9" x14ac:dyDescent="0.35">
      <c r="B101" s="3"/>
      <c r="C101" s="3"/>
      <c r="D101" s="3"/>
      <c r="E101" s="3"/>
      <c r="F101" s="3"/>
      <c r="G101" s="3"/>
      <c r="H101" s="3"/>
      <c r="I101" s="3"/>
    </row>
    <row r="102" spans="2:9" x14ac:dyDescent="0.35">
      <c r="B102" s="3"/>
      <c r="C102" s="3"/>
      <c r="D102" s="3"/>
      <c r="E102" s="3"/>
      <c r="F102" s="3"/>
      <c r="G102" s="3"/>
      <c r="H102" s="3"/>
      <c r="I102" s="3"/>
    </row>
    <row r="103" spans="2:9" x14ac:dyDescent="0.35">
      <c r="B103" s="3"/>
      <c r="C103" s="3"/>
      <c r="D103" s="3"/>
      <c r="E103" s="3"/>
      <c r="F103" s="3"/>
      <c r="G103" s="3"/>
      <c r="H103" s="3"/>
      <c r="I103" s="3"/>
    </row>
    <row r="110" spans="2:9" x14ac:dyDescent="0.35">
      <c r="B110" s="3"/>
      <c r="C110" s="3"/>
      <c r="D110" s="3"/>
      <c r="E110" s="3"/>
      <c r="F110" s="3"/>
      <c r="G110" s="3"/>
      <c r="H110" s="3"/>
      <c r="I110" s="3"/>
    </row>
    <row r="115" spans="2:9" x14ac:dyDescent="0.35">
      <c r="B115" s="3"/>
      <c r="C115" s="3"/>
      <c r="D115" s="3"/>
      <c r="E115" s="3"/>
      <c r="F115" s="3"/>
      <c r="G115" s="3"/>
      <c r="H115" s="3"/>
      <c r="I115" s="3"/>
    </row>
    <row r="116" spans="2:9" x14ac:dyDescent="0.35">
      <c r="B116" s="3"/>
      <c r="C116" s="3"/>
      <c r="D116" s="3"/>
      <c r="E116" s="3"/>
      <c r="F116" s="3"/>
      <c r="G116" s="3"/>
      <c r="H116" s="3"/>
      <c r="I116" s="3"/>
    </row>
    <row r="123" spans="2:9" x14ac:dyDescent="0.35">
      <c r="B123" s="3"/>
      <c r="C123" s="3"/>
      <c r="D123" s="3"/>
      <c r="E123" s="3"/>
      <c r="F123" s="3"/>
      <c r="G123" s="3"/>
      <c r="H123" s="3"/>
      <c r="I123" s="3"/>
    </row>
    <row r="124" spans="2:9" x14ac:dyDescent="0.35">
      <c r="B124" s="3"/>
      <c r="C124" s="3"/>
      <c r="D124" s="3"/>
      <c r="E124" s="3"/>
      <c r="F124" s="3"/>
      <c r="G124" s="3"/>
      <c r="H124" s="3"/>
      <c r="I124" s="3"/>
    </row>
    <row r="125" spans="2:9" x14ac:dyDescent="0.35">
      <c r="B125" s="3"/>
      <c r="C125" s="3"/>
      <c r="D125" s="3"/>
      <c r="E125" s="3"/>
      <c r="F125" s="3"/>
      <c r="G125" s="3"/>
      <c r="H125" s="3"/>
      <c r="I125" s="3"/>
    </row>
    <row r="132" spans="2:9" x14ac:dyDescent="0.35">
      <c r="B132" s="3"/>
      <c r="C132" s="3"/>
      <c r="D132" s="3"/>
      <c r="E132" s="3"/>
      <c r="F132" s="3"/>
      <c r="G132" s="3"/>
      <c r="H132" s="3"/>
      <c r="I132" s="3"/>
    </row>
    <row r="139" spans="2:9" x14ac:dyDescent="0.35">
      <c r="B139" s="3"/>
      <c r="C139" s="3"/>
      <c r="D139" s="3"/>
      <c r="E139" s="3"/>
      <c r="F139" s="3"/>
      <c r="G139" s="3"/>
      <c r="H139" s="3"/>
      <c r="I139" s="3"/>
    </row>
    <row r="142" spans="2:9" x14ac:dyDescent="0.35">
      <c r="B142" s="3"/>
      <c r="C142" s="3"/>
      <c r="D142" s="3"/>
      <c r="E142" s="3"/>
      <c r="F142" s="3"/>
      <c r="G142" s="3"/>
      <c r="H142" s="3"/>
      <c r="I142" s="3"/>
    </row>
    <row r="148" spans="2:9" x14ac:dyDescent="0.35">
      <c r="B148" s="3"/>
      <c r="C148" s="3"/>
      <c r="D148" s="3"/>
      <c r="E148" s="3"/>
      <c r="F148" s="3"/>
      <c r="G148" s="3"/>
      <c r="H148" s="3"/>
      <c r="I148" s="3"/>
    </row>
    <row r="150" spans="2:9" x14ac:dyDescent="0.35">
      <c r="B150" s="3"/>
      <c r="C150" s="3"/>
      <c r="D150" s="3"/>
      <c r="E150" s="3"/>
      <c r="F150" s="3"/>
      <c r="G150" s="3"/>
      <c r="H150" s="3"/>
      <c r="I150" s="3"/>
    </row>
    <row r="151" spans="2:9" x14ac:dyDescent="0.35">
      <c r="B151" s="3"/>
      <c r="C151" s="3"/>
      <c r="D151" s="3"/>
      <c r="E151" s="3"/>
      <c r="F151" s="3"/>
      <c r="G151" s="3"/>
      <c r="H151" s="3"/>
      <c r="I151" s="3"/>
    </row>
    <row r="153" spans="2:9" x14ac:dyDescent="0.35">
      <c r="B153" s="3"/>
      <c r="C153" s="3"/>
      <c r="D153" s="3"/>
      <c r="E153" s="3"/>
      <c r="F153" s="3"/>
      <c r="G153" s="3"/>
      <c r="H153" s="3"/>
      <c r="I153" s="3"/>
    </row>
    <row r="158" spans="2:9" x14ac:dyDescent="0.35">
      <c r="B158" s="3"/>
      <c r="C158" s="3"/>
      <c r="D158" s="3"/>
      <c r="E158" s="3"/>
      <c r="F158" s="3"/>
      <c r="G158" s="3"/>
      <c r="H158" s="3"/>
      <c r="I15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118</v>
      </c>
      <c r="D2" t="s">
        <v>115</v>
      </c>
    </row>
    <row r="3" spans="2:4" x14ac:dyDescent="0.35">
      <c r="B3" t="s">
        <v>9</v>
      </c>
      <c r="C3" t="s">
        <v>119</v>
      </c>
      <c r="D3" t="s">
        <v>116</v>
      </c>
    </row>
    <row r="4" spans="2:4" x14ac:dyDescent="0.35">
      <c r="B4" t="s">
        <v>9</v>
      </c>
      <c r="C4" t="s">
        <v>120</v>
      </c>
      <c r="D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28CB-132B-4950-A04C-85F6E8D387C0}">
  <dimension ref="B3"/>
  <sheetViews>
    <sheetView workbookViewId="0"/>
  </sheetViews>
  <sheetFormatPr defaultRowHeight="14.5" x14ac:dyDescent="0.35"/>
  <sheetData>
    <row r="3" spans="2:2" x14ac:dyDescent="0.35">
      <c r="B3"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C9FC-B547-4F66-9337-E810425444DA}">
  <dimension ref="B2:C5"/>
  <sheetViews>
    <sheetView workbookViewId="0"/>
  </sheetViews>
  <sheetFormatPr defaultRowHeight="14.5" x14ac:dyDescent="0.35"/>
  <sheetData>
    <row r="2" spans="2:3" x14ac:dyDescent="0.35">
      <c r="B2" t="s">
        <v>112</v>
      </c>
    </row>
    <row r="3" spans="2:3" x14ac:dyDescent="0.35">
      <c r="B3" t="s">
        <v>113</v>
      </c>
    </row>
    <row r="4" spans="2:3" x14ac:dyDescent="0.35">
      <c r="B4" t="s">
        <v>127</v>
      </c>
    </row>
    <row r="5" spans="2:3" x14ac:dyDescent="0.35">
      <c r="C5" t="s">
        <v>128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1659-7C57-42B2-9B54-4D6B7FAFC872}">
  <dimension ref="B2:B3"/>
  <sheetViews>
    <sheetView workbookViewId="0"/>
  </sheetViews>
  <sheetFormatPr defaultRowHeight="14.5" x14ac:dyDescent="0.35"/>
  <sheetData>
    <row r="2" spans="2:2" x14ac:dyDescent="0.35">
      <c r="B2" t="s">
        <v>123</v>
      </c>
    </row>
    <row r="3" spans="2:2" x14ac:dyDescent="0.35">
      <c r="B3" t="s">
        <v>122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BA1AE-3B34-47AA-809F-4CEB3A4B8769}">
  <dimension ref="B2"/>
  <sheetViews>
    <sheetView workbookViewId="0"/>
  </sheetViews>
  <sheetFormatPr defaultRowHeight="14.5" x14ac:dyDescent="0.35"/>
  <sheetData>
    <row r="2" spans="2:2" x14ac:dyDescent="0.35">
      <c r="B2"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model</vt:lpstr>
      <vt:lpstr>model_notes</vt:lpstr>
      <vt:lpstr>acquisitions</vt:lpstr>
      <vt:lpstr>AgServiceOilseeds</vt:lpstr>
      <vt:lpstr>Carbs</vt:lpstr>
      <vt:lpstr>Nutrition</vt: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2025-05-11T13:51:59Z</dcterms:modified>
</cp:coreProperties>
</file>