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E36E85FD-7D3E-4696-AE0A-D241CD361113}" xr6:coauthVersionLast="47" xr6:coauthVersionMax="47" xr10:uidLastSave="{00000000-0000-0000-0000-000000000000}"/>
  <bookViews>
    <workbookView xWindow="4180" yWindow="4180" windowWidth="28800" windowHeight="15370"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8" i="2" l="1"/>
  <c r="O90" i="2" s="1"/>
  <c r="O91" i="2" s="1"/>
  <c r="N88" i="2"/>
  <c r="P88" i="2"/>
  <c r="P90" i="2" s="1"/>
  <c r="N17" i="2"/>
  <c r="N18" i="2" s="1"/>
  <c r="O17" i="2"/>
  <c r="P17" i="2"/>
  <c r="P9" i="2"/>
  <c r="P8" i="2"/>
  <c r="P7" i="2"/>
  <c r="P6" i="2"/>
  <c r="P93" i="2"/>
  <c r="P95" i="2"/>
  <c r="P97" i="2"/>
  <c r="P99" i="2"/>
  <c r="P20" i="2"/>
  <c r="P22" i="2"/>
  <c r="P24" i="2"/>
  <c r="P26" i="2"/>
  <c r="I257" i="2"/>
  <c r="I256" i="2"/>
  <c r="I255" i="2"/>
  <c r="I126" i="2"/>
  <c r="I138" i="2" s="1"/>
  <c r="I125" i="2"/>
  <c r="I56" i="4" s="1"/>
  <c r="I124" i="2"/>
  <c r="I55" i="4" s="1"/>
  <c r="I123" i="2"/>
  <c r="I135" i="2" s="1"/>
  <c r="I106" i="2"/>
  <c r="I120" i="2" s="1"/>
  <c r="I104" i="2"/>
  <c r="I118" i="2" s="1"/>
  <c r="I103" i="2"/>
  <c r="I117" i="2" s="1"/>
  <c r="I102" i="2"/>
  <c r="I48" i="4" s="1"/>
  <c r="I64" i="2"/>
  <c r="I76" i="2" s="1"/>
  <c r="I63" i="2"/>
  <c r="I75" i="2" s="1"/>
  <c r="I62" i="2"/>
  <c r="I74" i="2" s="1"/>
  <c r="I61" i="2"/>
  <c r="I46" i="2"/>
  <c r="I8" i="3" s="1"/>
  <c r="I45" i="2"/>
  <c r="I7" i="3" s="1"/>
  <c r="I44" i="2"/>
  <c r="I6" i="3" s="1"/>
  <c r="I43" i="2"/>
  <c r="I55" i="2" s="1"/>
  <c r="P184" i="2"/>
  <c r="P249" i="2"/>
  <c r="P247" i="2"/>
  <c r="P246" i="2"/>
  <c r="P245" i="2"/>
  <c r="P244" i="2"/>
  <c r="P241" i="2"/>
  <c r="P240" i="2"/>
  <c r="P239" i="2"/>
  <c r="P238" i="2"/>
  <c r="P236" i="2"/>
  <c r="P235" i="2"/>
  <c r="P234" i="2"/>
  <c r="P233" i="2"/>
  <c r="P232" i="2"/>
  <c r="P229" i="2"/>
  <c r="P228" i="2"/>
  <c r="P227" i="2"/>
  <c r="P226" i="2"/>
  <c r="P224" i="2"/>
  <c r="P223" i="2"/>
  <c r="P222" i="2"/>
  <c r="P220" i="2"/>
  <c r="P219" i="2"/>
  <c r="P218" i="2"/>
  <c r="P217" i="2"/>
  <c r="P216" i="2"/>
  <c r="I165" i="2"/>
  <c r="I163" i="2"/>
  <c r="I161" i="2"/>
  <c r="I158" i="2"/>
  <c r="I157" i="2"/>
  <c r="I156" i="2"/>
  <c r="I155" i="2"/>
  <c r="I167" i="2" s="1"/>
  <c r="I154" i="2"/>
  <c r="I153" i="2"/>
  <c r="I151" i="2"/>
  <c r="I150"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69" i="2"/>
  <c r="K268" i="2"/>
  <c r="K260" i="2"/>
  <c r="K254" i="2"/>
  <c r="K248" i="2"/>
  <c r="K250" i="2" s="1"/>
  <c r="K237" i="2"/>
  <c r="K242" i="2" s="1"/>
  <c r="K225" i="2"/>
  <c r="K230" i="2" s="1"/>
  <c r="K221" i="2"/>
  <c r="K206" i="2"/>
  <c r="K197" i="2"/>
  <c r="K185" i="2"/>
  <c r="K187" i="2" s="1"/>
  <c r="K167" i="2"/>
  <c r="K159" i="2"/>
  <c r="K152" i="2"/>
  <c r="K147" i="2"/>
  <c r="K215" i="2" s="1"/>
  <c r="K253" i="2" s="1"/>
  <c r="K259" i="2" s="1"/>
  <c r="K267" i="2" s="1"/>
  <c r="K122" i="2"/>
  <c r="K53" i="4" s="1"/>
  <c r="K101" i="2"/>
  <c r="K47" i="4" s="1"/>
  <c r="K60" i="2"/>
  <c r="K10" i="3" s="1"/>
  <c r="K42" i="2"/>
  <c r="K4" i="3" s="1"/>
  <c r="K12" i="2"/>
  <c r="K85" i="2" s="1"/>
  <c r="K46" i="4" s="1"/>
  <c r="K9" i="2"/>
  <c r="K8" i="2"/>
  <c r="K7" i="2"/>
  <c r="K6" i="2"/>
  <c r="J269" i="2"/>
  <c r="J268" i="2"/>
  <c r="J260" i="2"/>
  <c r="J254" i="2"/>
  <c r="J248" i="2"/>
  <c r="J250" i="2" s="1"/>
  <c r="J237" i="2"/>
  <c r="J242" i="2" s="1"/>
  <c r="J225" i="2"/>
  <c r="J230" i="2" s="1"/>
  <c r="J221" i="2"/>
  <c r="J206" i="2"/>
  <c r="J197" i="2"/>
  <c r="J185" i="2"/>
  <c r="J187" i="2" s="1"/>
  <c r="J167" i="2"/>
  <c r="J159" i="2"/>
  <c r="J152" i="2"/>
  <c r="J147" i="2"/>
  <c r="J215" i="2" s="1"/>
  <c r="J253" i="2" s="1"/>
  <c r="J259" i="2" s="1"/>
  <c r="J267" i="2" s="1"/>
  <c r="J122" i="2"/>
  <c r="J53" i="4" s="1"/>
  <c r="J101" i="2"/>
  <c r="J47" i="4" s="1"/>
  <c r="J60" i="2"/>
  <c r="J10" i="3" s="1"/>
  <c r="J42" i="2"/>
  <c r="J4" i="3" s="1"/>
  <c r="J12" i="2"/>
  <c r="J85" i="2" s="1"/>
  <c r="J46" i="4" s="1"/>
  <c r="J9" i="2"/>
  <c r="J8" i="2"/>
  <c r="J7" i="2"/>
  <c r="J6" i="2"/>
  <c r="H22" i="2"/>
  <c r="H18" i="2"/>
  <c r="F91" i="2"/>
  <c r="H91" i="2"/>
  <c r="H95" i="2"/>
  <c r="C138" i="2"/>
  <c r="C137" i="2"/>
  <c r="C136" i="2"/>
  <c r="C135" i="2"/>
  <c r="D138" i="2"/>
  <c r="D137" i="2"/>
  <c r="D136" i="2"/>
  <c r="D135" i="2"/>
  <c r="H138" i="2"/>
  <c r="H137" i="2"/>
  <c r="H136" i="2"/>
  <c r="H135" i="2"/>
  <c r="H132" i="2"/>
  <c r="H131" i="2"/>
  <c r="H130" i="2"/>
  <c r="H129" i="2"/>
  <c r="E126" i="2"/>
  <c r="F138" i="2" s="1"/>
  <c r="E125" i="2"/>
  <c r="F137" i="2" s="1"/>
  <c r="E124" i="2"/>
  <c r="F136" i="2" s="1"/>
  <c r="E123" i="2"/>
  <c r="F135" i="2" s="1"/>
  <c r="C120" i="2"/>
  <c r="C118" i="2"/>
  <c r="C117" i="2"/>
  <c r="C116" i="2"/>
  <c r="D120" i="2"/>
  <c r="D118" i="2"/>
  <c r="D117" i="2"/>
  <c r="D116" i="2"/>
  <c r="H120" i="2"/>
  <c r="H118" i="2"/>
  <c r="H117" i="2"/>
  <c r="H116" i="2"/>
  <c r="H113" i="2"/>
  <c r="H111" i="2"/>
  <c r="H110" i="2"/>
  <c r="H109" i="2"/>
  <c r="E106" i="2"/>
  <c r="F120" i="2" s="1"/>
  <c r="E104" i="2"/>
  <c r="F118" i="2" s="1"/>
  <c r="E103" i="2"/>
  <c r="F117" i="2" s="1"/>
  <c r="E102" i="2"/>
  <c r="E48" i="4" s="1"/>
  <c r="H70" i="2"/>
  <c r="H69" i="2"/>
  <c r="H68" i="2"/>
  <c r="H67" i="2"/>
  <c r="C76" i="2"/>
  <c r="C75" i="2"/>
  <c r="C74" i="2"/>
  <c r="C73" i="2"/>
  <c r="D76" i="2"/>
  <c r="D75" i="2"/>
  <c r="D74" i="2"/>
  <c r="D73" i="2"/>
  <c r="H76" i="2"/>
  <c r="H75" i="2"/>
  <c r="H74" i="2"/>
  <c r="H73" i="2"/>
  <c r="E64" i="2"/>
  <c r="E63" i="2"/>
  <c r="F75" i="2" s="1"/>
  <c r="E62" i="2"/>
  <c r="F74" i="2" s="1"/>
  <c r="E61" i="2"/>
  <c r="E46" i="2"/>
  <c r="F58" i="2" s="1"/>
  <c r="E45" i="2"/>
  <c r="E57" i="2" s="1"/>
  <c r="E44" i="2"/>
  <c r="E6" i="3" s="1"/>
  <c r="E43" i="2"/>
  <c r="E55" i="2" s="1"/>
  <c r="D58" i="2"/>
  <c r="D57" i="2"/>
  <c r="D56" i="2"/>
  <c r="D55" i="2"/>
  <c r="C58" i="2"/>
  <c r="C57" i="2"/>
  <c r="C56" i="2"/>
  <c r="C55" i="2"/>
  <c r="H58" i="2"/>
  <c r="H57" i="2"/>
  <c r="H56" i="2"/>
  <c r="H55" i="2"/>
  <c r="H52" i="2"/>
  <c r="H51" i="2"/>
  <c r="H50" i="2"/>
  <c r="H49" i="2"/>
  <c r="H192" i="2"/>
  <c r="I192" i="2" s="1"/>
  <c r="H191" i="2"/>
  <c r="I191" i="2" s="1"/>
  <c r="O148" i="2"/>
  <c r="N148" i="2"/>
  <c r="D149" i="2"/>
  <c r="C149" i="2"/>
  <c r="E165" i="2"/>
  <c r="E163" i="2"/>
  <c r="E161" i="2"/>
  <c r="E158" i="2"/>
  <c r="E157" i="2"/>
  <c r="E156" i="2"/>
  <c r="E155" i="2"/>
  <c r="E167" i="2" s="1"/>
  <c r="E154" i="2"/>
  <c r="E153" i="2"/>
  <c r="E151" i="2"/>
  <c r="E150" i="2"/>
  <c r="E149" i="2" s="1"/>
  <c r="H148" i="2"/>
  <c r="G132" i="2"/>
  <c r="G131" i="2"/>
  <c r="G130" i="2"/>
  <c r="G129" i="2"/>
  <c r="G113" i="2"/>
  <c r="G111" i="2"/>
  <c r="G110" i="2"/>
  <c r="G109" i="2"/>
  <c r="G120" i="2"/>
  <c r="G118" i="2"/>
  <c r="G117" i="2"/>
  <c r="G116" i="2"/>
  <c r="G138" i="2"/>
  <c r="G137" i="2"/>
  <c r="G136" i="2"/>
  <c r="G135" i="2"/>
  <c r="G70" i="2"/>
  <c r="G69" i="2"/>
  <c r="G68" i="2"/>
  <c r="G67" i="2"/>
  <c r="G52" i="2"/>
  <c r="G51" i="2"/>
  <c r="G50" i="2"/>
  <c r="G49" i="2"/>
  <c r="G76" i="2"/>
  <c r="G75" i="2"/>
  <c r="G74" i="2"/>
  <c r="G73" i="2"/>
  <c r="G58" i="2"/>
  <c r="G57" i="2"/>
  <c r="G56" i="2"/>
  <c r="G55" i="2"/>
  <c r="C210" i="2"/>
  <c r="D210" i="2" s="1"/>
  <c r="E210" i="2" s="1"/>
  <c r="C205" i="2"/>
  <c r="D205" i="2" s="1"/>
  <c r="E205" i="2" s="1"/>
  <c r="C204" i="2"/>
  <c r="D204" i="2" s="1"/>
  <c r="E204" i="2" s="1"/>
  <c r="C203" i="2"/>
  <c r="D203" i="2" s="1"/>
  <c r="E203" i="2" s="1"/>
  <c r="C202" i="2"/>
  <c r="D202" i="2" s="1"/>
  <c r="E202" i="2" s="1"/>
  <c r="C201" i="2"/>
  <c r="D201" i="2" s="1"/>
  <c r="E201" i="2" s="1"/>
  <c r="C200" i="2"/>
  <c r="D200" i="2" s="1"/>
  <c r="E200" i="2" s="1"/>
  <c r="C199" i="2"/>
  <c r="D199" i="2" s="1"/>
  <c r="E199" i="2" s="1"/>
  <c r="C194" i="2"/>
  <c r="D194" i="2" s="1"/>
  <c r="E194" i="2" s="1"/>
  <c r="C196" i="2"/>
  <c r="D196" i="2" s="1"/>
  <c r="E196" i="2" s="1"/>
  <c r="C195" i="2"/>
  <c r="D195" i="2" s="1"/>
  <c r="E195" i="2" s="1"/>
  <c r="C193" i="2"/>
  <c r="D193" i="2" s="1"/>
  <c r="E193" i="2" s="1"/>
  <c r="C192" i="2"/>
  <c r="D192" i="2" s="1"/>
  <c r="E192" i="2" s="1"/>
  <c r="C191" i="2"/>
  <c r="D191" i="2" s="1"/>
  <c r="E191" i="2" s="1"/>
  <c r="C190" i="2"/>
  <c r="D190" i="2" s="1"/>
  <c r="E190" i="2" s="1"/>
  <c r="C189" i="2"/>
  <c r="D189" i="2" s="1"/>
  <c r="E189" i="2" s="1"/>
  <c r="C186" i="2"/>
  <c r="D186" i="2" s="1"/>
  <c r="E186" i="2" s="1"/>
  <c r="C183" i="2"/>
  <c r="D183" i="2" s="1"/>
  <c r="E183" i="2" s="1"/>
  <c r="C182" i="2"/>
  <c r="D182" i="2" s="1"/>
  <c r="E182" i="2" s="1"/>
  <c r="C181" i="2"/>
  <c r="D181" i="2" s="1"/>
  <c r="E181" i="2" s="1"/>
  <c r="C180" i="2"/>
  <c r="D180" i="2" s="1"/>
  <c r="E180" i="2" s="1"/>
  <c r="C179" i="2"/>
  <c r="D179" i="2" s="1"/>
  <c r="E179" i="2" s="1"/>
  <c r="C178" i="2"/>
  <c r="D178" i="2" s="1"/>
  <c r="E178" i="2" s="1"/>
  <c r="C177" i="2"/>
  <c r="D177" i="2" s="1"/>
  <c r="E177" i="2" s="1"/>
  <c r="C176" i="2"/>
  <c r="D176" i="2" s="1"/>
  <c r="E176" i="2" s="1"/>
  <c r="C175" i="2"/>
  <c r="D175" i="2" s="1"/>
  <c r="E175" i="2" s="1"/>
  <c r="G210" i="2"/>
  <c r="I210" i="2" s="1"/>
  <c r="G205" i="2"/>
  <c r="H205" i="2" s="1"/>
  <c r="G204" i="2"/>
  <c r="H204" i="2" s="1"/>
  <c r="G203" i="2"/>
  <c r="H203" i="2" s="1"/>
  <c r="G202" i="2"/>
  <c r="H202" i="2" s="1"/>
  <c r="G201" i="2"/>
  <c r="G200" i="2"/>
  <c r="G199" i="2"/>
  <c r="H199" i="2" s="1"/>
  <c r="G196" i="2"/>
  <c r="H196" i="2" s="1"/>
  <c r="G195" i="2"/>
  <c r="H195" i="2" s="1"/>
  <c r="G194" i="2"/>
  <c r="H194" i="2" s="1"/>
  <c r="G193" i="2"/>
  <c r="H193" i="2" s="1"/>
  <c r="G190" i="2"/>
  <c r="H190" i="2" s="1"/>
  <c r="G189" i="2"/>
  <c r="H189" i="2" s="1"/>
  <c r="G186" i="2"/>
  <c r="H186" i="2" s="1"/>
  <c r="G183" i="2"/>
  <c r="H183" i="2" s="1"/>
  <c r="G182" i="2"/>
  <c r="H182" i="2" s="1"/>
  <c r="G181" i="2"/>
  <c r="H181" i="2" s="1"/>
  <c r="G180" i="2"/>
  <c r="G179" i="2"/>
  <c r="G178" i="2"/>
  <c r="H178" i="2" s="1"/>
  <c r="G177" i="2"/>
  <c r="H177" i="2" s="1"/>
  <c r="G176" i="2"/>
  <c r="H176" i="2" s="1"/>
  <c r="G175" i="2"/>
  <c r="H175" i="2" s="1"/>
  <c r="G148" i="2"/>
  <c r="F148" i="2"/>
  <c r="F132" i="2"/>
  <c r="F131" i="2"/>
  <c r="F130" i="2"/>
  <c r="F129" i="2"/>
  <c r="F70" i="2"/>
  <c r="F69" i="2"/>
  <c r="F68" i="2"/>
  <c r="F67" i="2"/>
  <c r="F113" i="2"/>
  <c r="F111" i="2"/>
  <c r="F110" i="2"/>
  <c r="F109" i="2"/>
  <c r="F18" i="2"/>
  <c r="F52" i="2"/>
  <c r="F51" i="2"/>
  <c r="F50" i="2"/>
  <c r="F49" i="2"/>
  <c r="H9" i="2"/>
  <c r="G9" i="2"/>
  <c r="F9" i="2"/>
  <c r="D9" i="2"/>
  <c r="C9" i="2"/>
  <c r="B9" i="2"/>
  <c r="H8" i="2"/>
  <c r="G8" i="2"/>
  <c r="F8" i="2"/>
  <c r="D8" i="2"/>
  <c r="C8" i="2"/>
  <c r="B8" i="2"/>
  <c r="I7" i="2"/>
  <c r="H7" i="2"/>
  <c r="G7" i="2"/>
  <c r="F7" i="2"/>
  <c r="D7" i="2"/>
  <c r="C7" i="2"/>
  <c r="B7" i="2"/>
  <c r="H6" i="2"/>
  <c r="G6" i="2"/>
  <c r="F6" i="2"/>
  <c r="D6" i="2"/>
  <c r="C6" i="2"/>
  <c r="B6" i="2"/>
  <c r="B184" i="2"/>
  <c r="B185" i="2" s="1"/>
  <c r="B187" i="2" s="1"/>
  <c r="F184" i="2"/>
  <c r="F185" i="2" s="1"/>
  <c r="F187" i="2" s="1"/>
  <c r="B269" i="2"/>
  <c r="B268" i="2"/>
  <c r="B260" i="2"/>
  <c r="B254" i="2"/>
  <c r="B248" i="2"/>
  <c r="B250" i="2" s="1"/>
  <c r="B237" i="2"/>
  <c r="B242" i="2" s="1"/>
  <c r="B225" i="2"/>
  <c r="B230" i="2" s="1"/>
  <c r="B221" i="2"/>
  <c r="B206" i="2"/>
  <c r="B197" i="2"/>
  <c r="B167" i="2"/>
  <c r="B159" i="2"/>
  <c r="B152" i="2"/>
  <c r="B147" i="2"/>
  <c r="B215" i="2" s="1"/>
  <c r="B253" i="2" s="1"/>
  <c r="B259" i="2" s="1"/>
  <c r="B267" i="2" s="1"/>
  <c r="B122" i="2"/>
  <c r="B53" i="4" s="1"/>
  <c r="B101" i="2"/>
  <c r="B47" i="4" s="1"/>
  <c r="B60" i="2"/>
  <c r="B10" i="3" s="1"/>
  <c r="B42" i="2"/>
  <c r="B4" i="3" s="1"/>
  <c r="B12" i="2"/>
  <c r="B85" i="2" s="1"/>
  <c r="B46" i="4" s="1"/>
  <c r="C269" i="2"/>
  <c r="C268" i="2"/>
  <c r="C260" i="2"/>
  <c r="C254" i="2"/>
  <c r="C248" i="2"/>
  <c r="C250" i="2" s="1"/>
  <c r="C237" i="2"/>
  <c r="C242" i="2" s="1"/>
  <c r="C225" i="2"/>
  <c r="C230" i="2" s="1"/>
  <c r="C221" i="2"/>
  <c r="C167" i="2"/>
  <c r="C159" i="2"/>
  <c r="C152" i="2"/>
  <c r="C147" i="2"/>
  <c r="C215" i="2" s="1"/>
  <c r="C253" i="2" s="1"/>
  <c r="C259" i="2" s="1"/>
  <c r="C267" i="2" s="1"/>
  <c r="C122" i="2"/>
  <c r="C53" i="4" s="1"/>
  <c r="C101" i="2"/>
  <c r="C60" i="2"/>
  <c r="C42" i="2"/>
  <c r="C4" i="3" s="1"/>
  <c r="C12" i="2"/>
  <c r="C85" i="2" s="1"/>
  <c r="C46" i="4" s="1"/>
  <c r="D269" i="2"/>
  <c r="D268" i="2"/>
  <c r="D260" i="2"/>
  <c r="D254" i="2"/>
  <c r="D248" i="2"/>
  <c r="D250" i="2" s="1"/>
  <c r="D237" i="2"/>
  <c r="D242" i="2" s="1"/>
  <c r="D225" i="2"/>
  <c r="D230" i="2" s="1"/>
  <c r="D221" i="2"/>
  <c r="D167" i="2"/>
  <c r="D159" i="2"/>
  <c r="D152" i="2"/>
  <c r="D147" i="2"/>
  <c r="D215" i="2" s="1"/>
  <c r="D253" i="2" s="1"/>
  <c r="D259" i="2" s="1"/>
  <c r="D267" i="2" s="1"/>
  <c r="D122" i="2"/>
  <c r="D101" i="2"/>
  <c r="D60" i="2"/>
  <c r="D42" i="2"/>
  <c r="D4" i="3" s="1"/>
  <c r="D12" i="2"/>
  <c r="D85" i="2" s="1"/>
  <c r="D46" i="4" s="1"/>
  <c r="E269" i="2"/>
  <c r="E268" i="2"/>
  <c r="E260" i="2"/>
  <c r="E254" i="2"/>
  <c r="E248" i="2"/>
  <c r="E250" i="2" s="1"/>
  <c r="E237" i="2"/>
  <c r="E242" i="2" s="1"/>
  <c r="E225" i="2"/>
  <c r="E230" i="2" s="1"/>
  <c r="E221" i="2"/>
  <c r="E147" i="2"/>
  <c r="E215" i="2" s="1"/>
  <c r="E253" i="2" s="1"/>
  <c r="E259" i="2" s="1"/>
  <c r="E267" i="2" s="1"/>
  <c r="E12" i="2"/>
  <c r="E85" i="2" s="1"/>
  <c r="E46" i="4" s="1"/>
  <c r="F269" i="2"/>
  <c r="F268" i="2"/>
  <c r="F260" i="2"/>
  <c r="F254" i="2"/>
  <c r="F248" i="2"/>
  <c r="F250" i="2" s="1"/>
  <c r="F237" i="2"/>
  <c r="F242" i="2" s="1"/>
  <c r="F225" i="2"/>
  <c r="F230" i="2" s="1"/>
  <c r="F221" i="2"/>
  <c r="F206" i="2"/>
  <c r="F197" i="2"/>
  <c r="F167" i="2"/>
  <c r="F159" i="2"/>
  <c r="F152" i="2"/>
  <c r="F147" i="2"/>
  <c r="F215" i="2" s="1"/>
  <c r="F253" i="2" s="1"/>
  <c r="F259" i="2" s="1"/>
  <c r="F267" i="2" s="1"/>
  <c r="F122" i="2"/>
  <c r="F53" i="4" s="1"/>
  <c r="F101" i="2"/>
  <c r="F47" i="4" s="1"/>
  <c r="F60" i="2"/>
  <c r="F10" i="3" s="1"/>
  <c r="F42" i="2"/>
  <c r="F4" i="3" s="1"/>
  <c r="F12" i="2"/>
  <c r="F85" i="2" s="1"/>
  <c r="F46" i="4" s="1"/>
  <c r="G269" i="2"/>
  <c r="G268" i="2"/>
  <c r="G260" i="2"/>
  <c r="G254" i="2"/>
  <c r="G248" i="2"/>
  <c r="G250" i="2" s="1"/>
  <c r="G237" i="2"/>
  <c r="G242" i="2" s="1"/>
  <c r="G225" i="2"/>
  <c r="G230" i="2" s="1"/>
  <c r="G221" i="2"/>
  <c r="G167" i="2"/>
  <c r="G159" i="2"/>
  <c r="G152" i="2"/>
  <c r="G149" i="2"/>
  <c r="G147" i="2"/>
  <c r="G215" i="2" s="1"/>
  <c r="G253" i="2" s="1"/>
  <c r="G259" i="2" s="1"/>
  <c r="G267" i="2" s="1"/>
  <c r="G122" i="2"/>
  <c r="G101" i="2"/>
  <c r="G60" i="2"/>
  <c r="G10" i="3" s="1"/>
  <c r="G42" i="2"/>
  <c r="G4" i="3" s="1"/>
  <c r="G12" i="2"/>
  <c r="G85" i="2" s="1"/>
  <c r="G46" i="4" s="1"/>
  <c r="H269" i="2"/>
  <c r="H268" i="2"/>
  <c r="H260" i="2"/>
  <c r="H254" i="2"/>
  <c r="H248" i="2"/>
  <c r="H250" i="2" s="1"/>
  <c r="H237" i="2"/>
  <c r="H242" i="2" s="1"/>
  <c r="H225" i="2"/>
  <c r="H230" i="2" s="1"/>
  <c r="H221" i="2"/>
  <c r="H167" i="2"/>
  <c r="H159" i="2"/>
  <c r="H152" i="2"/>
  <c r="H147" i="2"/>
  <c r="H215" i="2" s="1"/>
  <c r="H253" i="2" s="1"/>
  <c r="H259" i="2" s="1"/>
  <c r="H267" i="2" s="1"/>
  <c r="H122" i="2"/>
  <c r="H53" i="4" s="1"/>
  <c r="H101" i="2"/>
  <c r="H60" i="2"/>
  <c r="H10" i="3" s="1"/>
  <c r="H42" i="2"/>
  <c r="H12" i="2"/>
  <c r="H85" i="2" s="1"/>
  <c r="H46" i="4" s="1"/>
  <c r="I269" i="2"/>
  <c r="I268" i="2"/>
  <c r="I260" i="2"/>
  <c r="I248" i="2"/>
  <c r="I250" i="2" s="1"/>
  <c r="I237" i="2"/>
  <c r="I242" i="2" s="1"/>
  <c r="I225" i="2"/>
  <c r="I230" i="2" s="1"/>
  <c r="I221" i="2"/>
  <c r="I147" i="2"/>
  <c r="I215" i="2" s="1"/>
  <c r="I253" i="2" s="1"/>
  <c r="I259" i="2" s="1"/>
  <c r="I267" i="2" s="1"/>
  <c r="I12" i="2"/>
  <c r="I85" i="2" s="1"/>
  <c r="I46" i="4" s="1"/>
  <c r="O99" i="2"/>
  <c r="N99" i="2"/>
  <c r="O97" i="2"/>
  <c r="N97" i="2"/>
  <c r="O95" i="2"/>
  <c r="N95" i="2"/>
  <c r="O93" i="2"/>
  <c r="N93" i="2"/>
  <c r="O26" i="2"/>
  <c r="N26" i="2"/>
  <c r="O24" i="2"/>
  <c r="N24" i="2"/>
  <c r="O22" i="2"/>
  <c r="N22" i="2"/>
  <c r="O20" i="2"/>
  <c r="N20" i="2"/>
  <c r="N269" i="2"/>
  <c r="N268" i="2"/>
  <c r="P269" i="2"/>
  <c r="O269" i="2"/>
  <c r="M269" i="2"/>
  <c r="P268" i="2"/>
  <c r="O268" i="2"/>
  <c r="M268" i="2"/>
  <c r="N253" i="2"/>
  <c r="N259" i="2" s="1"/>
  <c r="N267" i="2" s="1"/>
  <c r="M253" i="2"/>
  <c r="M259" i="2" s="1"/>
  <c r="M267" i="2" s="1"/>
  <c r="P260" i="2"/>
  <c r="O260" i="2"/>
  <c r="N260" i="2"/>
  <c r="M260" i="2"/>
  <c r="P254" i="2"/>
  <c r="O254" i="2"/>
  <c r="N254" i="2"/>
  <c r="M254" i="2"/>
  <c r="O9" i="2"/>
  <c r="N9" i="2"/>
  <c r="M9" i="2"/>
  <c r="O8" i="2"/>
  <c r="N8" i="2"/>
  <c r="M8" i="2"/>
  <c r="O7" i="2"/>
  <c r="N7" i="2"/>
  <c r="M7" i="2"/>
  <c r="O6" i="2"/>
  <c r="N6" i="2"/>
  <c r="M6" i="2"/>
  <c r="P12" i="2"/>
  <c r="P85" i="2" s="1"/>
  <c r="P46" i="4" s="1"/>
  <c r="O12" i="2"/>
  <c r="O85" i="2" s="1"/>
  <c r="O46" i="4" s="1"/>
  <c r="N12" i="2"/>
  <c r="N85" i="2" s="1"/>
  <c r="N46" i="4" s="1"/>
  <c r="M12" i="2"/>
  <c r="M85" i="2" s="1"/>
  <c r="M46" i="4" s="1"/>
  <c r="P132" i="2"/>
  <c r="O132" i="2"/>
  <c r="N132" i="2"/>
  <c r="P131" i="2"/>
  <c r="O131" i="2"/>
  <c r="N131" i="2"/>
  <c r="P130" i="2"/>
  <c r="O130" i="2"/>
  <c r="N130" i="2"/>
  <c r="P129" i="2"/>
  <c r="O129" i="2"/>
  <c r="N129" i="2"/>
  <c r="P122" i="2"/>
  <c r="P53" i="4" s="1"/>
  <c r="O122" i="2"/>
  <c r="O53" i="4" s="1"/>
  <c r="N122" i="2"/>
  <c r="N53" i="4" s="1"/>
  <c r="P113" i="2"/>
  <c r="O113" i="2"/>
  <c r="N113" i="2"/>
  <c r="P111" i="2"/>
  <c r="O111" i="2"/>
  <c r="N111" i="2"/>
  <c r="P110" i="2"/>
  <c r="O110" i="2"/>
  <c r="N110" i="2"/>
  <c r="P109" i="2"/>
  <c r="O109" i="2"/>
  <c r="N109" i="2"/>
  <c r="P101" i="2"/>
  <c r="P47" i="4" s="1"/>
  <c r="O101" i="2"/>
  <c r="O47" i="4" s="1"/>
  <c r="N101" i="2"/>
  <c r="N47" i="4" s="1"/>
  <c r="M101" i="2"/>
  <c r="M47" i="4" s="1"/>
  <c r="N91" i="2"/>
  <c r="P70" i="2"/>
  <c r="O70" i="2"/>
  <c r="N70" i="2"/>
  <c r="N76" i="2" s="1"/>
  <c r="P69" i="2"/>
  <c r="O69" i="2"/>
  <c r="N69" i="2"/>
  <c r="N75" i="2" s="1"/>
  <c r="P68" i="2"/>
  <c r="O68" i="2"/>
  <c r="N68" i="2"/>
  <c r="N74" i="2" s="1"/>
  <c r="P67" i="2"/>
  <c r="O67" i="2"/>
  <c r="N67" i="2"/>
  <c r="N73" i="2" s="1"/>
  <c r="P52" i="2"/>
  <c r="P51" i="2"/>
  <c r="P50" i="2"/>
  <c r="P49" i="2"/>
  <c r="P60" i="2"/>
  <c r="P10" i="3" s="1"/>
  <c r="O60" i="2"/>
  <c r="O10" i="3" s="1"/>
  <c r="N60" i="2"/>
  <c r="N10" i="3" s="1"/>
  <c r="M60" i="2"/>
  <c r="M10" i="3" s="1"/>
  <c r="O52" i="2"/>
  <c r="O51" i="2"/>
  <c r="O50" i="2"/>
  <c r="O49" i="2"/>
  <c r="N52" i="2"/>
  <c r="N51" i="2"/>
  <c r="N50" i="2"/>
  <c r="N49" i="2"/>
  <c r="P42" i="2"/>
  <c r="P4" i="3" s="1"/>
  <c r="O42" i="2"/>
  <c r="O4" i="3" s="1"/>
  <c r="N42" i="2"/>
  <c r="N4" i="3" s="1"/>
  <c r="M42" i="2"/>
  <c r="M4" i="3" s="1"/>
  <c r="I148" i="2" l="1"/>
  <c r="I49" i="4"/>
  <c r="P18" i="2"/>
  <c r="P91" i="2"/>
  <c r="I12" i="3"/>
  <c r="I54" i="4"/>
  <c r="G134" i="2"/>
  <c r="I51" i="4"/>
  <c r="O18" i="2"/>
  <c r="J160" i="2"/>
  <c r="J162" i="2" s="1"/>
  <c r="J164" i="2" s="1"/>
  <c r="J166" i="2" s="1"/>
  <c r="J168" i="2" s="1"/>
  <c r="J174" i="2" s="1"/>
  <c r="J231" i="2"/>
  <c r="J243" i="2" s="1"/>
  <c r="H115" i="2"/>
  <c r="I101" i="2"/>
  <c r="I47" i="4" s="1"/>
  <c r="I110" i="2"/>
  <c r="I9" i="2"/>
  <c r="I14" i="3"/>
  <c r="I50" i="4"/>
  <c r="I57" i="4"/>
  <c r="I129" i="2"/>
  <c r="P5" i="2"/>
  <c r="P74" i="2"/>
  <c r="C72" i="2"/>
  <c r="E6" i="2"/>
  <c r="E117" i="2"/>
  <c r="I254" i="2"/>
  <c r="I137" i="2"/>
  <c r="I136" i="2"/>
  <c r="I122" i="2"/>
  <c r="I53" i="4" s="1"/>
  <c r="I111" i="2"/>
  <c r="I130" i="2"/>
  <c r="I113" i="2"/>
  <c r="I131" i="2"/>
  <c r="I132" i="2"/>
  <c r="I8" i="2"/>
  <c r="K231" i="2"/>
  <c r="K243" i="2" s="1"/>
  <c r="I116" i="2"/>
  <c r="I60" i="2"/>
  <c r="I10" i="3" s="1"/>
  <c r="F116" i="2"/>
  <c r="I13" i="3"/>
  <c r="I109" i="2"/>
  <c r="H54" i="2"/>
  <c r="E8" i="3"/>
  <c r="I42" i="2"/>
  <c r="I4" i="3" s="1"/>
  <c r="E56" i="4"/>
  <c r="G3" i="3"/>
  <c r="I5" i="3"/>
  <c r="I177" i="2"/>
  <c r="I186" i="2"/>
  <c r="I196" i="2"/>
  <c r="I50" i="2"/>
  <c r="G115" i="2"/>
  <c r="D134" i="2"/>
  <c r="C115" i="2"/>
  <c r="E11" i="3"/>
  <c r="I152" i="2"/>
  <c r="I183" i="2"/>
  <c r="I57" i="2"/>
  <c r="C134" i="2"/>
  <c r="E54" i="4"/>
  <c r="I3" i="3"/>
  <c r="I67" i="2"/>
  <c r="H4" i="3"/>
  <c r="F55" i="2"/>
  <c r="O3" i="3"/>
  <c r="I159" i="2"/>
  <c r="I68" i="2"/>
  <c r="I199" i="2"/>
  <c r="D72" i="2"/>
  <c r="E56" i="2"/>
  <c r="G47" i="4"/>
  <c r="I175" i="2"/>
  <c r="I70" i="2"/>
  <c r="I194" i="2"/>
  <c r="I204" i="2"/>
  <c r="H128" i="2"/>
  <c r="D115" i="2"/>
  <c r="E9" i="2"/>
  <c r="J251" i="2"/>
  <c r="K160" i="2"/>
  <c r="K162" i="2" s="1"/>
  <c r="K164" i="2" s="1"/>
  <c r="K166" i="2" s="1"/>
  <c r="K168" i="2" s="1"/>
  <c r="K174" i="2" s="1"/>
  <c r="H3" i="3"/>
  <c r="P3" i="3"/>
  <c r="C10" i="3"/>
  <c r="G53" i="4"/>
  <c r="I176" i="2"/>
  <c r="I195" i="2"/>
  <c r="I205" i="2"/>
  <c r="I49" i="2"/>
  <c r="I58" i="2"/>
  <c r="I69" i="2"/>
  <c r="E75" i="2"/>
  <c r="E7" i="3"/>
  <c r="D10" i="3"/>
  <c r="E57" i="4"/>
  <c r="E55" i="4"/>
  <c r="I6" i="2"/>
  <c r="G128" i="2"/>
  <c r="H200" i="2"/>
  <c r="I200" i="2" s="1"/>
  <c r="F56" i="2"/>
  <c r="E116" i="2"/>
  <c r="B3" i="3"/>
  <c r="J3" i="3"/>
  <c r="H47" i="4"/>
  <c r="E51" i="4"/>
  <c r="I178" i="2"/>
  <c r="I189" i="2"/>
  <c r="I51" i="2"/>
  <c r="E122" i="2"/>
  <c r="H179" i="2"/>
  <c r="I179" i="2" s="1"/>
  <c r="H201" i="2"/>
  <c r="I201" i="2" s="1"/>
  <c r="F57" i="2"/>
  <c r="E136" i="2"/>
  <c r="J5" i="2"/>
  <c r="C3" i="3"/>
  <c r="K3" i="3"/>
  <c r="I11" i="3"/>
  <c r="E50" i="4"/>
  <c r="D53" i="4"/>
  <c r="I190" i="2"/>
  <c r="I52" i="2"/>
  <c r="I73" i="2"/>
  <c r="H180" i="2"/>
  <c r="I180" i="2" s="1"/>
  <c r="C54" i="2"/>
  <c r="E118" i="2"/>
  <c r="E137" i="2"/>
  <c r="K208" i="2"/>
  <c r="K211" i="2" s="1"/>
  <c r="K213" i="2" s="1"/>
  <c r="D3" i="3"/>
  <c r="E5" i="3"/>
  <c r="E14" i="3"/>
  <c r="E49" i="4"/>
  <c r="E8" i="2"/>
  <c r="F76" i="2"/>
  <c r="E120" i="2"/>
  <c r="K5" i="2"/>
  <c r="E3" i="3"/>
  <c r="M3" i="3"/>
  <c r="E13" i="3"/>
  <c r="C47" i="4"/>
  <c r="I181" i="2"/>
  <c r="I202" i="2"/>
  <c r="H66" i="2"/>
  <c r="G48" i="2"/>
  <c r="D54" i="2"/>
  <c r="E206" i="2"/>
  <c r="E74" i="2"/>
  <c r="F3" i="3"/>
  <c r="N3" i="3"/>
  <c r="E12" i="3"/>
  <c r="D47" i="4"/>
  <c r="I182" i="2"/>
  <c r="I193" i="2"/>
  <c r="I203" i="2"/>
  <c r="I56" i="2"/>
  <c r="K251" i="2"/>
  <c r="K173" i="2"/>
  <c r="J208" i="2"/>
  <c r="J173" i="2"/>
  <c r="E197" i="2"/>
  <c r="H48" i="2"/>
  <c r="H108" i="2"/>
  <c r="E58" i="2"/>
  <c r="E73" i="2"/>
  <c r="E135" i="2"/>
  <c r="F73" i="2"/>
  <c r="E76" i="2"/>
  <c r="E101" i="2"/>
  <c r="E47" i="4" s="1"/>
  <c r="E138" i="2"/>
  <c r="E7" i="2"/>
  <c r="E42" i="2"/>
  <c r="P76" i="2"/>
  <c r="G108" i="2"/>
  <c r="H72" i="2"/>
  <c r="H134" i="2"/>
  <c r="E60" i="2"/>
  <c r="E10" i="3" s="1"/>
  <c r="H5" i="2"/>
  <c r="H197" i="2"/>
  <c r="D206" i="2"/>
  <c r="D197" i="2"/>
  <c r="E159" i="2"/>
  <c r="E152" i="2"/>
  <c r="O73" i="2"/>
  <c r="O76" i="2"/>
  <c r="O74" i="2"/>
  <c r="G72" i="2"/>
  <c r="P75" i="2"/>
  <c r="G66" i="2"/>
  <c r="P73" i="2"/>
  <c r="O75" i="2"/>
  <c r="G5" i="2"/>
  <c r="G54" i="2"/>
  <c r="C184" i="2"/>
  <c r="G184" i="2"/>
  <c r="C206" i="2"/>
  <c r="C197" i="2"/>
  <c r="G206" i="2"/>
  <c r="G197" i="2"/>
  <c r="F66" i="2"/>
  <c r="F128" i="2"/>
  <c r="F108" i="2"/>
  <c r="F5" i="2"/>
  <c r="D160" i="2"/>
  <c r="D162" i="2" s="1"/>
  <c r="D164" i="2" s="1"/>
  <c r="D166" i="2" s="1"/>
  <c r="D168" i="2" s="1"/>
  <c r="D174" i="2" s="1"/>
  <c r="D5" i="2"/>
  <c r="F48" i="2"/>
  <c r="C5" i="2"/>
  <c r="B5" i="2"/>
  <c r="B208" i="2"/>
  <c r="B211" i="2" s="1"/>
  <c r="I231" i="2"/>
  <c r="I243" i="2" s="1"/>
  <c r="H160" i="2"/>
  <c r="H162" i="2" s="1"/>
  <c r="D251" i="2"/>
  <c r="H251" i="2"/>
  <c r="G160" i="2"/>
  <c r="G162" i="2" s="1"/>
  <c r="G164" i="2" s="1"/>
  <c r="G166" i="2" s="1"/>
  <c r="G168" i="2" s="1"/>
  <c r="G174" i="2" s="1"/>
  <c r="D231" i="2"/>
  <c r="D243" i="2" s="1"/>
  <c r="I251" i="2"/>
  <c r="G231" i="2"/>
  <c r="G243" i="2" s="1"/>
  <c r="H231" i="2"/>
  <c r="H243" i="2" s="1"/>
  <c r="G251" i="2"/>
  <c r="C160" i="2"/>
  <c r="C162" i="2" s="1"/>
  <c r="C164" i="2" s="1"/>
  <c r="C166" i="2" s="1"/>
  <c r="C168" i="2" s="1"/>
  <c r="C174" i="2" s="1"/>
  <c r="C231" i="2"/>
  <c r="C243" i="2" s="1"/>
  <c r="G173" i="2"/>
  <c r="E173" i="2"/>
  <c r="E231" i="2"/>
  <c r="E243" i="2" s="1"/>
  <c r="B251" i="2"/>
  <c r="B231" i="2"/>
  <c r="B243" i="2" s="1"/>
  <c r="F231" i="2"/>
  <c r="F243" i="2" s="1"/>
  <c r="B160" i="2"/>
  <c r="B162" i="2" s="1"/>
  <c r="B164" i="2" s="1"/>
  <c r="B166" i="2" s="1"/>
  <c r="B168" i="2" s="1"/>
  <c r="B174" i="2" s="1"/>
  <c r="F160" i="2"/>
  <c r="F162" i="2" s="1"/>
  <c r="F164" i="2" s="1"/>
  <c r="F166" i="2" s="1"/>
  <c r="F168" i="2" s="1"/>
  <c r="F174" i="2" s="1"/>
  <c r="B173" i="2"/>
  <c r="C251" i="2"/>
  <c r="C173" i="2"/>
  <c r="D173" i="2"/>
  <c r="E251" i="2"/>
  <c r="F251" i="2"/>
  <c r="F149" i="2"/>
  <c r="F208" i="2"/>
  <c r="F211" i="2" s="1"/>
  <c r="F173" i="2"/>
  <c r="H149" i="2"/>
  <c r="H173" i="2"/>
  <c r="I149" i="2"/>
  <c r="I173" i="2"/>
  <c r="N5" i="2"/>
  <c r="O5" i="2"/>
  <c r="M5" i="2"/>
  <c r="N128" i="2"/>
  <c r="P108" i="2"/>
  <c r="O128" i="2"/>
  <c r="O108" i="2"/>
  <c r="P128" i="2"/>
  <c r="N108" i="2"/>
  <c r="P66" i="2"/>
  <c r="P48" i="2"/>
  <c r="N48" i="2"/>
  <c r="O66" i="2"/>
  <c r="N66" i="2"/>
  <c r="N72" i="2" s="1"/>
  <c r="O48" i="2"/>
  <c r="P206" i="2"/>
  <c r="O206" i="2"/>
  <c r="N206" i="2"/>
  <c r="M206" i="2"/>
  <c r="N191" i="2"/>
  <c r="N197" i="2" s="1"/>
  <c r="M191" i="2"/>
  <c r="M197" i="2" s="1"/>
  <c r="P197" i="2"/>
  <c r="O197" i="2"/>
  <c r="I128" i="2" l="1"/>
  <c r="I115" i="2"/>
  <c r="I134" i="2"/>
  <c r="I5" i="2"/>
  <c r="K209" i="2"/>
  <c r="I72" i="2"/>
  <c r="I108" i="2"/>
  <c r="I160" i="2"/>
  <c r="I162" i="2" s="1"/>
  <c r="I164" i="2" s="1"/>
  <c r="I166" i="2" s="1"/>
  <c r="I168" i="2" s="1"/>
  <c r="I174" i="2" s="1"/>
  <c r="E5" i="2"/>
  <c r="I54" i="2"/>
  <c r="I197" i="2"/>
  <c r="I206" i="2"/>
  <c r="E54" i="2"/>
  <c r="E4" i="3"/>
  <c r="I48" i="2"/>
  <c r="H206" i="2"/>
  <c r="I66" i="2"/>
  <c r="E134" i="2"/>
  <c r="E53" i="4"/>
  <c r="F134" i="2"/>
  <c r="J211" i="2"/>
  <c r="J213" i="2" s="1"/>
  <c r="J209" i="2"/>
  <c r="C185" i="2"/>
  <c r="C187" i="2" s="1"/>
  <c r="C208" i="2" s="1"/>
  <c r="C211" i="2" s="1"/>
  <c r="C213" i="2" s="1"/>
  <c r="D184" i="2"/>
  <c r="D185" i="2" s="1"/>
  <c r="D187" i="2" s="1"/>
  <c r="D208" i="2" s="1"/>
  <c r="D211" i="2" s="1"/>
  <c r="H164" i="2"/>
  <c r="H166" i="2" s="1"/>
  <c r="H168" i="2" s="1"/>
  <c r="H174" i="2" s="1"/>
  <c r="F72" i="2"/>
  <c r="E72" i="2"/>
  <c r="E115" i="2"/>
  <c r="F115" i="2"/>
  <c r="G185" i="2"/>
  <c r="G187" i="2" s="1"/>
  <c r="G208" i="2" s="1"/>
  <c r="G211" i="2" s="1"/>
  <c r="G213" i="2" s="1"/>
  <c r="H184" i="2"/>
  <c r="H185" i="2" s="1"/>
  <c r="H187" i="2" s="1"/>
  <c r="F54" i="2"/>
  <c r="E160" i="2"/>
  <c r="E162" i="2" s="1"/>
  <c r="E164" i="2" s="1"/>
  <c r="E166" i="2" s="1"/>
  <c r="E168" i="2" s="1"/>
  <c r="E174" i="2" s="1"/>
  <c r="O72" i="2"/>
  <c r="P72" i="2"/>
  <c r="F209" i="2"/>
  <c r="F213" i="2" s="1"/>
  <c r="B209" i="2"/>
  <c r="B213" i="2" s="1"/>
  <c r="M184" i="2"/>
  <c r="M185" i="2" s="1"/>
  <c r="N184" i="2"/>
  <c r="N185" i="2" s="1"/>
  <c r="P185" i="2"/>
  <c r="O184" i="2"/>
  <c r="P248" i="2"/>
  <c r="P250" i="2" s="1"/>
  <c r="N248" i="2"/>
  <c r="N250" i="2" s="1"/>
  <c r="M248" i="2"/>
  <c r="M250" i="2" s="1"/>
  <c r="P237" i="2"/>
  <c r="P242" i="2" s="1"/>
  <c r="N237" i="2"/>
  <c r="N242" i="2" s="1"/>
  <c r="M237" i="2"/>
  <c r="M242" i="2" s="1"/>
  <c r="P225" i="2"/>
  <c r="P230" i="2" s="1"/>
  <c r="N225" i="2"/>
  <c r="N230" i="2" s="1"/>
  <c r="M225" i="2"/>
  <c r="M230" i="2" s="1"/>
  <c r="P221" i="2"/>
  <c r="N221" i="2"/>
  <c r="M221" i="2"/>
  <c r="O248" i="2"/>
  <c r="O250" i="2" s="1"/>
  <c r="O237" i="2"/>
  <c r="O242" i="2" s="1"/>
  <c r="O225" i="2"/>
  <c r="O230" i="2" s="1"/>
  <c r="O221" i="2"/>
  <c r="P167" i="2"/>
  <c r="O167" i="2"/>
  <c r="N167" i="2"/>
  <c r="M167" i="2"/>
  <c r="P159" i="2"/>
  <c r="O159" i="2"/>
  <c r="N159" i="2"/>
  <c r="M159" i="2"/>
  <c r="N152" i="2"/>
  <c r="M152" i="2"/>
  <c r="O152" i="2"/>
  <c r="P147" i="2"/>
  <c r="O147" i="2"/>
  <c r="O215" i="2" s="1"/>
  <c r="O253" i="2" s="1"/>
  <c r="O259" i="2" s="1"/>
  <c r="O267" i="2" s="1"/>
  <c r="N147" i="2"/>
  <c r="N173" i="2" s="1"/>
  <c r="M147" i="2"/>
  <c r="M173" i="2" s="1"/>
  <c r="N4" i="1"/>
  <c r="N7" i="1" s="1"/>
  <c r="H208" i="2" l="1"/>
  <c r="H211" i="2" s="1"/>
  <c r="I184" i="2"/>
  <c r="I185" i="2" s="1"/>
  <c r="I187" i="2" s="1"/>
  <c r="I208" i="2" s="1"/>
  <c r="P152" i="2"/>
  <c r="P160" i="2" s="1"/>
  <c r="P162" i="2" s="1"/>
  <c r="P164" i="2" s="1"/>
  <c r="P166" i="2" s="1"/>
  <c r="P148" i="2"/>
  <c r="O185" i="2"/>
  <c r="O187" i="2" s="1"/>
  <c r="O208" i="2" s="1"/>
  <c r="E184" i="2"/>
  <c r="E185" i="2" s="1"/>
  <c r="E187" i="2" s="1"/>
  <c r="E208" i="2" s="1"/>
  <c r="E211" i="2" s="1"/>
  <c r="D209" i="2"/>
  <c r="D213" i="2" s="1"/>
  <c r="G209" i="2"/>
  <c r="C209" i="2"/>
  <c r="P173" i="2"/>
  <c r="P215" i="2"/>
  <c r="P253" i="2" s="1"/>
  <c r="P259" i="2" s="1"/>
  <c r="P267" i="2" s="1"/>
  <c r="O231" i="2"/>
  <c r="O243" i="2" s="1"/>
  <c r="P231" i="2"/>
  <c r="P243" i="2" s="1"/>
  <c r="M231" i="2"/>
  <c r="M243" i="2" s="1"/>
  <c r="N231" i="2"/>
  <c r="N243" i="2" s="1"/>
  <c r="P187" i="2"/>
  <c r="P208" i="2" s="1"/>
  <c r="N187" i="2"/>
  <c r="N208" i="2" s="1"/>
  <c r="M187" i="2"/>
  <c r="M208" i="2" s="1"/>
  <c r="O173" i="2"/>
  <c r="M160" i="2"/>
  <c r="M162" i="2" s="1"/>
  <c r="M164" i="2" s="1"/>
  <c r="M166" i="2" s="1"/>
  <c r="M251" i="2"/>
  <c r="P251" i="2"/>
  <c r="N251" i="2"/>
  <c r="O251" i="2"/>
  <c r="O160" i="2"/>
  <c r="O162" i="2" s="1"/>
  <c r="O164" i="2" s="1"/>
  <c r="O166" i="2" s="1"/>
  <c r="N160" i="2"/>
  <c r="N162" i="2" s="1"/>
  <c r="N164" i="2" s="1"/>
  <c r="N166" i="2" s="1"/>
  <c r="H209" i="2" l="1"/>
  <c r="H213" i="2" s="1"/>
  <c r="P168" i="2"/>
  <c r="P174" i="2" s="1"/>
  <c r="P209" i="2" s="1"/>
  <c r="P171" i="2"/>
  <c r="E209" i="2"/>
  <c r="E213" i="2" s="1"/>
  <c r="I211" i="2"/>
  <c r="I209" i="2"/>
  <c r="N168" i="2"/>
  <c r="N174" i="2" s="1"/>
  <c r="N209" i="2" s="1"/>
  <c r="N211" i="2" s="1"/>
  <c r="N213" i="2" s="1"/>
  <c r="N171" i="2"/>
  <c r="M168" i="2"/>
  <c r="M174" i="2" s="1"/>
  <c r="M209" i="2" s="1"/>
  <c r="M211" i="2" s="1"/>
  <c r="M213" i="2" s="1"/>
  <c r="M171" i="2"/>
  <c r="O171" i="2"/>
  <c r="O168" i="2"/>
  <c r="O174" i="2" s="1"/>
  <c r="O209" i="2" s="1"/>
  <c r="O211" i="2" s="1"/>
  <c r="O213" i="2" s="1"/>
  <c r="I213" i="2" l="1"/>
  <c r="P211" i="2"/>
  <c r="P2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tc={5EBF99CB-C9CD-4BFB-9A09-F14C81E7A7FE}</author>
    <author>tc={F6EB54AE-B58A-4C2E-936C-1182E97A5D07}</author>
    <author>tc={B2D3C4F4-D5AD-4B28-9605-B17B4961278C}</author>
    <author>tc={477DB2A4-E64E-4709-928D-941B58347984}</author>
    <author>tc={F78382FD-A296-4E06-BFF9-8B78D3022670}</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P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P29" authorId="2" shapeId="0" xr:uid="{5EBF99CB-C9CD-4BFB-9A09-F14C81E7A7FE}">
      <text>
        <t xml:space="preserve">[Threaded comment]
Your version of Excel allows you to read this threaded comment; however, any edits to it will get removed if the file is opened in a newer version of Excel. Learn more: https://go.microsoft.com/fwlink/?linkid=870924
Comment:
    Sales at Corn Seed &amp; Traits were down slightly, with planted area declining in Latin and North America in particular. By contrast, business was up significantly in the Europe/Middle East/Africa region. </t>
      </text>
    </comment>
    <comment ref="P30" authorId="3" shapeId="0" xr:uid="{F6EB54AE-B58A-4C2E-936C-1182E97A5D07}">
      <text>
        <t xml:space="preserve">[Threaded comment]
Your version of Excel allows you to read this threaded comment; however, any edits to it will get removed if the file is opened in a newer version of Excel. Learn more: https://go.microsoft.com/fwlink/?linkid=870924
Comment:
    At Soybean Seed &amp; Traits, we posted a slight increase in sales that was mainly driven by higher volumes in North America due to higher planted area. </t>
      </text>
    </comment>
    <comment ref="P31" authorId="4" shapeId="0" xr:uid="{B2D3C4F4-D5AD-4B28-9605-B17B4961278C}">
      <text>
        <t xml:space="preserve">[Threaded comment]
Your version of Excel allows you to read this threaded comment; however, any edits to it will get removed if the file is opened in a newer version of Excel. Learn more: https://go.microsoft.com/fwlink/?linkid=870924
Comment:
    Sales at Cotton Seed were up, mainly thanks to volume increases in the Asia/Pacific region due to higher planted area. </t>
      </text>
    </comment>
    <comment ref="P32" authorId="5" shapeId="0" xr:uid="{477DB2A4-E64E-4709-928D-941B58347984}">
      <text>
        <t xml:space="preserve">[Threaded comment]
Your version of Excel allows you to read this threaded comment; however, any edits to it will get removed if the file is opened in a newer version of Excel. Learn more: https://go.microsoft.com/fwlink/?linkid=870924
Comment:
    Business at Vegetable Seeds developed positively due to price increases in all regions. </t>
      </text>
    </comment>
    <comment ref="I34" authorId="6" shapeId="0" xr:uid="{F78382FD-A296-4E06-BFF9-8B78D3022670}">
      <text>
        <t xml:space="preserve">[Threaded comment]
Your version of Excel allows you to read this threaded comment; however, any edits to it will get removed if the file is opened in a newer version of Excel. Learn more: https://go.microsoft.com/fwlink/?linkid=870924
Comment:
    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
      </text>
    </comment>
    <comment ref="F79" authorId="7"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79" authorId="8"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N79" authorId="9"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79" authorId="10"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79" authorId="11"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80" authorId="12"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80" authorId="13"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N80" authorId="14"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80" authorId="15"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P80" authorId="16"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81" authorId="17"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81" authorId="18"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81" authorId="19"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82" authorId="20"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82" authorId="21"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90" authorId="22"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P90" authorId="23"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41" authorId="24"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41" authorId="25"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N141" authorId="26"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141" authorId="27"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141" authorId="28"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42" authorId="29"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42" authorId="30"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N142" authorId="31"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142" authorId="32"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43" authorId="33"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43" authorId="34"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143" authorId="35"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144" authorId="36"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144" authorId="37"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P144" authorId="38"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20" authorId="39"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29" authorId="40"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<sst xmlns="http://schemas.openxmlformats.org/spreadsheetml/2006/main" count="1173" uniqueCount="607">
  <si>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</si>
  <si>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</si>
  <si>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</si>
  <si>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</si>
  <si>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</si>
  <si>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</si>
  <si>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</si>
  <si>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</si>
  <si>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</si>
  <si>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</si>
  <si>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</si>
  <si>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</si>
  <si>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</si>
  <si>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</si>
  <si>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</si>
  <si>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</si>
  <si>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</si>
  <si>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</si>
  <si>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</si>
  <si>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</si>
  <si>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</si>
  <si>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</si>
  <si>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</si>
  <si>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</si>
  <si>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</si>
  <si>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</si>
  <si>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</si>
  <si>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</si>
  <si>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</si>
  <si>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</si>
  <si>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</si>
  <si>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</si>
  <si>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</si>
  <si>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</si>
  <si>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</si>
  <si>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</si>
  <si>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</si>
  <si>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</si>
  <si>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</si>
  <si>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</si>
  <si>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</si>
  <si>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</si>
  <si>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</si>
  <si>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</si>
  <si>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</si>
  <si>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</si>
  <si>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</si>
  <si>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</si>
  <si>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</si>
  <si>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</si>
  <si>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</si>
  <si>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</si>
  <si>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</si>
  <si>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</si>
  <si>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</si>
  <si>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</si>
  <si>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</si>
  <si>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</si>
  <si>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</si>
  <si>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</si>
  <si>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</si>
  <si>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</si>
  <si>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</si>
  <si>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</si>
  <si>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</si>
  <si>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</si>
  <si>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</si>
  <si>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</si>
  <si>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</si>
  <si>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</si>
  <si>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</si>
  <si>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</si>
  <si>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</si>
  <si>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</si>
  <si>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</si>
  <si>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</si>
  <si>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</si>
  <si>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</si>
  <si>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</si>
  <si>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</si>
  <si>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</si>
  <si>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</si>
  <si>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</si>
  <si>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</si>
  <si>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</si>
  <si>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</si>
  <si>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</si>
  <si>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</si>
  <si>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</si>
  <si>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</si>
  <si>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</si>
  <si>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</si>
  <si>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</si>
  <si>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</si>
  <si>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</si>
  <si>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</si>
  <si>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</si>
  <si>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</si>
  <si>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</si>
  <si>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</si>
  <si>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</si>
  <si>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</si>
  <si>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</si>
  <si>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</si>
  <si>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</si>
  <si>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</si>
  <si>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</si>
  <si>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</si>
  <si>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</si>
  <si>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</si>
  <si>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</si>
  <si>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</si>
  <si>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</si>
  <si>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</si>
  <si>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</si>
  <si>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</si>
  <si>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</si>
  <si>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</si>
  <si>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</si>
  <si>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</si>
  <si>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</si>
  <si>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</si>
  <si>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</si>
  <si>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</si>
  <si>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</si>
  <si>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</si>
  <si>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</si>
  <si>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</si>
  <si>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</si>
  <si>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</si>
  <si>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</si>
  <si>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</si>
  <si>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</si>
  <si>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</si>
  <si>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</si>
  <si>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</si>
  <si>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</si>
  <si>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</si>
  <si>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</si>
  <si>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</si>
  <si>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</si>
  <si>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</si>
  <si>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</si>
  <si>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</si>
  <si>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</si>
  <si>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</si>
  <si>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</si>
  <si>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</si>
  <si>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</si>
  <si>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</si>
  <si>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</si>
  <si>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</si>
  <si>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</si>
  <si>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</si>
  <si>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</si>
  <si>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</si>
  <si>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</si>
  <si>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</si>
  <si>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</si>
  <si>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</si>
  <si>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</si>
  <si>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</si>
  <si>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</si>
  <si>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</si>
  <si>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</si>
  <si>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</si>
  <si>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</si>
  <si>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</si>
  <si>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</si>
  <si>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</si>
  <si>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</si>
  <si>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</si>
  <si>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</si>
  <si>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</si>
  <si>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</si>
  <si>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</si>
  <si>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</si>
  <si>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</si>
  <si>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</si>
  <si>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</si>
  <si>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</si>
  <si>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</si>
  <si>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</si>
  <si>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</si>
  <si>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</si>
  <si>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</si>
  <si>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</si>
  <si>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</si>
  <si>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</si>
  <si>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</si>
  <si>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</si>
  <si>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</si>
  <si>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</si>
  <si>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</si>
  <si>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</si>
  <si>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</si>
  <si>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</si>
  <si>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</si>
  <si>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</si>
  <si>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</si>
  <si>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</si>
  <si>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</si>
  <si>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</si>
  <si>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</si>
  <si>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</si>
  <si>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</si>
  <si>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</si>
  <si>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</si>
  <si>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</si>
  <si>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</si>
  <si>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</si>
  <si>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</si>
  <si>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</si>
  <si>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</si>
  <si>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</si>
  <si>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</si>
  <si>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</si>
  <si>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</si>
  <si>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</si>
  <si>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</si>
  <si>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</si>
  <si>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</si>
  <si>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</si>
  <si>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</si>
  <si>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</si>
  <si>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</si>
  <si>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</si>
  <si>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</si>
  <si>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</si>
  <si>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</si>
  <si>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</si>
  <si>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</si>
  <si>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</si>
  <si>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</si>
  <si>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</si>
  <si>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</si>
  <si>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</si>
  <si>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</si>
  <si>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</si>
  <si>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</si>
  <si>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</si>
  <si>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</si>
  <si>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</si>
  <si>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</si>
  <si>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</si>
  <si>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</si>
  <si>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</si>
  <si>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</si>
  <si>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</si>
  <si>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</si>
  <si>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</si>
  <si>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</si>
  <si>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</si>
  <si>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</si>
  <si>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</si>
  <si>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</si>
  <si>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</si>
  <si>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</si>
  <si>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</si>
  <si>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</si>
  <si>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</si>
  <si>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</si>
  <si>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</si>
  <si>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</si>
  <si>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</si>
  <si>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</si>
  <si>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</si>
  <si>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</si>
  <si>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</si>
  <si>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</si>
  <si>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</si>
  <si>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</si>
  <si>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</si>
  <si>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</si>
  <si>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</si>
  <si>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</si>
  <si>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</si>
  <si>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</si>
  <si>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</si>
  <si>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</si>
  <si>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</si>
  <si>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</si>
  <si>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</si>
  <si>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</si>
  <si>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</si>
  <si>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</si>
  <si>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</si>
  <si>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</si>
  <si>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</si>
  <si>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</si>
  <si>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</si>
  <si>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</si>
  <si>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</si>
  <si>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</si>
  <si>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</si>
  <si>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</si>
  <si>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</si>
  <si>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</si>
  <si>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</si>
  <si>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</si>
  <si>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</si>
  <si>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</si>
  <si>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</si>
  <si>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</si>
  <si>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</si>
  <si>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</si>
  <si>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</si>
  <si>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</si>
  <si>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</si>
  <si>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</si>
  <si>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</si>
  <si>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</si>
  <si>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</si>
  <si>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</si>
  <si>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</si>
  <si>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</si>
  <si>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</si>
  <si>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</si>
  <si>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</si>
  <si>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</si>
  <si>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</si>
  <si>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</si>
  <si>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</si>
  <si>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</si>
  <si>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</si>
  <si>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</si>
  <si>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</si>
  <si>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</si>
  <si>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</si>
  <si>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</si>
  <si>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</si>
  <si>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</si>
  <si>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</si>
  <si>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</si>
  <si>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</si>
  <si>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</si>
  <si>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</si>
  <si>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</si>
  <si>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</si>
  <si>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</si>
  <si>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</si>
  <si>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</si>
  <si>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</si>
  <si>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</si>
  <si>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</si>
  <si>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</si>
  <si>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</si>
  <si>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</si>
  <si>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</si>
  <si>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</si>
  <si>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</si>
  <si>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</si>
  <si>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</si>
  <si>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</si>
  <si>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</si>
  <si>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</si>
  <si>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</si>
  <si>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</si>
  <si>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</si>
  <si>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</si>
  <si>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</si>
  <si>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</si>
  <si>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</si>
  <si>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</si>
  <si>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</si>
  <si>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</si>
  <si>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</si>
  <si>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</si>
  <si>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</si>
  <si>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</si>
  <si>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</si>
  <si>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</si>
  <si>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</si>
  <si>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</si>
  <si>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</si>
  <si>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</si>
  <si>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</si>
  <si>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</si>
  <si>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</si>
  <si>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</si>
  <si>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</si>
  <si>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</si>
  <si>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</si>
  <si>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</si>
  <si>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</si>
  <si>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</si>
  <si>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</si>
  <si>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</si>
  <si>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</si>
  <si>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</si>
  <si>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</si>
  <si>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</si>
  <si>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</si>
  <si>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</si>
  <si>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</si>
  <si>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</si>
  <si>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</si>
  <si>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</si>
  <si>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</si>
  <si>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</si>
  <si>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</si>
  <si>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</si>
  <si>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</si>
  <si>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</si>
  <si>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</si>
  <si>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</si>
  <si>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</si>
  <si>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</si>
  <si>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</si>
  <si>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</si>
  <si>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</si>
  <si>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</si>
  <si>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</si>
  <si>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</si>
  <si>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</si>
  <si>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</si>
  <si>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</si>
  <si>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</si>
  <si>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</si>
  <si>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</si>
  <si>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</si>
  <si>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</si>
  <si>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</si>
  <si>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</si>
  <si>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</si>
  <si>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</si>
  <si>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</si>
  <si>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</si>
  <si>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</si>
  <si>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</si>
  <si>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</si>
  <si>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</si>
  <si>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</si>
  <si>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</si>
  <si>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</si>
  <si>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</si>
  <si>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</si>
  <si>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</si>
  <si>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</si>
  <si>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</si>
  <si>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</si>
  <si>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</si>
  <si>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</si>
  <si>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</si>
  <si>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</si>
  <si>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</si>
  <si>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</si>
  <si>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</si>
  <si>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</si>
  <si>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</si>
  <si>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</si>
  <si>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</si>
  <si>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</si>
  <si>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</si>
  <si>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</si>
  <si>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</si>
  <si>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</si>
  <si>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</si>
  <si>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</si>
  <si>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</si>
  <si>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</si>
  <si>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</si>
  <si>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</si>
  <si>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</si>
  <si>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</si>
  <si>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</si>
  <si>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</si>
  <si>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</si>
  <si>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</si>
  <si>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</si>
  <si>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</si>
  <si>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</si>
  <si>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</si>
  <si>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</si>
  <si>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</si>
  <si>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</si>
  <si>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</si>
  <si>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</si>
  <si>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</si>
  <si>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</si>
  <si>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</si>
  <si>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</si>
  <si>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</si>
  <si>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</si>
  <si>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</si>
  <si>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</si>
  <si>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</si>
  <si>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</si>
  <si>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</si>
  <si>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</si>
  <si>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</si>
  <si>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</si>
  <si>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</si>
  <si>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</si>
  <si>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</si>
  <si>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</si>
  <si>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</si>
  <si>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</si>
  <si>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</si>
  <si>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</si>
  <si>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</si>
  <si>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</si>
  <si>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</si>
  <si>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</si>
  <si>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</si>
  <si>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</si>
  <si>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</si>
  <si>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</si>
  <si>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</si>
  <si>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</si>
  <si>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</si>
  <si>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</si>
  <si>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</si>
  <si>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</si>
  <si>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</si>
  <si>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</si>
  <si>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</si>
  <si>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</si>
  <si>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</si>
  <si>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</si>
  <si>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</si>
  <si>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</si>
  <si>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</si>
  <si>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</si>
  <si>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</si>
  <si>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</si>
  <si>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</si>
  <si>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</si>
  <si>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</si>
  <si>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</si>
  <si>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</si>
  <si>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</si>
  <si>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</si>
  <si>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</si>
  <si>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</si>
  <si>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</si>
  <si>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</si>
  <si>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</si>
  <si>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</si>
  <si>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</si>
  <si>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</si>
  <si>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</si>
  <si>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</si>
  <si>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</si>
  <si>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</si>
  <si>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</si>
  <si>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</si>
  <si>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</si>
  <si>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</si>
  <si>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</si>
  <si>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</si>
  <si>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</si>
  <si>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</si>
  <si>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</si>
  <si>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</si>
  <si>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</si>
  <si>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</si>
  <si>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</si>
  <si>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</si>
  <si>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</si>
  <si>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</si>
  <si>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</si>
  <si>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</si>
  <si>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</si>
  <si>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</si>
  <si>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</si>
  <si>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</si>
  <si>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</si>
  <si>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</si>
  <si>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</si>
  <si>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</si>
  <si>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</si>
  <si>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</si>
  <si>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</si>
  <si>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</si>
  <si>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</si>
  <si>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</si>
  <si>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</si>
  <si>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</si>
  <si>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</si>
  <si>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</si>
  <si>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</si>
  <si>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</si>
  <si>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</si>
  <si>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</si>
  <si>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</si>
  <si>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</si>
  <si>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</si>
  <si>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</si>
  <si>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</si>
  <si>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</si>
  <si>
    <t>Corn Seed &amp; Traits</t>
  </si>
  <si>
    <t>Soybean Seed &amp; Traits</t>
  </si>
  <si>
    <t>Cotton Seed</t>
  </si>
  <si>
    <t>Vegatable Seeds</t>
  </si>
  <si>
    <t>Syngenta Seeds</t>
  </si>
  <si>
    <t>Brazil</t>
  </si>
  <si>
    <t>North America</t>
  </si>
  <si>
    <t>Europe</t>
  </si>
  <si>
    <t>AMEA</t>
  </si>
  <si>
    <t>LATAM</t>
  </si>
  <si>
    <t>+3%</t>
  </si>
  <si>
    <t>+18%</t>
  </si>
  <si>
    <t>China</t>
  </si>
  <si>
    <t>-9%</t>
  </si>
  <si>
    <t>-1%</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</si>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</sst>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5">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8">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3"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4"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xf numFmtId="3" fontId="1" fillId="4" borderId="0" xfId="0" applyNumberFormat="1" applyFont="1" applyFill="1"/>
    <xf numFmtId="0" fontId="0" fillId="4" borderId="0" xfId="0" applyFill="1"/>
    <xf numFmtId="3" fontId="0" fillId="4" borderId="0" xfId="0" applyNumberFormat="1" applyFill="1"/>
    <xf numFmtId="165" fontId="0" fillId="4" borderId="0" xfId="0" applyNumberFormat="1" applyFill="1"/>
    <xf numFmtId="1" fontId="0" fillId="4" borderId="0" xfId="0" applyNumberFormat="1" applyFill="1" applyAlignment="1">
      <alignment horizontal="right"/>
    </xf>
    <xf numFmtId="1" fontId="0" fillId="4" borderId="0" xfId="0" quotePrefix="1" applyNumberFormat="1" applyFill="1" applyAlignment="1">
      <alignment horizontal="right"/>
    </xf>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6</xdr:col>
      <xdr:colOff>366059</xdr:colOff>
      <xdr:row>38</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32</xdr:row>
      <xdr:rowOff>37353</xdr:rowOff>
    </xdr:from>
    <xdr:to>
      <xdr:col>12</xdr:col>
      <xdr:colOff>287064</xdr:colOff>
      <xdr:row>39</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26</xdr:row>
      <xdr:rowOff>1</xdr:rowOff>
    </xdr:from>
    <xdr:to>
      <xdr:col>9</xdr:col>
      <xdr:colOff>127000</xdr:colOff>
      <xdr:row>31</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12700</xdr:colOff>
      <xdr:row>0</xdr:row>
      <xdr:rowOff>58057</xdr:rowOff>
    </xdr:from>
    <xdr:to>
      <xdr:col>16</xdr:col>
      <xdr:colOff>27214</xdr:colOff>
      <xdr:row>308</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308</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P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P29" dT="2025-03-12T02:40:00.47" personId="{96B94962-3352-4CD0-9600-990C74CCBDE4}" id="{5EBF99CB-C9CD-4BFB-9A09-F14C81E7A7FE}">
    <text xml:space="preserve">Sales at Corn Seed &amp; Traits were down slightly, with planted area declining in Latin and North America in particular. By contrast, business was up significantly in the Europe/Middle East/Africa region. </text>
  </threadedComment>
  <threadedComment ref="P30" dT="2025-03-12T02:41:40.22" personId="{96B94962-3352-4CD0-9600-990C74CCBDE4}" id="{F6EB54AE-B58A-4C2E-936C-1182E97A5D07}">
    <text xml:space="preserve">At Soybean Seed &amp; Traits, we posted a slight increase in sales that was mainly driven by higher volumes in North America due to higher planted area. </text>
  </threadedComment>
  <threadedComment ref="P31" dT="2025-03-12T02:42:10.69" personId="{96B94962-3352-4CD0-9600-990C74CCBDE4}" id="{B2D3C4F4-D5AD-4B28-9605-B17B4961278C}">
    <text xml:space="preserve">Sales at Cotton Seed were up, mainly thanks to volume increases in the Asia/Pacific region due to higher planted area. </text>
  </threadedComment>
  <threadedComment ref="P32" dT="2025-03-12T02:42:19.90" personId="{96B94962-3352-4CD0-9600-990C74CCBDE4}" id="{477DB2A4-E64E-4709-928D-941B58347984}">
    <text xml:space="preserve">Business at Vegetable Seeds developed positively due to price increases in all regions. </text>
  </threadedComment>
  <threadedComment ref="I34" dT="2025-04-06T03:24:06.06" personId="{96B94962-3352-4CD0-9600-990C74CCBDE4}" id="{F78382FD-A296-4E06-BFF9-8B78D3022670}">
    <text xml:space="preserve">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ext>
  </threadedComment>
  <threadedComment ref="F79"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79" dT="2025-01-29T01:38:05.15" personId="{96B94962-3352-4CD0-9600-990C74CCBDE4}" id="{26BB3A61-A0BD-4310-8D46-07EE4DAD265D}">
    <text xml:space="preserve">The price decline was primarily related to end of season settlement in North America </text>
  </threadedComment>
  <threadedComment ref="N79"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O79"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79"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80"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80" dT="2025-01-29T01:38:18.90" personId="{96B94962-3352-4CD0-9600-990C74CCBDE4}" id="{D63AF44D-E587-4A65-A189-CA1F89FC67CD}">
    <text xml:space="preserve">Lower volumes were due primarily to reduced corn planted area in Argentina </text>
  </threadedComment>
  <threadedComment ref="N80"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O80"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P80"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81" dT="2025-01-28T03:35:32.50" personId="{96B94962-3352-4CD0-9600-990C74CCBDE4}" id="{74DCAFB6-4FF1-440B-8E4A-76A517E6F95A}">
    <text xml:space="preserve">Unfavorable currency impacts were led by the Turkish lira. </text>
  </threadedComment>
  <threadedComment ref="H81" dT="2025-01-29T01:38:29.26" personId="{96B94962-3352-4CD0-9600-990C74CCBDE4}" id="{423AEE22-8FD0-44FE-B151-1BBBF9C14249}">
    <text xml:space="preserve">Unfavorable currency impacts were led by the Brazilian Real. </text>
  </threadedComment>
  <threadedComment ref="P81" dT="2025-02-17T20:52:09.19" personId="{96B94962-3352-4CD0-9600-990C74CCBDE4}" id="{20648CF9-644B-4C50-B64F-2A3A88DA408D}">
    <text xml:space="preserve">Unfavorable currency impacts were led by the Brazilian Real and Turkish Lira. 
</text>
  </threadedComment>
  <threadedComment ref="N82" dT="2025-01-23T04:12:35.38" personId="{96B94962-3352-4CD0-9600-990C74CCBDE4}" id="{037E3C55-28FE-4865-BE0F-2C6C8F0BF827}">
    <text xml:space="preserve">The portfolio impact was driven by a divestiture in Asia Pacific. </text>
  </threadedComment>
  <threadedComment ref="O82"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90"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P90"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41"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41" dT="2025-01-29T01:39:49.99" personId="{96B94962-3352-4CD0-9600-990C74CCBDE4}" id="{F222016D-49D1-4238-82B2-9E99D5C052CB}">
    <text xml:space="preserve">The price decline was primarily due to the competitive pricing environment in Latin America. </text>
  </threadedComment>
  <threadedComment ref="N141"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O141"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141" dT="2025-02-17T21:00:49.20" personId="{96B94962-3352-4CD0-9600-990C74CCBDE4}" id="{1C26C88B-1C2F-49FA-88CB-3593CBE67FBF}">
    <text xml:space="preserve">The price decline was primarily due to market dynamics in Latin America </text>
  </threadedComment>
  <threadedComment ref="F142"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42"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N142"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O142"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43" dT="2025-01-28T03:39:35.40" personId="{96B94962-3352-4CD0-9600-990C74CCBDE4}" id="{615280BE-5DAE-43FF-B07C-40E189103624}">
    <text xml:space="preserve">Unfavorable currency impacts were primarily related to the Turkish Lira. </text>
  </threadedComment>
  <threadedComment ref="H143" dT="2025-01-29T01:40:04.89" personId="{96B94962-3352-4CD0-9600-990C74CCBDE4}" id="{9BE92F34-B13B-4E35-A3FA-13A53955E9E8}">
    <text xml:space="preserve">Unfavorable currency impacts were led by the Brazilian Real. </text>
  </threadedComment>
  <threadedComment ref="P143" dT="2025-02-17T21:01:05.08" personId="{96B94962-3352-4CD0-9600-990C74CCBDE4}" id="{3A4D19BC-C9B0-44C9-A0A6-FBFCFDEBCC75}">
    <text xml:space="preserve">Unfavorable currency impacts were led by the Brazilian Real and Turkish Lira </text>
  </threadedComment>
  <threadedComment ref="N144" dT="2025-01-23T04:12:35.38" personId="{96B94962-3352-4CD0-9600-990C74CCBDE4}" id="{103B9CD5-2717-4CDF-9CC0-F3C2E65538E8}">
    <text xml:space="preserve">The portfolio impact was driven by a divestiture in Asia Pacific. </text>
  </threadedComment>
  <threadedComment ref="O144"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P144"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20" dT="2025-02-18T00:58:43.97" personId="{96B94962-3352-4CD0-9600-990C74CCBDE4}" id="{D15013F7-4ADC-4951-A5A7-6764CD948A6F}">
    <text>65M from prepaid royalties</text>
  </threadedComment>
  <threadedComment ref="I229"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6"/>
  <sheetViews>
    <sheetView tabSelected="1" zoomScale="70" zoomScaleNormal="70" workbookViewId="0">
      <selection activeCell="N3" sqref="N3"/>
    </sheetView>
  </sheetViews>
  <sheetFormatPr defaultRowHeight="14.5"/>
  <cols>
    <col min="15" max="15" width="9.90625" bestFit="1" customWidth="1"/>
  </cols>
  <sheetData>
    <row r="2" spans="2:15">
      <c r="B2" s="5" t="s">
        <v>11</v>
      </c>
      <c r="G2" s="1" t="s">
        <v>34</v>
      </c>
      <c r="M2" t="s">
        <v>0</v>
      </c>
      <c r="N2">
        <v>62.41</v>
      </c>
      <c r="O2" s="9">
        <v>45708</v>
      </c>
    </row>
    <row r="3" spans="2:15">
      <c r="B3">
        <v>1</v>
      </c>
      <c r="C3" s="7" t="s">
        <v>13</v>
      </c>
      <c r="M3" t="s">
        <v>1</v>
      </c>
      <c r="N3" s="11">
        <v>687.29</v>
      </c>
      <c r="O3" s="9">
        <v>45695</v>
      </c>
    </row>
    <row r="4" spans="2:15">
      <c r="B4">
        <v>2</v>
      </c>
      <c r="C4" s="7" t="s">
        <v>14</v>
      </c>
      <c r="G4" s="5" t="s">
        <v>573</v>
      </c>
      <c r="M4" t="s">
        <v>2</v>
      </c>
      <c r="N4" s="10">
        <f>+N3*N2</f>
        <v>42893.768899999995</v>
      </c>
    </row>
    <row r="5" spans="2:15">
      <c r="G5" t="s">
        <v>572</v>
      </c>
      <c r="M5" t="s">
        <v>3</v>
      </c>
      <c r="N5" s="10">
        <f>+SUM(model!I216:I217)</f>
        <v>3169</v>
      </c>
    </row>
    <row r="6" spans="2:15">
      <c r="B6" s="7" t="s">
        <v>242</v>
      </c>
      <c r="G6" t="s">
        <v>570</v>
      </c>
      <c r="M6" t="s">
        <v>4</v>
      </c>
      <c r="N6" s="10">
        <f>+model!I238+model!I232</f>
        <v>2703</v>
      </c>
    </row>
    <row r="7" spans="2:15">
      <c r="G7" t="s">
        <v>571</v>
      </c>
      <c r="M7" t="s">
        <v>5</v>
      </c>
      <c r="N7" s="10">
        <f>+N4-N5+N6</f>
        <v>42427.768899999995</v>
      </c>
    </row>
    <row r="8" spans="2:15">
      <c r="B8" s="7" t="s">
        <v>231</v>
      </c>
    </row>
    <row r="9" spans="2:15">
      <c r="G9" s="1" t="s">
        <v>514</v>
      </c>
    </row>
    <row r="10" spans="2:15">
      <c r="B10" s="1" t="s">
        <v>273</v>
      </c>
      <c r="L10" s="36" t="s">
        <v>510</v>
      </c>
    </row>
    <row r="11" spans="2:15">
      <c r="L11" s="36" t="s">
        <v>517</v>
      </c>
    </row>
    <row r="12" spans="2:15">
      <c r="B12" s="5" t="s">
        <v>194</v>
      </c>
      <c r="L12" s="36" t="s">
        <v>509</v>
      </c>
    </row>
    <row r="13" spans="2:15">
      <c r="B13" t="s">
        <v>195</v>
      </c>
      <c r="L13" s="37" t="s">
        <v>511</v>
      </c>
    </row>
    <row r="14" spans="2:15">
      <c r="B14" t="s">
        <v>196</v>
      </c>
      <c r="L14" s="36" t="s">
        <v>512</v>
      </c>
    </row>
    <row r="15" spans="2:15">
      <c r="B15" t="s">
        <v>197</v>
      </c>
      <c r="L15" s="36" t="s">
        <v>508</v>
      </c>
    </row>
    <row r="16" spans="2:15">
      <c r="B16" t="s">
        <v>198</v>
      </c>
      <c r="L16" s="36" t="s">
        <v>513</v>
      </c>
    </row>
    <row r="17" spans="2:12">
      <c r="B17" t="s">
        <v>199</v>
      </c>
      <c r="L17" s="36" t="s">
        <v>515</v>
      </c>
    </row>
    <row r="18" spans="2:12">
      <c r="B18" t="s">
        <v>200</v>
      </c>
      <c r="L18" s="36" t="s">
        <v>577</v>
      </c>
    </row>
    <row r="20" spans="2:12">
      <c r="B20" s="5" t="s">
        <v>12</v>
      </c>
    </row>
    <row r="21" spans="2:12">
      <c r="B21" t="s">
        <v>10</v>
      </c>
    </row>
    <row r="26" spans="2:12">
      <c r="B26" s="5" t="s">
        <v>230</v>
      </c>
    </row>
    <row r="41" spans="2:9">
      <c r="B41" s="5" t="s">
        <v>201</v>
      </c>
    </row>
    <row r="42" spans="2:9">
      <c r="B42">
        <v>1</v>
      </c>
      <c r="C42" t="s">
        <v>202</v>
      </c>
    </row>
    <row r="43" spans="2:9">
      <c r="B43">
        <v>2</v>
      </c>
      <c r="C43" t="s">
        <v>203</v>
      </c>
    </row>
    <row r="44" spans="2:9" ht="14.5" customHeight="1">
      <c r="B44">
        <v>3</v>
      </c>
      <c r="C44" s="8" t="s">
        <v>204</v>
      </c>
      <c r="D44" s="8"/>
      <c r="E44" s="8"/>
      <c r="F44" s="8"/>
      <c r="G44" s="8"/>
      <c r="H44" s="8"/>
      <c r="I44" s="8"/>
    </row>
    <row r="45" spans="2:9">
      <c r="C45" s="8"/>
      <c r="D45" s="8" t="s">
        <v>205</v>
      </c>
      <c r="E45" s="8"/>
      <c r="F45" s="8"/>
      <c r="G45" s="8"/>
      <c r="H45" s="8"/>
      <c r="I45" s="8"/>
    </row>
    <row r="46" spans="2:9">
      <c r="B46">
        <v>4</v>
      </c>
      <c r="C46" t="s">
        <v>206</v>
      </c>
      <c r="D46" s="8"/>
      <c r="E46" s="8"/>
      <c r="F46" s="8"/>
      <c r="G46" s="8"/>
      <c r="H46" s="8"/>
      <c r="I46" s="8"/>
    </row>
    <row r="47" spans="2:9">
      <c r="B47">
        <v>5</v>
      </c>
      <c r="C47" t="s">
        <v>207</v>
      </c>
      <c r="D47" s="8"/>
      <c r="E47" s="8"/>
      <c r="F47" s="8"/>
      <c r="G47" s="8"/>
      <c r="H47" s="8"/>
      <c r="I47" s="8"/>
    </row>
    <row r="48" spans="2:9">
      <c r="B48">
        <v>6</v>
      </c>
      <c r="C48" t="s">
        <v>208</v>
      </c>
    </row>
    <row r="49" spans="2:4">
      <c r="B49">
        <v>7</v>
      </c>
      <c r="C49" t="s">
        <v>209</v>
      </c>
    </row>
    <row r="50" spans="2:4">
      <c r="D50" t="s">
        <v>210</v>
      </c>
    </row>
    <row r="51" spans="2:4">
      <c r="B51">
        <v>8</v>
      </c>
      <c r="C51" t="s">
        <v>211</v>
      </c>
    </row>
    <row r="52" spans="2:4">
      <c r="B52">
        <v>9</v>
      </c>
      <c r="C52" t="s">
        <v>212</v>
      </c>
    </row>
    <row r="53" spans="2:4">
      <c r="D53" t="s">
        <v>213</v>
      </c>
    </row>
    <row r="54" spans="2:4">
      <c r="B54" s="5" t="s">
        <v>214</v>
      </c>
    </row>
    <row r="55" spans="2:4">
      <c r="B55">
        <v>1</v>
      </c>
      <c r="C55" t="s">
        <v>215</v>
      </c>
    </row>
    <row r="56" spans="2:4">
      <c r="B56">
        <v>2</v>
      </c>
      <c r="C56" t="s">
        <v>216</v>
      </c>
    </row>
    <row r="57" spans="2:4">
      <c r="B57">
        <v>3</v>
      </c>
      <c r="C57" t="s">
        <v>217</v>
      </c>
    </row>
    <row r="58" spans="2:4">
      <c r="B58">
        <v>4</v>
      </c>
      <c r="C58" t="s">
        <v>218</v>
      </c>
    </row>
    <row r="59" spans="2:4">
      <c r="B59">
        <v>5</v>
      </c>
      <c r="C59" t="s">
        <v>219</v>
      </c>
    </row>
    <row r="60" spans="2:4">
      <c r="B60">
        <v>6</v>
      </c>
      <c r="C60" t="s">
        <v>220</v>
      </c>
    </row>
    <row r="61" spans="2:4">
      <c r="B61">
        <v>7</v>
      </c>
      <c r="C61" t="s">
        <v>221</v>
      </c>
    </row>
    <row r="62" spans="2:4">
      <c r="B62">
        <v>8</v>
      </c>
      <c r="C62" t="s">
        <v>222</v>
      </c>
    </row>
    <row r="63" spans="2:4">
      <c r="B63">
        <v>9</v>
      </c>
      <c r="C63" t="s">
        <v>223</v>
      </c>
    </row>
    <row r="64" spans="2:4">
      <c r="B64">
        <v>10</v>
      </c>
      <c r="C64" t="s">
        <v>224</v>
      </c>
    </row>
    <row r="65" spans="2:3">
      <c r="B65">
        <v>11</v>
      </c>
      <c r="C65" t="s">
        <v>225</v>
      </c>
    </row>
    <row r="66" spans="2:3">
      <c r="B66">
        <v>12</v>
      </c>
      <c r="C66"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7"/>
      <c r="B46" s="47" t="str">
        <f>+model!B85</f>
        <v>Q123</v>
      </c>
      <c r="C46" s="47" t="str">
        <f>+model!C85</f>
        <v>Q223</v>
      </c>
      <c r="D46" s="47" t="str">
        <f>+model!D85</f>
        <v>Q323</v>
      </c>
      <c r="E46" s="47" t="str">
        <f>+model!E85</f>
        <v>Q423</v>
      </c>
      <c r="F46" s="47" t="str">
        <f>+model!F85</f>
        <v>Q124</v>
      </c>
      <c r="G46" s="47" t="str">
        <f>+model!G85</f>
        <v>Q224</v>
      </c>
      <c r="H46" s="47" t="str">
        <f>+model!H85</f>
        <v>Q324</v>
      </c>
      <c r="I46" s="47" t="str">
        <f>+model!I85</f>
        <v>Q424</v>
      </c>
      <c r="J46" s="47" t="str">
        <f>+model!J85</f>
        <v>Q125</v>
      </c>
      <c r="K46" s="47" t="str">
        <f>+model!K85</f>
        <v>Q225</v>
      </c>
      <c r="L46" s="47" t="str">
        <f>+model!L85</f>
        <v>xxx</v>
      </c>
      <c r="M46" s="47">
        <f>+model!M85</f>
        <v>2021</v>
      </c>
      <c r="N46" s="47">
        <f>+model!N85</f>
        <v>2022</v>
      </c>
      <c r="O46" s="47">
        <f>+model!O85</f>
        <v>2023</v>
      </c>
      <c r="P46" s="47">
        <f>+model!P85</f>
        <v>2024</v>
      </c>
    </row>
    <row r="47" spans="1:16">
      <c r="A47" t="str">
        <f>+model!A101</f>
        <v>Crop protection sales by type</v>
      </c>
      <c r="B47">
        <f>+model!B101</f>
        <v>2189</v>
      </c>
      <c r="C47">
        <f>+model!C101</f>
        <v>1781</v>
      </c>
      <c r="D47">
        <f>+model!D101</f>
        <v>1712</v>
      </c>
      <c r="E47">
        <f>+model!E101</f>
        <v>2072</v>
      </c>
      <c r="F47">
        <f>+model!F101</f>
        <v>1741</v>
      </c>
      <c r="G47">
        <f>+model!G101</f>
        <v>1781</v>
      </c>
      <c r="H47">
        <f>+model!H101</f>
        <v>1635</v>
      </c>
      <c r="I47">
        <f>+model!I101</f>
        <v>2206</v>
      </c>
      <c r="J47">
        <f>+model!J101</f>
        <v>0</v>
      </c>
      <c r="K47">
        <f>+model!K101</f>
        <v>0</v>
      </c>
      <c r="L47" t="str">
        <f>+model!L101</f>
        <v>xxx</v>
      </c>
      <c r="M47">
        <f>+model!M101</f>
        <v>7253</v>
      </c>
      <c r="N47">
        <f>+model!N101</f>
        <v>8476</v>
      </c>
      <c r="O47">
        <f>+model!O101</f>
        <v>7754</v>
      </c>
      <c r="P47">
        <f>+model!P101</f>
        <v>7363</v>
      </c>
    </row>
    <row r="48" spans="1:16">
      <c r="A48" t="str">
        <f>+model!A102</f>
        <v>Herbicides sales</v>
      </c>
      <c r="B48">
        <f>+model!B102</f>
        <v>1242</v>
      </c>
      <c r="C48">
        <f>+model!C102</f>
        <v>986</v>
      </c>
      <c r="D48">
        <f>+model!D102</f>
        <v>815</v>
      </c>
      <c r="E48">
        <f>+model!E102</f>
        <v>991</v>
      </c>
      <c r="F48">
        <f>+model!F102</f>
        <v>886</v>
      </c>
      <c r="G48">
        <f>+model!G102</f>
        <v>946</v>
      </c>
      <c r="H48">
        <f>+model!H102</f>
        <v>736</v>
      </c>
      <c r="I48">
        <f>+model!I102</f>
        <v>1031</v>
      </c>
      <c r="J48">
        <f>+model!J102</f>
        <v>0</v>
      </c>
      <c r="K48">
        <f>+model!K102</f>
        <v>0</v>
      </c>
      <c r="L48" t="str">
        <f>+model!L102</f>
        <v>xxx</v>
      </c>
      <c r="M48">
        <f>+model!M102</f>
        <v>3815</v>
      </c>
      <c r="N48">
        <f>+model!N102</f>
        <v>4591</v>
      </c>
      <c r="O48">
        <f>+model!O102</f>
        <v>4034</v>
      </c>
      <c r="P48">
        <f>+model!P102</f>
        <v>3599</v>
      </c>
    </row>
    <row r="49" spans="1:16">
      <c r="A49" t="str">
        <f>+model!A103</f>
        <v>Insecticides sales</v>
      </c>
      <c r="B49">
        <f>+model!B103</f>
        <v>409</v>
      </c>
      <c r="C49">
        <f>+model!C103</f>
        <v>331</v>
      </c>
      <c r="D49">
        <f>+model!D103</f>
        <v>416</v>
      </c>
      <c r="E49">
        <f>+model!E103</f>
        <v>442</v>
      </c>
      <c r="F49">
        <f>+model!F103</f>
        <v>373</v>
      </c>
      <c r="G49">
        <f>+model!G103</f>
        <v>415</v>
      </c>
      <c r="H49">
        <f>+model!H103</f>
        <v>437</v>
      </c>
      <c r="I49">
        <f>+model!I103</f>
        <v>490</v>
      </c>
      <c r="J49">
        <f>+model!J103</f>
        <v>0</v>
      </c>
      <c r="K49">
        <f>+model!K103</f>
        <v>0</v>
      </c>
      <c r="L49" t="str">
        <f>+model!L103</f>
        <v>xxx</v>
      </c>
      <c r="M49">
        <f>+model!M103</f>
        <v>1730</v>
      </c>
      <c r="N49">
        <f>+model!N103</f>
        <v>1831</v>
      </c>
      <c r="O49">
        <f>+model!O103</f>
        <v>1598</v>
      </c>
      <c r="P49">
        <f>+model!P103</f>
        <v>1715</v>
      </c>
    </row>
    <row r="50" spans="1:16">
      <c r="A50" t="str">
        <f>+model!A104</f>
        <v>Fungicides sales</v>
      </c>
      <c r="B50">
        <f>+model!B104</f>
        <v>359</v>
      </c>
      <c r="C50">
        <f>+model!C104</f>
        <v>252</v>
      </c>
      <c r="D50">
        <f>+model!D104</f>
        <v>226</v>
      </c>
      <c r="E50">
        <f>+model!E104</f>
        <v>275</v>
      </c>
      <c r="F50">
        <f>+model!F104</f>
        <v>295</v>
      </c>
      <c r="G50">
        <f>+model!G104</f>
        <v>250</v>
      </c>
      <c r="H50">
        <f>+model!H104</f>
        <v>216</v>
      </c>
      <c r="I50">
        <f>+model!I104</f>
        <v>320</v>
      </c>
      <c r="J50">
        <f>+model!J104</f>
        <v>0</v>
      </c>
      <c r="K50">
        <f>+model!K104</f>
        <v>0</v>
      </c>
      <c r="L50" t="str">
        <f>+model!L104</f>
        <v>xxx</v>
      </c>
      <c r="M50">
        <f>+model!M104</f>
        <v>1310</v>
      </c>
      <c r="N50">
        <f>+model!N104</f>
        <v>1450</v>
      </c>
      <c r="O50">
        <f>+model!O104</f>
        <v>1112</v>
      </c>
      <c r="P50">
        <f>+model!P104</f>
        <v>1081</v>
      </c>
    </row>
    <row r="51" spans="1:16">
      <c r="A51" t="str">
        <f>+model!A106</f>
        <v>Other crop protection sales</v>
      </c>
      <c r="B51">
        <f>+model!B106</f>
        <v>179</v>
      </c>
      <c r="C51">
        <f>+model!C106</f>
        <v>212</v>
      </c>
      <c r="D51">
        <f>+model!D106</f>
        <v>255</v>
      </c>
      <c r="E51">
        <f>+model!E106</f>
        <v>364</v>
      </c>
      <c r="F51">
        <f>+model!F106</f>
        <v>187</v>
      </c>
      <c r="G51">
        <f>+model!G106</f>
        <v>170</v>
      </c>
      <c r="H51">
        <f>+model!H106</f>
        <v>246</v>
      </c>
      <c r="I51">
        <f>+model!I106</f>
        <v>365</v>
      </c>
      <c r="J51">
        <f>+model!J106</f>
        <v>0</v>
      </c>
      <c r="K51">
        <f>+model!K106</f>
        <v>0</v>
      </c>
      <c r="L51" t="str">
        <f>+model!L106</f>
        <v>xxx</v>
      </c>
      <c r="M51">
        <f>+model!M106</f>
        <v>398</v>
      </c>
      <c r="N51">
        <f>+model!N106</f>
        <v>604</v>
      </c>
      <c r="O51">
        <f>+model!O106</f>
        <v>1010</v>
      </c>
      <c r="P51">
        <f>+model!P106</f>
        <v>492</v>
      </c>
    </row>
    <row r="53" spans="1:16">
      <c r="A53" s="10" t="str">
        <f>+model!A122</f>
        <v>Worldwide crop protection sales</v>
      </c>
      <c r="B53" s="10">
        <f>+model!B122</f>
        <v>2189</v>
      </c>
      <c r="C53" s="10">
        <f>+model!C122</f>
        <v>1781</v>
      </c>
      <c r="D53" s="10">
        <f>+model!D122</f>
        <v>1712</v>
      </c>
      <c r="E53" s="10">
        <f>+model!E122</f>
        <v>2072</v>
      </c>
      <c r="F53" s="10">
        <f>+model!F122</f>
        <v>1741</v>
      </c>
      <c r="G53" s="10">
        <f>+model!G122</f>
        <v>1781</v>
      </c>
      <c r="H53" s="10">
        <f>+model!H122</f>
        <v>1635</v>
      </c>
      <c r="I53" s="10">
        <f>+model!I122</f>
        <v>2206</v>
      </c>
      <c r="J53" s="10">
        <f>+model!J122</f>
        <v>0</v>
      </c>
      <c r="K53" s="10">
        <f>+model!K122</f>
        <v>0</v>
      </c>
      <c r="L53" s="10" t="str">
        <f>+model!L122</f>
        <v>xxx</v>
      </c>
      <c r="M53" s="10" t="str">
        <f>+model!M122</f>
        <v xml:space="preserve"> </v>
      </c>
      <c r="N53" s="10">
        <f>+model!N122</f>
        <v>8476</v>
      </c>
      <c r="O53" s="10">
        <f>+model!O122</f>
        <v>7754</v>
      </c>
      <c r="P53" s="10">
        <f>+model!P122</f>
        <v>7363</v>
      </c>
    </row>
    <row r="54" spans="1:16">
      <c r="A54" s="10" t="str">
        <f>+model!A123</f>
        <v>North America crop protection sales</v>
      </c>
      <c r="B54" s="10">
        <f>+model!B123</f>
        <v>879</v>
      </c>
      <c r="C54" s="10">
        <f>+model!C123</f>
        <v>623</v>
      </c>
      <c r="D54" s="10">
        <f>+model!D123</f>
        <v>399</v>
      </c>
      <c r="E54" s="10">
        <f>+model!E123</f>
        <v>921</v>
      </c>
      <c r="F54" s="10">
        <f>+model!F123</f>
        <v>616</v>
      </c>
      <c r="G54" s="10">
        <f>+model!G123</f>
        <v>647</v>
      </c>
      <c r="H54" s="10">
        <f>+model!H123</f>
        <v>440</v>
      </c>
      <c r="I54" s="10">
        <f>+model!I123</f>
        <v>924</v>
      </c>
      <c r="J54" s="10">
        <f>+model!J123</f>
        <v>0</v>
      </c>
      <c r="K54" s="10">
        <f>+model!K123</f>
        <v>0</v>
      </c>
      <c r="L54" s="10" t="str">
        <f>+model!L123</f>
        <v>xxx</v>
      </c>
      <c r="M54" s="10">
        <f>+model!M123</f>
        <v>2532</v>
      </c>
      <c r="N54" s="10">
        <f>+model!N123</f>
        <v>3116</v>
      </c>
      <c r="O54" s="10">
        <f>+model!O123</f>
        <v>2822</v>
      </c>
      <c r="P54" s="10">
        <f>+model!P123</f>
        <v>2627</v>
      </c>
    </row>
    <row r="55" spans="1:16">
      <c r="A55" s="10" t="str">
        <f>+model!A124</f>
        <v>EMEA crop protection sales</v>
      </c>
      <c r="B55" s="10">
        <f>+model!B124</f>
        <v>801</v>
      </c>
      <c r="C55" s="10">
        <f>+model!C124</f>
        <v>483</v>
      </c>
      <c r="D55" s="10">
        <f>+model!D124</f>
        <v>271</v>
      </c>
      <c r="E55" s="10">
        <f>+model!E124</f>
        <v>190</v>
      </c>
      <c r="F55" s="10">
        <f>+model!F124</f>
        <v>670</v>
      </c>
      <c r="G55" s="10">
        <f>+model!G124</f>
        <v>422</v>
      </c>
      <c r="H55" s="10">
        <f>+model!H124</f>
        <v>219</v>
      </c>
      <c r="I55" s="10">
        <f>+model!I124</f>
        <v>232</v>
      </c>
      <c r="J55" s="10">
        <f>+model!J124</f>
        <v>0</v>
      </c>
      <c r="K55" s="10">
        <f>+model!K124</f>
        <v>0</v>
      </c>
      <c r="L55" s="10" t="str">
        <f>+model!L124</f>
        <v>xxx</v>
      </c>
      <c r="M55" s="10">
        <f>+model!M124</f>
        <v>1524</v>
      </c>
      <c r="N55" s="10">
        <f>+model!N124</f>
        <v>1647</v>
      </c>
      <c r="O55" s="10">
        <f>+model!O124</f>
        <v>1745</v>
      </c>
      <c r="P55" s="10">
        <f>+model!P124</f>
        <v>1543</v>
      </c>
    </row>
    <row r="56" spans="1:16">
      <c r="A56" s="10" t="str">
        <f>+model!A125</f>
        <v>Latin America crop protection sales</v>
      </c>
      <c r="B56" s="10">
        <f>+model!B125</f>
        <v>293</v>
      </c>
      <c r="C56" s="10">
        <f>+model!C125</f>
        <v>400</v>
      </c>
      <c r="D56" s="10">
        <f>+model!D125</f>
        <v>844</v>
      </c>
      <c r="E56" s="10">
        <f>+model!E125</f>
        <v>732</v>
      </c>
      <c r="F56" s="10">
        <f>+model!F125</f>
        <v>244</v>
      </c>
      <c r="G56" s="10">
        <f>+model!G125</f>
        <v>443</v>
      </c>
      <c r="H56" s="10">
        <f>+model!H125</f>
        <v>771</v>
      </c>
      <c r="I56" s="10">
        <f>+model!I125</f>
        <v>795</v>
      </c>
      <c r="J56" s="10">
        <f>+model!J125</f>
        <v>0</v>
      </c>
      <c r="K56" s="10">
        <f>+model!K125</f>
        <v>0</v>
      </c>
      <c r="L56" s="10" t="str">
        <f>+model!L125</f>
        <v>xxx</v>
      </c>
      <c r="M56" s="10">
        <f>+model!M125</f>
        <v>2125</v>
      </c>
      <c r="N56" s="10">
        <f>+model!N125</f>
        <v>2687</v>
      </c>
      <c r="O56" s="10">
        <f>+model!O125</f>
        <v>2269</v>
      </c>
      <c r="P56" s="10">
        <f>+model!P125</f>
        <v>2253</v>
      </c>
    </row>
    <row r="57" spans="1:16">
      <c r="A57" s="10" t="str">
        <f>+model!A126</f>
        <v>Asia Pacific crop protection sales</v>
      </c>
      <c r="B57" s="10">
        <f>+model!B126</f>
        <v>216</v>
      </c>
      <c r="C57" s="10">
        <f>+model!C126</f>
        <v>275</v>
      </c>
      <c r="D57" s="10">
        <f>+model!D126</f>
        <v>198</v>
      </c>
      <c r="E57" s="10">
        <f>+model!E126</f>
        <v>229</v>
      </c>
      <c r="F57" s="10">
        <f>+model!F126</f>
        <v>211</v>
      </c>
      <c r="G57" s="10">
        <f>+model!G126</f>
        <v>269</v>
      </c>
      <c r="H57" s="10">
        <f>+model!H126</f>
        <v>205</v>
      </c>
      <c r="I57" s="10">
        <f>+model!I126</f>
        <v>255</v>
      </c>
      <c r="J57" s="10">
        <f>+model!J126</f>
        <v>0</v>
      </c>
      <c r="K57" s="10">
        <f>+model!K126</f>
        <v>0</v>
      </c>
      <c r="L57" s="10" t="str">
        <f>+model!L126</f>
        <v>xxx</v>
      </c>
      <c r="M57" s="10">
        <f>+model!M126</f>
        <v>1072</v>
      </c>
      <c r="N57" s="10">
        <f>+model!N126</f>
        <v>1026</v>
      </c>
      <c r="O57" s="10">
        <f>+model!O126</f>
        <v>918</v>
      </c>
      <c r="P57" s="10">
        <f>+model!P126</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551</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563</v>
      </c>
    </row>
    <row r="6" spans="1:8">
      <c r="B6" t="s">
        <v>564</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565</v>
      </c>
    </row>
    <row r="4" spans="1:2">
      <c r="B4" t="s">
        <v>566</v>
      </c>
    </row>
    <row r="5" spans="1:2">
      <c r="B5" t="s">
        <v>567</v>
      </c>
    </row>
    <row r="6" spans="1:2">
      <c r="B6" t="s">
        <v>568</v>
      </c>
    </row>
    <row r="7" spans="1:2">
      <c r="B7" t="s">
        <v>569</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topLeftCell="A25"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552</v>
      </c>
      <c r="B49" t="s">
        <v>178</v>
      </c>
    </row>
    <row r="50" spans="1:2">
      <c r="A50" t="s">
        <v>179</v>
      </c>
      <c r="B50" t="s">
        <v>179</v>
      </c>
    </row>
    <row r="51" spans="1:2">
      <c r="A51" t="s">
        <v>180</v>
      </c>
      <c r="B51" t="s">
        <v>180</v>
      </c>
    </row>
    <row r="52" spans="1:2">
      <c r="A52" t="s">
        <v>181</v>
      </c>
      <c r="B52" t="s">
        <v>181</v>
      </c>
    </row>
    <row r="53" spans="1:2">
      <c r="A53" t="s">
        <v>553</v>
      </c>
    </row>
    <row r="54" spans="1:2">
      <c r="A54" t="s">
        <v>554</v>
      </c>
    </row>
    <row r="55" spans="1:2">
      <c r="A55" t="s">
        <v>555</v>
      </c>
    </row>
    <row r="56" spans="1:2">
      <c r="A56" t="s">
        <v>556</v>
      </c>
    </row>
    <row r="57" spans="1:2">
      <c r="A57" t="s">
        <v>557</v>
      </c>
    </row>
    <row r="58" spans="1:2">
      <c r="A58" t="s">
        <v>558</v>
      </c>
    </row>
    <row r="59" spans="1:2">
      <c r="A59" t="s">
        <v>559</v>
      </c>
    </row>
    <row r="60" spans="1:2">
      <c r="A60" t="s">
        <v>560</v>
      </c>
    </row>
    <row r="61" spans="1:2">
      <c r="A61" t="s">
        <v>561</v>
      </c>
    </row>
    <row r="62" spans="1:2">
      <c r="A62" t="s">
        <v>562</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8" t="s">
        <v>93</v>
      </c>
    </row>
    <row r="4" spans="1:8">
      <c r="B4" s="48" t="s">
        <v>94</v>
      </c>
    </row>
    <row r="5" spans="1:8">
      <c r="B5" s="48" t="s">
        <v>95</v>
      </c>
    </row>
    <row r="6" spans="1:8">
      <c r="B6" s="48" t="s">
        <v>96</v>
      </c>
    </row>
    <row r="7" spans="1:8">
      <c r="B7" s="48" t="s">
        <v>97</v>
      </c>
    </row>
    <row r="8" spans="1:8">
      <c r="B8" s="48" t="s">
        <v>98</v>
      </c>
    </row>
    <row r="9" spans="1:8">
      <c r="B9" s="48" t="s">
        <v>99</v>
      </c>
    </row>
    <row r="10" spans="1:8">
      <c r="B10" s="48" t="s">
        <v>100</v>
      </c>
    </row>
    <row r="11" spans="1:8">
      <c r="B11" s="48" t="s">
        <v>101</v>
      </c>
    </row>
    <row r="12" spans="1:8">
      <c r="B12" s="48" t="s">
        <v>102</v>
      </c>
    </row>
    <row r="13" spans="1:8">
      <c r="B13" s="48" t="s">
        <v>103</v>
      </c>
    </row>
    <row r="14" spans="1:8">
      <c r="B14" s="48" t="s">
        <v>104</v>
      </c>
    </row>
    <row r="15" spans="1:8">
      <c r="B15" s="48" t="s">
        <v>105</v>
      </c>
    </row>
    <row r="16" spans="1:8">
      <c r="B16" s="48" t="s">
        <v>106</v>
      </c>
    </row>
    <row r="17" spans="1:2">
      <c r="B17" s="48" t="s">
        <v>107</v>
      </c>
    </row>
    <row r="18" spans="1:2">
      <c r="B18" s="48" t="s">
        <v>108</v>
      </c>
    </row>
    <row r="19" spans="1:2">
      <c r="B19" s="48" t="s">
        <v>109</v>
      </c>
    </row>
    <row r="20" spans="1:2">
      <c r="B20" s="48" t="s">
        <v>110</v>
      </c>
    </row>
    <row r="21" spans="1:2">
      <c r="B21" s="48" t="s">
        <v>547</v>
      </c>
    </row>
    <row r="22" spans="1:2">
      <c r="B22" s="48" t="s">
        <v>548</v>
      </c>
    </row>
    <row r="23" spans="1:2">
      <c r="B23" s="48" t="s">
        <v>549</v>
      </c>
    </row>
    <row r="24" spans="1:2">
      <c r="B24" s="48" t="s">
        <v>550</v>
      </c>
    </row>
    <row r="26" spans="1:2">
      <c r="A26" s="48"/>
    </row>
    <row r="28" spans="1:2">
      <c r="A28" s="48"/>
    </row>
    <row r="30" spans="1:2">
      <c r="A30" s="48"/>
    </row>
    <row r="32" spans="1:2">
      <c r="A32" s="48"/>
    </row>
    <row r="34" spans="1:1">
      <c r="A34" s="48"/>
    </row>
    <row r="36" spans="1:1">
      <c r="A36" s="48"/>
    </row>
    <row r="38" spans="1:1">
      <c r="A38" s="48"/>
    </row>
    <row r="40" spans="1:1">
      <c r="A40" s="48"/>
    </row>
    <row r="42" spans="1:1">
      <c r="A42" s="48"/>
    </row>
    <row r="44" spans="1:1">
      <c r="A44" s="48"/>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T306"/>
  <sheetViews>
    <sheetView zoomScale="70" zoomScaleNormal="70" workbookViewId="0">
      <pane xSplit="1" topLeftCell="B1" activePane="topRight" state="frozen"/>
      <selection pane="topRight" activeCell="H24" sqref="H24"/>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2" width="4.26953125" style="3" bestFit="1" customWidth="1"/>
    <col min="13" max="13" width="6.36328125" bestFit="1" customWidth="1"/>
    <col min="14" max="14" width="9.90625" bestFit="1" customWidth="1"/>
    <col min="15" max="16" width="7.453125" bestFit="1" customWidth="1"/>
  </cols>
  <sheetData>
    <row r="1" spans="1:20">
      <c r="A1" s="1" t="s">
        <v>6</v>
      </c>
      <c r="L1" s="22" t="s">
        <v>442</v>
      </c>
      <c r="M1" s="1"/>
      <c r="N1" s="2"/>
    </row>
    <row r="2" spans="1:20">
      <c r="A2" t="s">
        <v>7</v>
      </c>
      <c r="L2" s="22" t="s">
        <v>442</v>
      </c>
      <c r="N2" s="2"/>
    </row>
    <row r="3" spans="1:20" s="31" customFormat="1">
      <c r="C3" s="31">
        <v>45107</v>
      </c>
      <c r="D3" s="31">
        <v>45199</v>
      </c>
      <c r="G3" s="31">
        <v>45473</v>
      </c>
      <c r="H3" s="31">
        <v>45565</v>
      </c>
      <c r="L3" s="22" t="s">
        <v>442</v>
      </c>
      <c r="N3" s="32"/>
    </row>
    <row r="4" spans="1:20">
      <c r="A4" s="3" t="s">
        <v>8</v>
      </c>
      <c r="B4" s="3" t="s">
        <v>443</v>
      </c>
      <c r="C4" s="3" t="s">
        <v>444</v>
      </c>
      <c r="D4" s="3" t="s">
        <v>445</v>
      </c>
      <c r="E4" s="3" t="s">
        <v>446</v>
      </c>
      <c r="F4" s="3" t="s">
        <v>447</v>
      </c>
      <c r="G4" s="3" t="s">
        <v>448</v>
      </c>
      <c r="H4" s="3" t="s">
        <v>9</v>
      </c>
      <c r="I4" s="3" t="s">
        <v>449</v>
      </c>
      <c r="J4" s="3" t="s">
        <v>543</v>
      </c>
      <c r="K4" s="3" t="s">
        <v>544</v>
      </c>
      <c r="L4" s="22" t="s">
        <v>442</v>
      </c>
      <c r="M4" s="3">
        <v>2021</v>
      </c>
      <c r="N4" s="4">
        <v>2022</v>
      </c>
      <c r="O4" s="3">
        <v>2023</v>
      </c>
      <c r="P4" s="3">
        <v>2024</v>
      </c>
      <c r="Q4" s="3"/>
      <c r="R4" s="3"/>
      <c r="S4" s="3"/>
      <c r="T4" s="3"/>
    </row>
    <row r="5" spans="1:20">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2" t="s">
        <v>442</v>
      </c>
      <c r="M5" s="23">
        <f>+SUM(M6:M9)</f>
        <v>15655</v>
      </c>
      <c r="N5" s="23">
        <f t="shared" ref="N5:O5" si="2">+SUM(N6:N9)</f>
        <v>17455</v>
      </c>
      <c r="O5" s="23">
        <f t="shared" si="2"/>
        <v>17226</v>
      </c>
      <c r="P5" s="23">
        <f t="shared" ref="P5" si="3">+SUM(P6:P9)</f>
        <v>16908</v>
      </c>
      <c r="Q5" s="22"/>
      <c r="R5" s="22"/>
      <c r="S5" s="22"/>
      <c r="T5" s="22"/>
    </row>
    <row r="6" spans="1:20">
      <c r="A6" s="22" t="s">
        <v>372</v>
      </c>
      <c r="B6" s="23">
        <f t="shared" ref="B6:I9" si="4">+B61+B123</f>
        <v>2202</v>
      </c>
      <c r="C6" s="23">
        <f t="shared" si="4"/>
        <v>4319</v>
      </c>
      <c r="D6" s="23">
        <f t="shared" si="4"/>
        <v>572</v>
      </c>
      <c r="E6" s="23">
        <f t="shared" si="4"/>
        <v>1497</v>
      </c>
      <c r="F6" s="23">
        <f t="shared" si="4"/>
        <v>2087</v>
      </c>
      <c r="G6" s="23">
        <f t="shared" si="4"/>
        <v>4400</v>
      </c>
      <c r="H6" s="23">
        <f t="shared" si="4"/>
        <v>610</v>
      </c>
      <c r="I6" s="23">
        <f t="shared" si="4"/>
        <v>1563</v>
      </c>
      <c r="J6" s="23">
        <f t="shared" ref="J6:K6" si="5">+J61+J123</f>
        <v>0</v>
      </c>
      <c r="K6" s="23">
        <f t="shared" si="5"/>
        <v>0</v>
      </c>
      <c r="L6" s="22" t="s">
        <v>442</v>
      </c>
      <c r="M6" s="23">
        <f t="shared" ref="M6:P9" si="6">+M61+M123</f>
        <v>7536</v>
      </c>
      <c r="N6" s="23">
        <f t="shared" si="6"/>
        <v>8294</v>
      </c>
      <c r="O6" s="23">
        <f t="shared" si="6"/>
        <v>8590</v>
      </c>
      <c r="P6" s="23">
        <f t="shared" si="6"/>
        <v>8660</v>
      </c>
      <c r="Q6" s="22"/>
      <c r="R6" s="22"/>
      <c r="S6" s="22"/>
      <c r="T6" s="22"/>
    </row>
    <row r="7" spans="1:20">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+J62+J124</f>
        <v>0</v>
      </c>
      <c r="K7" s="23">
        <f t="shared" si="7"/>
        <v>0</v>
      </c>
      <c r="L7" s="22" t="s">
        <v>442</v>
      </c>
      <c r="M7" s="23">
        <f t="shared" si="6"/>
        <v>3123</v>
      </c>
      <c r="N7" s="23">
        <f t="shared" si="6"/>
        <v>3256</v>
      </c>
      <c r="O7" s="23">
        <f t="shared" si="6"/>
        <v>3367</v>
      </c>
      <c r="P7" s="23">
        <f t="shared" si="6"/>
        <v>3124</v>
      </c>
      <c r="Q7" s="22"/>
      <c r="R7" s="22"/>
      <c r="S7" s="22"/>
      <c r="T7" s="22"/>
    </row>
    <row r="8" spans="1:20">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+J63+J125</f>
        <v>0</v>
      </c>
      <c r="K8" s="23">
        <f t="shared" si="8"/>
        <v>0</v>
      </c>
      <c r="L8" s="22" t="s">
        <v>442</v>
      </c>
      <c r="M8" s="23">
        <f t="shared" si="6"/>
        <v>3545</v>
      </c>
      <c r="N8" s="23">
        <f t="shared" si="6"/>
        <v>4445</v>
      </c>
      <c r="O8" s="23">
        <f t="shared" si="6"/>
        <v>3906</v>
      </c>
      <c r="P8" s="23">
        <f t="shared" si="6"/>
        <v>3776</v>
      </c>
      <c r="Q8" s="22"/>
      <c r="R8" s="22"/>
      <c r="S8" s="22"/>
      <c r="T8" s="22"/>
    </row>
    <row r="9" spans="1:20">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+J64+J126</f>
        <v>0</v>
      </c>
      <c r="K9" s="23">
        <f t="shared" si="9"/>
        <v>0</v>
      </c>
      <c r="L9" s="22" t="s">
        <v>442</v>
      </c>
      <c r="M9" s="23">
        <f t="shared" si="6"/>
        <v>1451</v>
      </c>
      <c r="N9" s="23">
        <f t="shared" si="6"/>
        <v>1460</v>
      </c>
      <c r="O9" s="23">
        <f t="shared" si="6"/>
        <v>1363</v>
      </c>
      <c r="P9" s="23">
        <f t="shared" si="6"/>
        <v>1348</v>
      </c>
      <c r="Q9" s="22"/>
      <c r="R9" s="22"/>
      <c r="S9" s="22"/>
      <c r="T9" s="22"/>
    </row>
    <row r="10" spans="1:20">
      <c r="A10" s="22"/>
      <c r="B10" s="22"/>
      <c r="C10" s="22"/>
      <c r="D10" s="22"/>
      <c r="E10" s="22"/>
      <c r="F10" s="22"/>
      <c r="G10" s="22"/>
      <c r="H10" s="22"/>
      <c r="I10" s="22"/>
      <c r="J10" s="22"/>
      <c r="K10" s="22"/>
      <c r="L10" s="22" t="s">
        <v>442</v>
      </c>
      <c r="M10" s="22"/>
      <c r="N10" s="25"/>
      <c r="O10" s="22"/>
      <c r="P10" s="22"/>
      <c r="Q10" s="22"/>
      <c r="R10" s="22"/>
      <c r="S10" s="22"/>
      <c r="T10" s="22"/>
    </row>
    <row r="11" spans="1:20">
      <c r="L11" s="22" t="s">
        <v>442</v>
      </c>
      <c r="N11" s="24"/>
      <c r="O11" s="24"/>
    </row>
    <row r="12" spans="1:20">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22" t="s">
        <v>442</v>
      </c>
      <c r="M12" s="3">
        <f>+M4</f>
        <v>2021</v>
      </c>
      <c r="N12" s="3">
        <f>+N4</f>
        <v>2022</v>
      </c>
      <c r="O12" s="3">
        <f>+O4</f>
        <v>2023</v>
      </c>
      <c r="P12" s="3">
        <f>+P4</f>
        <v>2024</v>
      </c>
      <c r="Q12" s="3"/>
      <c r="R12" s="3"/>
      <c r="S12" s="3"/>
      <c r="T12" s="3"/>
    </row>
    <row r="13" spans="1:20">
      <c r="A13" s="19" t="s">
        <v>584</v>
      </c>
      <c r="B13" s="20"/>
      <c r="C13" s="20"/>
      <c r="D13" s="20"/>
      <c r="E13" s="20"/>
      <c r="F13" s="20"/>
      <c r="G13" s="20"/>
      <c r="H13" s="20"/>
      <c r="I13" s="20"/>
      <c r="J13" s="20"/>
      <c r="K13" s="20"/>
      <c r="L13" s="22" t="s">
        <v>442</v>
      </c>
      <c r="M13" s="20"/>
      <c r="N13" s="20">
        <v>8979</v>
      </c>
      <c r="O13" s="20">
        <v>9472</v>
      </c>
      <c r="P13" s="20">
        <v>9545</v>
      </c>
      <c r="Q13" s="19"/>
      <c r="R13" s="19"/>
      <c r="S13" s="19"/>
      <c r="T13" s="19"/>
    </row>
    <row r="14" spans="1:20">
      <c r="A14" s="19" t="s">
        <v>585</v>
      </c>
      <c r="B14" s="20"/>
      <c r="C14" s="20"/>
      <c r="D14" s="20"/>
      <c r="E14" s="20"/>
      <c r="F14" s="20"/>
      <c r="G14" s="20"/>
      <c r="H14" s="20"/>
      <c r="I14" s="20"/>
      <c r="J14" s="20"/>
      <c r="K14" s="20"/>
      <c r="L14" s="22" t="s">
        <v>442</v>
      </c>
      <c r="M14" s="20"/>
      <c r="N14" s="20">
        <v>4898</v>
      </c>
      <c r="O14" s="20">
        <v>4982</v>
      </c>
      <c r="P14" s="20">
        <v>4876</v>
      </c>
      <c r="Q14" s="19"/>
      <c r="R14" s="19"/>
      <c r="S14" s="19"/>
      <c r="T14" s="19"/>
    </row>
    <row r="15" spans="1:20">
      <c r="A15" s="19" t="s">
        <v>583</v>
      </c>
      <c r="B15" s="20"/>
      <c r="C15" s="20"/>
      <c r="D15" s="20"/>
      <c r="E15" s="20"/>
      <c r="F15" s="20"/>
      <c r="G15" s="20"/>
      <c r="H15" s="20"/>
      <c r="I15" s="20"/>
      <c r="J15" s="20"/>
      <c r="K15" s="20"/>
      <c r="L15" s="22" t="s">
        <v>442</v>
      </c>
      <c r="M15" s="20"/>
      <c r="N15" s="20"/>
      <c r="O15" s="20"/>
      <c r="P15" s="20"/>
      <c r="Q15" s="19"/>
      <c r="R15" s="19"/>
      <c r="S15" s="19"/>
      <c r="T15" s="19"/>
    </row>
    <row r="16" spans="1:20">
      <c r="A16" s="19" t="s">
        <v>586</v>
      </c>
      <c r="B16" s="20"/>
      <c r="C16" s="20"/>
      <c r="D16" s="20"/>
      <c r="E16" s="20"/>
      <c r="F16" s="20"/>
      <c r="G16" s="20"/>
      <c r="H16" s="20"/>
      <c r="I16" s="20"/>
      <c r="J16" s="20"/>
      <c r="K16" s="20"/>
      <c r="L16" s="22" t="s">
        <v>442</v>
      </c>
      <c r="M16" s="20"/>
      <c r="N16" s="20">
        <v>2425</v>
      </c>
      <c r="O16" s="20">
        <v>2373</v>
      </c>
      <c r="P16" s="20">
        <v>2450</v>
      </c>
      <c r="Q16" s="19"/>
      <c r="R16" s="19"/>
      <c r="S16" s="19"/>
      <c r="T16" s="19"/>
    </row>
    <row r="17" spans="1:20" s="10" customFormat="1">
      <c r="A17" s="19" t="s">
        <v>241</v>
      </c>
      <c r="B17" s="20">
        <v>652</v>
      </c>
      <c r="C17" s="20"/>
      <c r="D17" s="20">
        <v>-138</v>
      </c>
      <c r="E17" s="20"/>
      <c r="F17" s="20">
        <v>748</v>
      </c>
      <c r="G17" s="20"/>
      <c r="H17" s="20">
        <v>-320</v>
      </c>
      <c r="I17" s="20"/>
      <c r="J17" s="20"/>
      <c r="K17" s="20"/>
      <c r="L17" s="22" t="s">
        <v>442</v>
      </c>
      <c r="M17" s="20">
        <v>1512</v>
      </c>
      <c r="N17" s="23">
        <f>+N13-N14-N16</f>
        <v>1656</v>
      </c>
      <c r="O17" s="23">
        <f>+O13-O14-O16</f>
        <v>2117</v>
      </c>
      <c r="P17" s="23">
        <f>+P13-P14-P16</f>
        <v>2219</v>
      </c>
      <c r="Q17" s="20"/>
      <c r="R17" s="20"/>
      <c r="S17" s="20"/>
      <c r="T17" s="20"/>
    </row>
    <row r="18" spans="1:20" s="10" customFormat="1">
      <c r="A18" s="22" t="s">
        <v>337</v>
      </c>
      <c r="B18" s="21"/>
      <c r="C18" s="21"/>
      <c r="D18" s="21"/>
      <c r="E18" s="23"/>
      <c r="F18" s="21">
        <f t="shared" ref="F18:H18" si="12">+(F17-B17)/B17</f>
        <v>0.14723926380368099</v>
      </c>
      <c r="G18" s="21"/>
      <c r="H18" s="21">
        <f t="shared" si="12"/>
        <v>1.318840579710145</v>
      </c>
      <c r="I18" s="21"/>
      <c r="J18" s="21"/>
      <c r="K18" s="21"/>
      <c r="L18" s="22" t="s">
        <v>442</v>
      </c>
      <c r="M18" s="23"/>
      <c r="N18" s="21">
        <f>+(N17-M17)/M17</f>
        <v>9.5238095238095233E-2</v>
      </c>
      <c r="O18" s="21">
        <f>+(O17-N17)/N17</f>
        <v>0.27838164251207731</v>
      </c>
      <c r="P18" s="21">
        <f>+(P17-O17)/O17</f>
        <v>4.8181388757675955E-2</v>
      </c>
      <c r="Q18" s="23"/>
      <c r="R18" s="23"/>
      <c r="S18" s="23"/>
      <c r="T18" s="23"/>
    </row>
    <row r="19" spans="1:20" s="10" customFormat="1">
      <c r="A19" s="20" t="s">
        <v>424</v>
      </c>
      <c r="B19" s="20"/>
      <c r="C19" s="20"/>
      <c r="D19" s="20"/>
      <c r="E19" s="20"/>
      <c r="F19" s="20"/>
      <c r="G19" s="20"/>
      <c r="H19" s="20"/>
      <c r="I19" s="20"/>
      <c r="J19" s="20"/>
      <c r="K19" s="20"/>
      <c r="L19" s="22" t="s">
        <v>442</v>
      </c>
      <c r="M19" s="20">
        <v>866</v>
      </c>
      <c r="N19" s="20">
        <v>839</v>
      </c>
      <c r="O19" s="20">
        <v>814</v>
      </c>
      <c r="P19" s="20">
        <v>805</v>
      </c>
      <c r="Q19" s="20"/>
      <c r="R19" s="20"/>
      <c r="S19" s="20"/>
      <c r="T19" s="20"/>
    </row>
    <row r="20" spans="1:20" s="10" customFormat="1">
      <c r="A20" s="22" t="s">
        <v>427</v>
      </c>
      <c r="B20" s="23"/>
      <c r="C20" s="23"/>
      <c r="D20" s="23"/>
      <c r="E20" s="23"/>
      <c r="F20" s="21"/>
      <c r="G20" s="21"/>
      <c r="H20" s="21"/>
      <c r="I20" s="21"/>
      <c r="J20" s="21"/>
      <c r="K20" s="21"/>
      <c r="L20" s="22" t="s">
        <v>442</v>
      </c>
      <c r="M20" s="23"/>
      <c r="N20" s="21">
        <f>+(N19-M19)/M19</f>
        <v>-3.117782909930716E-2</v>
      </c>
      <c r="O20" s="21">
        <f>+(O19-N19)/N19</f>
        <v>-2.9797377830750895E-2</v>
      </c>
      <c r="P20" s="21">
        <f>+(P19-O19)/O19</f>
        <v>-1.1056511056511056E-2</v>
      </c>
      <c r="Q20" s="23"/>
      <c r="R20" s="23"/>
      <c r="S20" s="23"/>
      <c r="T20" s="23"/>
    </row>
    <row r="21" spans="1:20" s="10" customFormat="1">
      <c r="A21" s="20" t="s">
        <v>425</v>
      </c>
      <c r="B21" s="20"/>
      <c r="C21" s="20"/>
      <c r="D21" s="20">
        <v>22829</v>
      </c>
      <c r="E21" s="20"/>
      <c r="F21" s="20"/>
      <c r="G21" s="20"/>
      <c r="H21" s="20">
        <v>22192</v>
      </c>
      <c r="I21" s="20"/>
      <c r="J21" s="20"/>
      <c r="K21" s="20"/>
      <c r="L21" s="22" t="s">
        <v>442</v>
      </c>
      <c r="M21" s="20">
        <v>23270</v>
      </c>
      <c r="N21" s="20">
        <v>22952</v>
      </c>
      <c r="O21" s="20">
        <v>22732</v>
      </c>
      <c r="P21" s="20">
        <v>21246</v>
      </c>
      <c r="Q21" s="20"/>
      <c r="R21" s="20"/>
      <c r="S21" s="20"/>
      <c r="T21" s="20"/>
    </row>
    <row r="22" spans="1:20" s="10" customFormat="1">
      <c r="A22" s="22" t="s">
        <v>428</v>
      </c>
      <c r="B22" s="23"/>
      <c r="C22" s="23"/>
      <c r="D22" s="21"/>
      <c r="E22" s="23"/>
      <c r="F22" s="21"/>
      <c r="G22" s="21"/>
      <c r="H22" s="21">
        <f t="shared" ref="H22" si="13">+(H21-D21)/D21</f>
        <v>-2.7903105698891761E-2</v>
      </c>
      <c r="I22" s="21"/>
      <c r="J22" s="21"/>
      <c r="K22" s="21"/>
      <c r="L22" s="22" t="s">
        <v>442</v>
      </c>
      <c r="M22" s="23"/>
      <c r="N22" s="21">
        <f>+(N21-M21)/M21</f>
        <v>-1.3665663944993554E-2</v>
      </c>
      <c r="O22" s="21">
        <f>+(O21-N21)/N21</f>
        <v>-9.5852213314743806E-3</v>
      </c>
      <c r="P22" s="21">
        <f>+(P21-O21)/O21</f>
        <v>-6.5370402956185111E-2</v>
      </c>
      <c r="Q22" s="23"/>
      <c r="R22" s="23"/>
      <c r="S22" s="23"/>
      <c r="T22" s="23"/>
    </row>
    <row r="23" spans="1:20" s="10" customFormat="1">
      <c r="A23" s="20" t="s">
        <v>426</v>
      </c>
      <c r="B23" s="20"/>
      <c r="C23" s="20"/>
      <c r="D23" s="20"/>
      <c r="E23" s="20"/>
      <c r="F23" s="20"/>
      <c r="G23" s="20"/>
      <c r="H23" s="20"/>
      <c r="I23" s="20"/>
      <c r="J23" s="20"/>
      <c r="K23" s="20"/>
      <c r="L23" s="22" t="s">
        <v>442</v>
      </c>
      <c r="M23" s="20">
        <v>29</v>
      </c>
      <c r="N23" s="20">
        <v>35</v>
      </c>
      <c r="O23" s="20">
        <v>39</v>
      </c>
      <c r="P23" s="20">
        <v>57</v>
      </c>
      <c r="Q23" s="20"/>
      <c r="R23" s="20"/>
      <c r="S23" s="20"/>
      <c r="T23" s="20"/>
    </row>
    <row r="24" spans="1:20" s="10" customFormat="1">
      <c r="A24" s="22" t="s">
        <v>429</v>
      </c>
      <c r="B24" s="23"/>
      <c r="C24" s="23"/>
      <c r="D24" s="23"/>
      <c r="E24" s="23"/>
      <c r="F24" s="21"/>
      <c r="G24" s="21"/>
      <c r="H24" s="21"/>
      <c r="I24" s="21"/>
      <c r="J24" s="21"/>
      <c r="K24" s="21"/>
      <c r="L24" s="22" t="s">
        <v>442</v>
      </c>
      <c r="M24" s="23"/>
      <c r="N24" s="21">
        <f>+(N23-M23)/M23</f>
        <v>0.20689655172413793</v>
      </c>
      <c r="O24" s="21">
        <f>+(O23-N23)/N23</f>
        <v>0.11428571428571428</v>
      </c>
      <c r="P24" s="21">
        <f>+(P23-O23)/O23</f>
        <v>0.46153846153846156</v>
      </c>
      <c r="Q24" s="23"/>
      <c r="R24" s="23"/>
      <c r="S24" s="23"/>
      <c r="T24" s="23"/>
    </row>
    <row r="25" spans="1:20" s="10" customFormat="1">
      <c r="A25" s="20" t="s">
        <v>438</v>
      </c>
      <c r="B25" s="20"/>
      <c r="C25" s="20"/>
      <c r="D25" s="20"/>
      <c r="E25" s="20"/>
      <c r="F25" s="20"/>
      <c r="G25" s="20"/>
      <c r="H25" s="20"/>
      <c r="I25" s="20"/>
      <c r="J25" s="20"/>
      <c r="K25" s="20"/>
      <c r="L25" s="22" t="s">
        <v>442</v>
      </c>
      <c r="M25" s="20">
        <v>237</v>
      </c>
      <c r="N25" s="20">
        <v>225</v>
      </c>
      <c r="O25" s="20">
        <v>332</v>
      </c>
      <c r="P25" s="20">
        <v>365</v>
      </c>
      <c r="Q25" s="20"/>
      <c r="R25" s="20"/>
      <c r="S25" s="20"/>
      <c r="T25" s="20"/>
    </row>
    <row r="26" spans="1:20" s="10" customFormat="1">
      <c r="A26" s="22" t="s">
        <v>439</v>
      </c>
      <c r="B26" s="23"/>
      <c r="C26" s="23"/>
      <c r="D26" s="23"/>
      <c r="E26" s="23"/>
      <c r="F26" s="21"/>
      <c r="G26" s="21"/>
      <c r="H26" s="21"/>
      <c r="I26" s="21"/>
      <c r="J26" s="21"/>
      <c r="K26" s="21"/>
      <c r="L26" s="22" t="s">
        <v>442</v>
      </c>
      <c r="M26" s="23"/>
      <c r="N26" s="21">
        <f>+(N25-M25)/M25</f>
        <v>-5.0632911392405063E-2</v>
      </c>
      <c r="O26" s="21">
        <f>+(O25-N25)/N25</f>
        <v>0.47555555555555556</v>
      </c>
      <c r="P26" s="21">
        <f>+(P25-O25)/O25</f>
        <v>9.9397590361445784E-2</v>
      </c>
      <c r="Q26" s="23"/>
      <c r="R26" s="23"/>
      <c r="S26" s="23"/>
      <c r="T26" s="23"/>
    </row>
    <row r="27" spans="1:20" s="10" customFormat="1">
      <c r="A27" s="22"/>
      <c r="B27" s="23"/>
      <c r="C27" s="23"/>
      <c r="D27" s="23"/>
      <c r="E27" s="23"/>
      <c r="F27" s="21"/>
      <c r="G27" s="21"/>
      <c r="H27" s="21"/>
      <c r="I27" s="21"/>
      <c r="J27" s="21"/>
      <c r="K27" s="21"/>
      <c r="L27" s="22"/>
      <c r="M27" s="23"/>
      <c r="N27" s="21"/>
      <c r="O27" s="21"/>
      <c r="P27" s="21"/>
      <c r="Q27" s="23"/>
      <c r="R27" s="23"/>
      <c r="S27" s="23"/>
      <c r="T27" s="23"/>
    </row>
    <row r="28" spans="1:20" s="10" customFormat="1">
      <c r="A28" s="17" t="s">
        <v>196</v>
      </c>
      <c r="B28" s="18"/>
      <c r="C28" s="18"/>
      <c r="D28" s="18"/>
      <c r="E28" s="18"/>
      <c r="F28" s="16"/>
      <c r="G28" s="16"/>
      <c r="H28" s="16"/>
      <c r="I28" s="16"/>
      <c r="J28" s="16"/>
      <c r="K28" s="16"/>
      <c r="L28" s="17"/>
      <c r="M28" s="18"/>
      <c r="N28" s="16"/>
      <c r="O28" s="16"/>
      <c r="P28" s="16"/>
      <c r="Q28" s="18"/>
      <c r="R28" s="18"/>
      <c r="S28" s="18"/>
      <c r="T28" s="18"/>
    </row>
    <row r="29" spans="1:20" s="10" customFormat="1">
      <c r="A29" s="14" t="s">
        <v>591</v>
      </c>
      <c r="B29" s="15"/>
      <c r="C29" s="15"/>
      <c r="D29" s="15"/>
      <c r="E29" s="15">
        <v>1522</v>
      </c>
      <c r="F29" s="15"/>
      <c r="G29" s="15"/>
      <c r="H29" s="15"/>
      <c r="I29" s="15">
        <v>1454</v>
      </c>
      <c r="J29" s="16"/>
      <c r="K29" s="16"/>
      <c r="L29" s="17"/>
      <c r="M29" s="18"/>
      <c r="N29" s="16"/>
      <c r="O29" s="15">
        <v>6857</v>
      </c>
      <c r="P29" s="15">
        <v>6559</v>
      </c>
      <c r="Q29" s="18"/>
      <c r="R29" s="18"/>
      <c r="S29" s="18"/>
      <c r="T29" s="18"/>
    </row>
    <row r="30" spans="1:20" s="10" customFormat="1">
      <c r="A30" s="14" t="s">
        <v>592</v>
      </c>
      <c r="B30" s="15"/>
      <c r="C30" s="15"/>
      <c r="D30" s="15"/>
      <c r="E30" s="15">
        <v>836</v>
      </c>
      <c r="F30" s="15"/>
      <c r="G30" s="15"/>
      <c r="H30" s="15"/>
      <c r="I30" s="15">
        <v>767</v>
      </c>
      <c r="J30" s="16"/>
      <c r="K30" s="16"/>
      <c r="L30" s="17"/>
      <c r="M30" s="18"/>
      <c r="N30" s="16"/>
      <c r="O30" s="15">
        <v>2571</v>
      </c>
      <c r="P30" s="15">
        <v>2475</v>
      </c>
      <c r="Q30" s="18"/>
      <c r="R30" s="18"/>
      <c r="S30" s="18"/>
      <c r="T30" s="18"/>
    </row>
    <row r="31" spans="1:20" s="10" customFormat="1">
      <c r="A31" s="14" t="s">
        <v>593</v>
      </c>
      <c r="B31" s="15"/>
      <c r="C31" s="15"/>
      <c r="D31" s="15"/>
      <c r="E31" s="15">
        <v>131</v>
      </c>
      <c r="F31" s="15"/>
      <c r="G31" s="15"/>
      <c r="H31" s="15"/>
      <c r="I31" s="15">
        <v>159</v>
      </c>
      <c r="J31" s="16"/>
      <c r="K31" s="16"/>
      <c r="L31" s="17"/>
      <c r="M31" s="18"/>
      <c r="N31" s="16"/>
      <c r="O31" s="15">
        <v>575</v>
      </c>
      <c r="P31" s="15">
        <v>585</v>
      </c>
      <c r="Q31" s="18"/>
      <c r="R31" s="18"/>
      <c r="S31" s="18"/>
      <c r="T31" s="18"/>
    </row>
    <row r="32" spans="1:20" s="10" customFormat="1">
      <c r="A32" s="14" t="s">
        <v>594</v>
      </c>
      <c r="B32" s="15"/>
      <c r="C32" s="15"/>
      <c r="D32" s="15"/>
      <c r="E32" s="15">
        <v>203</v>
      </c>
      <c r="F32" s="15"/>
      <c r="G32" s="15"/>
      <c r="H32" s="15"/>
      <c r="I32" s="15">
        <v>213</v>
      </c>
      <c r="J32" s="16"/>
      <c r="K32" s="16"/>
      <c r="L32" s="17"/>
      <c r="M32" s="18"/>
      <c r="N32" s="16"/>
      <c r="O32" s="15">
        <v>735</v>
      </c>
      <c r="P32" s="15">
        <v>772</v>
      </c>
      <c r="Q32" s="18"/>
      <c r="R32" s="18"/>
      <c r="S32" s="18"/>
      <c r="T32" s="18"/>
    </row>
    <row r="33" spans="1:20" s="10" customFormat="1">
      <c r="A33" s="22"/>
      <c r="B33" s="23"/>
      <c r="C33" s="23"/>
      <c r="D33" s="23"/>
      <c r="E33" s="23"/>
      <c r="F33" s="21"/>
      <c r="G33" s="21"/>
      <c r="H33" s="21"/>
      <c r="I33" s="21"/>
      <c r="J33" s="21"/>
      <c r="K33" s="21"/>
      <c r="L33" s="22"/>
      <c r="M33" s="23"/>
      <c r="N33" s="21"/>
      <c r="O33" s="21"/>
      <c r="P33" s="21"/>
      <c r="Q33" s="23"/>
      <c r="R33" s="23"/>
      <c r="S33" s="23"/>
      <c r="T33" s="23"/>
    </row>
    <row r="34" spans="1:20" s="12" customFormat="1">
      <c r="A34" s="52" t="s">
        <v>595</v>
      </c>
      <c r="B34" s="52"/>
      <c r="C34" s="52"/>
      <c r="D34" s="52"/>
      <c r="E34" s="52">
        <v>1500</v>
      </c>
      <c r="F34" s="52"/>
      <c r="G34" s="52"/>
      <c r="H34" s="52"/>
      <c r="I34" s="52">
        <v>1500</v>
      </c>
      <c r="J34" s="52"/>
      <c r="K34" s="52"/>
      <c r="L34" s="52"/>
      <c r="M34" s="52"/>
      <c r="N34" s="52"/>
      <c r="O34" s="52">
        <v>4800</v>
      </c>
      <c r="P34" s="52">
        <v>4800</v>
      </c>
      <c r="Q34" s="52"/>
      <c r="R34" s="52"/>
      <c r="S34" s="52"/>
      <c r="T34" s="52"/>
    </row>
    <row r="35" spans="1:20" s="10" customFormat="1">
      <c r="A35" s="53" t="s">
        <v>597</v>
      </c>
      <c r="B35" s="56"/>
      <c r="C35" s="56"/>
      <c r="D35" s="56"/>
      <c r="E35" s="56"/>
      <c r="F35" s="56"/>
      <c r="G35" s="56"/>
      <c r="H35" s="56"/>
      <c r="I35" s="57"/>
      <c r="J35" s="55"/>
      <c r="K35" s="55"/>
      <c r="L35" s="53"/>
      <c r="M35" s="54"/>
      <c r="N35" s="55"/>
      <c r="O35" s="55"/>
      <c r="P35" s="57" t="s">
        <v>601</v>
      </c>
      <c r="Q35" s="54"/>
      <c r="R35" s="54"/>
      <c r="S35" s="54"/>
      <c r="T35" s="54"/>
    </row>
    <row r="36" spans="1:20" s="10" customFormat="1">
      <c r="A36" s="53" t="s">
        <v>603</v>
      </c>
      <c r="B36" s="56"/>
      <c r="C36" s="56"/>
      <c r="D36" s="56"/>
      <c r="E36" s="56"/>
      <c r="F36" s="56"/>
      <c r="G36" s="56"/>
      <c r="H36" s="56"/>
      <c r="I36" s="57"/>
      <c r="J36" s="55"/>
      <c r="K36" s="55"/>
      <c r="L36" s="53"/>
      <c r="M36" s="54"/>
      <c r="N36" s="55"/>
      <c r="O36" s="55"/>
      <c r="P36" s="57" t="s">
        <v>602</v>
      </c>
      <c r="Q36" s="54"/>
      <c r="R36" s="54"/>
      <c r="S36" s="54"/>
      <c r="T36" s="54"/>
    </row>
    <row r="37" spans="1:20" s="10" customFormat="1">
      <c r="A37" s="53" t="s">
        <v>596</v>
      </c>
      <c r="B37" s="56"/>
      <c r="C37" s="56"/>
      <c r="D37" s="56"/>
      <c r="E37" s="56"/>
      <c r="F37" s="56"/>
      <c r="G37" s="56"/>
      <c r="H37" s="56"/>
      <c r="I37" s="57"/>
      <c r="J37" s="55"/>
      <c r="K37" s="55"/>
      <c r="L37" s="53"/>
      <c r="M37" s="54"/>
      <c r="N37" s="55"/>
      <c r="O37" s="55"/>
      <c r="P37" s="57" t="s">
        <v>604</v>
      </c>
      <c r="Q37" s="54"/>
      <c r="R37" s="54"/>
      <c r="S37" s="54"/>
      <c r="T37" s="54"/>
    </row>
    <row r="38" spans="1:20" s="10" customFormat="1">
      <c r="A38" s="53" t="s">
        <v>598</v>
      </c>
      <c r="B38" s="56"/>
      <c r="C38" s="56"/>
      <c r="D38" s="56"/>
      <c r="E38" s="56"/>
      <c r="F38" s="56"/>
      <c r="G38" s="56"/>
      <c r="H38" s="56"/>
      <c r="I38" s="57"/>
      <c r="J38" s="55"/>
      <c r="K38" s="55"/>
      <c r="L38" s="53"/>
      <c r="M38" s="54"/>
      <c r="N38" s="55"/>
      <c r="O38" s="55"/>
      <c r="P38" s="57" t="s">
        <v>605</v>
      </c>
      <c r="Q38" s="54"/>
      <c r="R38" s="54"/>
      <c r="S38" s="54"/>
      <c r="T38" s="54"/>
    </row>
    <row r="39" spans="1:20" s="10" customFormat="1">
      <c r="A39" s="53" t="s">
        <v>599</v>
      </c>
      <c r="B39" s="56"/>
      <c r="C39" s="56"/>
      <c r="D39" s="56"/>
      <c r="E39" s="56"/>
      <c r="F39" s="56"/>
      <c r="G39" s="56"/>
      <c r="H39" s="56"/>
      <c r="I39" s="57"/>
      <c r="J39" s="55"/>
      <c r="K39" s="55"/>
      <c r="L39" s="53"/>
      <c r="M39" s="54"/>
      <c r="N39" s="55"/>
      <c r="O39" s="55"/>
      <c r="P39" s="57" t="s">
        <v>606</v>
      </c>
      <c r="Q39" s="54"/>
      <c r="R39" s="54"/>
      <c r="S39" s="54"/>
      <c r="T39" s="54"/>
    </row>
    <row r="40" spans="1:20" s="10" customFormat="1">
      <c r="A40" s="53" t="s">
        <v>600</v>
      </c>
      <c r="B40" s="56"/>
      <c r="C40" s="56"/>
      <c r="D40" s="56"/>
      <c r="E40" s="56"/>
      <c r="F40" s="56"/>
      <c r="G40" s="56"/>
      <c r="H40" s="56"/>
      <c r="I40" s="57"/>
      <c r="J40" s="55"/>
      <c r="K40" s="55"/>
      <c r="L40" s="53"/>
      <c r="M40" s="54"/>
      <c r="N40" s="55"/>
      <c r="O40" s="55"/>
      <c r="P40" s="57" t="s">
        <v>606</v>
      </c>
      <c r="Q40" s="54"/>
      <c r="R40" s="54"/>
      <c r="S40" s="54"/>
      <c r="T40" s="54"/>
    </row>
    <row r="41" spans="1:20" s="10" customFormat="1">
      <c r="A41" s="19"/>
      <c r="B41" s="20"/>
      <c r="C41" s="20"/>
      <c r="D41" s="20"/>
      <c r="E41" s="20"/>
      <c r="F41" s="20"/>
      <c r="G41" s="20"/>
      <c r="H41" s="20"/>
      <c r="I41" s="20"/>
      <c r="J41" s="20"/>
      <c r="K41" s="20"/>
      <c r="L41" s="22" t="s">
        <v>442</v>
      </c>
      <c r="M41" s="20"/>
      <c r="N41" s="20"/>
      <c r="O41" s="20"/>
      <c r="P41" s="20"/>
      <c r="Q41" s="20"/>
      <c r="R41" s="20"/>
      <c r="S41" s="20"/>
      <c r="T41" s="20"/>
    </row>
    <row r="42" spans="1:20">
      <c r="A42" s="22" t="s">
        <v>329</v>
      </c>
      <c r="B42" s="23">
        <f t="shared" ref="B42" si="14">+SUM(B43:B46)</f>
        <v>2695</v>
      </c>
      <c r="C42" s="23">
        <f t="shared" ref="C42" si="15">+SUM(C43:C46)</f>
        <v>4264</v>
      </c>
      <c r="D42" s="23">
        <f t="shared" ref="D42" si="16">+SUM(D43:D46)</f>
        <v>878</v>
      </c>
      <c r="E42" s="23">
        <f>+SUM(E43:E46)</f>
        <v>1635</v>
      </c>
      <c r="F42" s="23">
        <f>+SUM(F43:F46)</f>
        <v>2751</v>
      </c>
      <c r="G42" s="23">
        <f t="shared" ref="G42:H42" si="17">+SUM(G43:G46)</f>
        <v>4331</v>
      </c>
      <c r="H42" s="23">
        <f t="shared" si="17"/>
        <v>691</v>
      </c>
      <c r="I42" s="23">
        <f t="shared" ref="I42:J42" si="18">+SUM(I43:I46)</f>
        <v>1772</v>
      </c>
      <c r="J42" s="23">
        <f t="shared" si="18"/>
        <v>0</v>
      </c>
      <c r="K42" s="23">
        <f t="shared" ref="K42" si="19">+SUM(K43:K46)</f>
        <v>0</v>
      </c>
      <c r="L42" s="22" t="s">
        <v>442</v>
      </c>
      <c r="M42" s="23">
        <f>+SUM(M43:M46)</f>
        <v>8402</v>
      </c>
      <c r="N42" s="23">
        <f t="shared" ref="N42:P42" si="20">+SUM(N43:N46)</f>
        <v>8979</v>
      </c>
      <c r="O42" s="23">
        <f t="shared" si="20"/>
        <v>9472</v>
      </c>
      <c r="P42" s="23">
        <f t="shared" si="20"/>
        <v>9545</v>
      </c>
      <c r="Q42" s="19"/>
      <c r="R42" s="19"/>
      <c r="S42" s="19"/>
      <c r="T42" s="19"/>
    </row>
    <row r="43" spans="1:20">
      <c r="A43" s="19" t="s">
        <v>361</v>
      </c>
      <c r="B43" s="20">
        <v>1979</v>
      </c>
      <c r="C43" s="20">
        <v>2673</v>
      </c>
      <c r="D43" s="20">
        <v>487</v>
      </c>
      <c r="E43" s="20">
        <f>+O43-SUM(B43:D43)</f>
        <v>1308</v>
      </c>
      <c r="F43" s="20">
        <v>2087</v>
      </c>
      <c r="G43" s="20">
        <v>2683</v>
      </c>
      <c r="H43" s="20">
        <v>315</v>
      </c>
      <c r="I43" s="20">
        <f>+P43-SUM(F43:H43)</f>
        <v>1411</v>
      </c>
      <c r="J43" s="20"/>
      <c r="K43" s="20"/>
      <c r="L43" s="22" t="s">
        <v>442</v>
      </c>
      <c r="M43" s="20">
        <v>5618</v>
      </c>
      <c r="N43" s="20">
        <v>5955</v>
      </c>
      <c r="O43" s="20">
        <v>6447</v>
      </c>
      <c r="P43" s="20">
        <v>6496</v>
      </c>
      <c r="Q43" s="19"/>
      <c r="R43" s="19"/>
      <c r="S43" s="19"/>
      <c r="T43" s="19"/>
    </row>
    <row r="44" spans="1:20">
      <c r="A44" s="19" t="s">
        <v>362</v>
      </c>
      <c r="B44" s="20">
        <v>269</v>
      </c>
      <c r="C44" s="20">
        <v>1255</v>
      </c>
      <c r="D44" s="20">
        <v>189</v>
      </c>
      <c r="E44" s="20">
        <f t="shared" ref="E44:E46" si="21">+O44-SUM(B44:D44)</f>
        <v>145</v>
      </c>
      <c r="F44" s="20">
        <v>292</v>
      </c>
      <c r="G44" s="20">
        <v>1317</v>
      </c>
      <c r="H44" s="20">
        <v>164</v>
      </c>
      <c r="I44" s="20">
        <f t="shared" ref="I44:I46" si="22">+P44-SUM(F44:H44)</f>
        <v>154</v>
      </c>
      <c r="J44" s="20"/>
      <c r="K44" s="20"/>
      <c r="L44" s="22" t="s">
        <v>442</v>
      </c>
      <c r="M44" s="20">
        <v>1568</v>
      </c>
      <c r="N44" s="20">
        <v>1810</v>
      </c>
      <c r="O44" s="20">
        <v>1858</v>
      </c>
      <c r="P44" s="20">
        <v>1927</v>
      </c>
      <c r="Q44" s="19"/>
      <c r="R44" s="19"/>
      <c r="S44" s="19"/>
      <c r="T44" s="19"/>
    </row>
    <row r="45" spans="1:20">
      <c r="A45" s="19" t="s">
        <v>336</v>
      </c>
      <c r="B45" s="20">
        <v>301</v>
      </c>
      <c r="C45" s="20">
        <v>194</v>
      </c>
      <c r="D45" s="20">
        <v>142</v>
      </c>
      <c r="E45" s="20">
        <f t="shared" si="21"/>
        <v>71</v>
      </c>
      <c r="F45" s="20">
        <v>245</v>
      </c>
      <c r="G45" s="20">
        <v>186</v>
      </c>
      <c r="H45" s="20">
        <v>135</v>
      </c>
      <c r="I45" s="20">
        <f t="shared" si="22"/>
        <v>87</v>
      </c>
      <c r="J45" s="20"/>
      <c r="K45" s="20"/>
      <c r="L45" s="22" t="s">
        <v>442</v>
      </c>
      <c r="M45" s="20">
        <v>752</v>
      </c>
      <c r="N45" s="20">
        <v>714</v>
      </c>
      <c r="O45" s="20">
        <v>708</v>
      </c>
      <c r="P45" s="20">
        <v>653</v>
      </c>
      <c r="Q45" s="19"/>
      <c r="R45" s="19"/>
      <c r="S45" s="19"/>
      <c r="T45" s="19"/>
    </row>
    <row r="46" spans="1:20">
      <c r="A46" s="19" t="s">
        <v>335</v>
      </c>
      <c r="B46" s="20">
        <v>146</v>
      </c>
      <c r="C46" s="20">
        <v>142</v>
      </c>
      <c r="D46" s="20">
        <v>60</v>
      </c>
      <c r="E46" s="20">
        <f t="shared" si="21"/>
        <v>111</v>
      </c>
      <c r="F46" s="20">
        <v>127</v>
      </c>
      <c r="G46" s="20">
        <v>145</v>
      </c>
      <c r="H46" s="20">
        <v>77</v>
      </c>
      <c r="I46" s="20">
        <f t="shared" si="22"/>
        <v>120</v>
      </c>
      <c r="J46" s="20"/>
      <c r="K46" s="20"/>
      <c r="L46" s="22" t="s">
        <v>442</v>
      </c>
      <c r="M46" s="20">
        <v>464</v>
      </c>
      <c r="N46" s="20">
        <v>500</v>
      </c>
      <c r="O46" s="20">
        <v>459</v>
      </c>
      <c r="P46" s="20">
        <v>469</v>
      </c>
      <c r="Q46" s="19"/>
      <c r="R46" s="19"/>
      <c r="S46" s="19"/>
      <c r="T46" s="19"/>
    </row>
    <row r="47" spans="1:20">
      <c r="A47" s="22"/>
      <c r="B47" s="19"/>
      <c r="C47" s="19"/>
      <c r="D47" s="19"/>
      <c r="E47" s="19"/>
      <c r="F47" s="19"/>
      <c r="G47" s="19"/>
      <c r="H47" s="19"/>
      <c r="I47" s="19"/>
      <c r="J47" s="19"/>
      <c r="K47" s="19"/>
      <c r="L47" s="22" t="s">
        <v>442</v>
      </c>
      <c r="M47" s="22"/>
      <c r="N47" s="21"/>
      <c r="O47" s="21"/>
      <c r="P47" s="19"/>
      <c r="Q47" s="19"/>
      <c r="R47" s="19"/>
      <c r="S47" s="19"/>
      <c r="T47" s="19"/>
    </row>
    <row r="48" spans="1:20">
      <c r="A48" s="22" t="s">
        <v>330</v>
      </c>
      <c r="B48" s="21"/>
      <c r="C48" s="21"/>
      <c r="D48" s="21"/>
      <c r="E48" s="21"/>
      <c r="F48" s="21">
        <f>+(F42-B42)/B42</f>
        <v>2.0779220779220779E-2</v>
      </c>
      <c r="G48" s="21">
        <f>+(G42-C42)/C42</f>
        <v>1.571294559099437E-2</v>
      </c>
      <c r="H48" s="21">
        <f>+(H42-D42)/D42</f>
        <v>-0.21298405466970388</v>
      </c>
      <c r="I48" s="21">
        <f>+(I42-E42)/E42</f>
        <v>8.3792048929663604E-2</v>
      </c>
      <c r="J48" s="21"/>
      <c r="K48" s="21"/>
      <c r="L48" s="22" t="s">
        <v>442</v>
      </c>
      <c r="M48" s="21"/>
      <c r="N48" s="21">
        <f>+(N42-M42)/M42</f>
        <v>6.867412520828374E-2</v>
      </c>
      <c r="O48" s="21">
        <f>+(O42-N42)/N42</f>
        <v>5.4905891524668668E-2</v>
      </c>
      <c r="P48" s="21">
        <f>+(P42-O42)/O42</f>
        <v>7.7069256756756759E-3</v>
      </c>
      <c r="Q48" s="22"/>
      <c r="R48" s="22"/>
      <c r="S48" s="22"/>
      <c r="T48" s="22"/>
    </row>
    <row r="49" spans="1:20">
      <c r="A49" s="22" t="s">
        <v>331</v>
      </c>
      <c r="B49" s="21"/>
      <c r="C49" s="21"/>
      <c r="D49" s="21"/>
      <c r="E49" s="21"/>
      <c r="F49" s="21">
        <f t="shared" ref="F49:I52" si="23">+(F43-B43)/B43</f>
        <v>5.4573016675088432E-2</v>
      </c>
      <c r="G49" s="21">
        <f t="shared" si="23"/>
        <v>3.7411148522259632E-3</v>
      </c>
      <c r="H49" s="21">
        <f t="shared" si="23"/>
        <v>-0.35318275154004108</v>
      </c>
      <c r="I49" s="21">
        <f t="shared" si="23"/>
        <v>7.8746177370030576E-2</v>
      </c>
      <c r="J49" s="21"/>
      <c r="K49" s="21"/>
      <c r="L49" s="22" t="s">
        <v>442</v>
      </c>
      <c r="M49" s="21"/>
      <c r="N49" s="21">
        <f t="shared" ref="N49:O52" si="24">+(N43-M43)/M43</f>
        <v>5.9985760056959769E-2</v>
      </c>
      <c r="O49" s="21">
        <f t="shared" si="24"/>
        <v>8.2619647355163722E-2</v>
      </c>
      <c r="P49" s="21">
        <f t="shared" ref="P49" si="25">+(P43-O43)/O43</f>
        <v>7.6004343105320303E-3</v>
      </c>
      <c r="Q49" s="22"/>
      <c r="R49" s="22"/>
      <c r="S49" s="22"/>
      <c r="T49" s="22"/>
    </row>
    <row r="50" spans="1:20">
      <c r="A50" s="22" t="s">
        <v>332</v>
      </c>
      <c r="B50" s="21"/>
      <c r="C50" s="21"/>
      <c r="D50" s="21"/>
      <c r="E50" s="21"/>
      <c r="F50" s="21">
        <f t="shared" si="23"/>
        <v>8.5501858736059477E-2</v>
      </c>
      <c r="G50" s="21">
        <f t="shared" si="23"/>
        <v>4.9402390438247012E-2</v>
      </c>
      <c r="H50" s="21">
        <f t="shared" si="23"/>
        <v>-0.13227513227513227</v>
      </c>
      <c r="I50" s="21">
        <f t="shared" si="23"/>
        <v>6.2068965517241378E-2</v>
      </c>
      <c r="J50" s="21"/>
      <c r="K50" s="21"/>
      <c r="L50" s="22" t="s">
        <v>442</v>
      </c>
      <c r="M50" s="21"/>
      <c r="N50" s="21">
        <f t="shared" si="24"/>
        <v>0.15433673469387754</v>
      </c>
      <c r="O50" s="21">
        <f t="shared" si="24"/>
        <v>2.6519337016574586E-2</v>
      </c>
      <c r="P50" s="21">
        <f t="shared" ref="P50" si="26">+(P44-O44)/O44</f>
        <v>3.7136706135629707E-2</v>
      </c>
      <c r="Q50" s="22"/>
      <c r="R50" s="22"/>
      <c r="S50" s="22"/>
      <c r="T50" s="22"/>
    </row>
    <row r="51" spans="1:20">
      <c r="A51" s="22" t="s">
        <v>333</v>
      </c>
      <c r="B51" s="21"/>
      <c r="C51" s="21"/>
      <c r="D51" s="21"/>
      <c r="E51" s="21"/>
      <c r="F51" s="21">
        <f t="shared" si="23"/>
        <v>-0.18604651162790697</v>
      </c>
      <c r="G51" s="21">
        <f t="shared" si="23"/>
        <v>-4.1237113402061855E-2</v>
      </c>
      <c r="H51" s="21">
        <f t="shared" si="23"/>
        <v>-4.9295774647887321E-2</v>
      </c>
      <c r="I51" s="21">
        <f t="shared" si="23"/>
        <v>0.22535211267605634</v>
      </c>
      <c r="J51" s="21"/>
      <c r="K51" s="21"/>
      <c r="L51" s="22" t="s">
        <v>442</v>
      </c>
      <c r="M51" s="21"/>
      <c r="N51" s="21">
        <f t="shared" si="24"/>
        <v>-5.0531914893617018E-2</v>
      </c>
      <c r="O51" s="21">
        <f t="shared" si="24"/>
        <v>-8.4033613445378148E-3</v>
      </c>
      <c r="P51" s="21">
        <f t="shared" ref="P51" si="27">+(P45-O45)/O45</f>
        <v>-7.7683615819209045E-2</v>
      </c>
      <c r="Q51" s="22"/>
      <c r="R51" s="22"/>
      <c r="S51" s="22"/>
      <c r="T51" s="22"/>
    </row>
    <row r="52" spans="1:20">
      <c r="A52" s="22" t="s">
        <v>334</v>
      </c>
      <c r="B52" s="21"/>
      <c r="C52" s="21"/>
      <c r="D52" s="21"/>
      <c r="E52" s="21"/>
      <c r="F52" s="21">
        <f t="shared" si="23"/>
        <v>-0.13013698630136986</v>
      </c>
      <c r="G52" s="21">
        <f t="shared" si="23"/>
        <v>2.1126760563380281E-2</v>
      </c>
      <c r="H52" s="21">
        <f t="shared" si="23"/>
        <v>0.28333333333333333</v>
      </c>
      <c r="I52" s="21">
        <f t="shared" si="23"/>
        <v>8.1081081081081086E-2</v>
      </c>
      <c r="J52" s="21"/>
      <c r="K52" s="21"/>
      <c r="L52" s="22" t="s">
        <v>442</v>
      </c>
      <c r="M52" s="21"/>
      <c r="N52" s="21">
        <f t="shared" si="24"/>
        <v>7.7586206896551727E-2</v>
      </c>
      <c r="O52" s="21">
        <f t="shared" si="24"/>
        <v>-8.2000000000000003E-2</v>
      </c>
      <c r="P52" s="21">
        <f t="shared" ref="P52" si="28">+(P46-O46)/O46</f>
        <v>2.178649237472767E-2</v>
      </c>
      <c r="Q52" s="22"/>
      <c r="R52" s="22"/>
      <c r="S52" s="22"/>
      <c r="T52" s="22"/>
    </row>
    <row r="53" spans="1:20">
      <c r="A53" s="22"/>
      <c r="B53" s="21"/>
      <c r="C53" s="21"/>
      <c r="D53" s="21"/>
      <c r="E53" s="21"/>
      <c r="F53" s="21"/>
      <c r="G53" s="21"/>
      <c r="H53" s="21"/>
      <c r="I53" s="21"/>
      <c r="J53" s="21"/>
      <c r="K53" s="21"/>
      <c r="L53" s="22" t="s">
        <v>442</v>
      </c>
      <c r="M53" s="21"/>
      <c r="N53" s="21"/>
      <c r="O53" s="21"/>
      <c r="P53" s="21"/>
      <c r="Q53" s="22"/>
      <c r="R53" s="22"/>
      <c r="S53" s="22"/>
      <c r="T53" s="22"/>
    </row>
    <row r="54" spans="1:20">
      <c r="A54" s="22" t="s">
        <v>452</v>
      </c>
      <c r="B54" s="21"/>
      <c r="C54" s="21">
        <f t="shared" ref="C54:I54" si="29">+(C42-B42)/B42</f>
        <v>0.58218923933209643</v>
      </c>
      <c r="D54" s="21">
        <f t="shared" si="29"/>
        <v>-0.79409005628517826</v>
      </c>
      <c r="E54" s="21">
        <f t="shared" si="29"/>
        <v>0.86218678815489747</v>
      </c>
      <c r="F54" s="21">
        <f t="shared" si="29"/>
        <v>0.68256880733944958</v>
      </c>
      <c r="G54" s="21">
        <f t="shared" si="29"/>
        <v>0.57433660487095606</v>
      </c>
      <c r="H54" s="21">
        <f t="shared" si="29"/>
        <v>-0.84045255137381669</v>
      </c>
      <c r="I54" s="21">
        <f t="shared" si="29"/>
        <v>1.5643994211287988</v>
      </c>
      <c r="J54" s="21"/>
      <c r="K54" s="21"/>
      <c r="L54" s="22" t="s">
        <v>442</v>
      </c>
      <c r="M54" s="21"/>
      <c r="N54" s="21"/>
      <c r="O54" s="21"/>
      <c r="P54" s="21"/>
      <c r="Q54" s="22"/>
      <c r="R54" s="22"/>
      <c r="S54" s="22"/>
      <c r="T54" s="22"/>
    </row>
    <row r="55" spans="1:20">
      <c r="A55" s="22" t="s">
        <v>453</v>
      </c>
      <c r="B55" s="21"/>
      <c r="C55" s="21">
        <f t="shared" ref="C55:D58" si="30">+(C43-B43)/B43</f>
        <v>0.35068216270843861</v>
      </c>
      <c r="D55" s="21">
        <f t="shared" si="30"/>
        <v>-0.81780770669659564</v>
      </c>
      <c r="E55" s="21">
        <f t="shared" ref="E55:I58" si="31">+(E43-D43)/D43</f>
        <v>1.6858316221765914</v>
      </c>
      <c r="F55" s="21">
        <f t="shared" si="31"/>
        <v>0.59556574923547401</v>
      </c>
      <c r="G55" s="21">
        <f t="shared" si="31"/>
        <v>0.28557738380450409</v>
      </c>
      <c r="H55" s="21">
        <f t="shared" si="31"/>
        <v>-0.8825941110696981</v>
      </c>
      <c r="I55" s="21">
        <f t="shared" si="31"/>
        <v>3.4793650793650794</v>
      </c>
      <c r="J55" s="21"/>
      <c r="K55" s="21"/>
      <c r="L55" s="22" t="s">
        <v>442</v>
      </c>
      <c r="M55" s="21"/>
      <c r="N55" s="21"/>
      <c r="O55" s="21"/>
      <c r="P55" s="21"/>
      <c r="Q55" s="22"/>
      <c r="R55" s="22"/>
      <c r="S55" s="22"/>
      <c r="T55" s="22"/>
    </row>
    <row r="56" spans="1:20">
      <c r="A56" s="22" t="s">
        <v>454</v>
      </c>
      <c r="B56" s="21"/>
      <c r="C56" s="21">
        <f t="shared" si="30"/>
        <v>3.6654275092936803</v>
      </c>
      <c r="D56" s="21">
        <f t="shared" si="30"/>
        <v>-0.84940239043824706</v>
      </c>
      <c r="E56" s="21">
        <f t="shared" si="31"/>
        <v>-0.23280423280423279</v>
      </c>
      <c r="F56" s="21">
        <f t="shared" si="31"/>
        <v>1.0137931034482759</v>
      </c>
      <c r="G56" s="21">
        <f t="shared" si="31"/>
        <v>3.5102739726027399</v>
      </c>
      <c r="H56" s="21">
        <f t="shared" si="31"/>
        <v>-0.87547456340167051</v>
      </c>
      <c r="I56" s="21">
        <f t="shared" si="31"/>
        <v>-6.097560975609756E-2</v>
      </c>
      <c r="J56" s="21"/>
      <c r="K56" s="21"/>
      <c r="L56" s="22" t="s">
        <v>442</v>
      </c>
      <c r="M56" s="21"/>
      <c r="N56" s="21"/>
      <c r="O56" s="21"/>
      <c r="P56" s="21"/>
      <c r="Q56" s="22"/>
      <c r="R56" s="22"/>
      <c r="S56" s="22"/>
      <c r="T56" s="22"/>
    </row>
    <row r="57" spans="1:20">
      <c r="A57" s="22" t="s">
        <v>455</v>
      </c>
      <c r="B57" s="21"/>
      <c r="C57" s="21">
        <f t="shared" si="30"/>
        <v>-0.35548172757475083</v>
      </c>
      <c r="D57" s="21">
        <f t="shared" si="30"/>
        <v>-0.26804123711340205</v>
      </c>
      <c r="E57" s="21">
        <f t="shared" si="31"/>
        <v>-0.5</v>
      </c>
      <c r="F57" s="21">
        <f t="shared" si="31"/>
        <v>2.4507042253521125</v>
      </c>
      <c r="G57" s="21">
        <f t="shared" si="31"/>
        <v>-0.24081632653061225</v>
      </c>
      <c r="H57" s="21">
        <f t="shared" si="31"/>
        <v>-0.27419354838709675</v>
      </c>
      <c r="I57" s="21">
        <f t="shared" si="31"/>
        <v>-0.35555555555555557</v>
      </c>
      <c r="J57" s="21"/>
      <c r="K57" s="21"/>
      <c r="L57" s="22" t="s">
        <v>442</v>
      </c>
      <c r="M57" s="21"/>
      <c r="N57" s="21"/>
      <c r="O57" s="21"/>
      <c r="P57" s="21"/>
      <c r="Q57" s="22"/>
      <c r="R57" s="22"/>
      <c r="S57" s="22"/>
      <c r="T57" s="22"/>
    </row>
    <row r="58" spans="1:20">
      <c r="A58" s="22" t="s">
        <v>456</v>
      </c>
      <c r="B58" s="21"/>
      <c r="C58" s="21">
        <f t="shared" si="30"/>
        <v>-2.7397260273972601E-2</v>
      </c>
      <c r="D58" s="21">
        <f t="shared" si="30"/>
        <v>-0.57746478873239437</v>
      </c>
      <c r="E58" s="21">
        <f t="shared" si="31"/>
        <v>0.85</v>
      </c>
      <c r="F58" s="21">
        <f t="shared" si="31"/>
        <v>0.14414414414414414</v>
      </c>
      <c r="G58" s="21">
        <f t="shared" si="31"/>
        <v>0.14173228346456693</v>
      </c>
      <c r="H58" s="21">
        <f t="shared" si="31"/>
        <v>-0.4689655172413793</v>
      </c>
      <c r="I58" s="21">
        <f t="shared" si="31"/>
        <v>0.55844155844155841</v>
      </c>
      <c r="J58" s="21"/>
      <c r="K58" s="21"/>
      <c r="L58" s="22" t="s">
        <v>442</v>
      </c>
      <c r="M58" s="21"/>
      <c r="N58" s="21"/>
      <c r="O58" s="21"/>
      <c r="P58" s="21"/>
      <c r="Q58" s="22"/>
      <c r="R58" s="22"/>
      <c r="S58" s="22"/>
      <c r="T58" s="22"/>
    </row>
    <row r="59" spans="1:20">
      <c r="A59" s="22"/>
      <c r="B59" s="19"/>
      <c r="C59" s="19"/>
      <c r="D59" s="19"/>
      <c r="E59" s="19"/>
      <c r="F59" s="19"/>
      <c r="G59" s="19"/>
      <c r="H59" s="19"/>
      <c r="I59" s="19"/>
      <c r="J59" s="19"/>
      <c r="K59" s="19"/>
      <c r="L59" s="22" t="s">
        <v>442</v>
      </c>
      <c r="M59" s="22"/>
      <c r="N59" s="21"/>
      <c r="O59" s="21"/>
      <c r="P59" s="19"/>
      <c r="Q59" s="19"/>
      <c r="R59" s="19"/>
      <c r="S59" s="19"/>
      <c r="T59" s="19"/>
    </row>
    <row r="60" spans="1:20" s="10" customFormat="1">
      <c r="A60" s="23" t="s">
        <v>339</v>
      </c>
      <c r="B60" s="23">
        <f t="shared" ref="B60" si="32">+SUM(B61:B64)</f>
        <v>2695</v>
      </c>
      <c r="C60" s="23">
        <f t="shared" ref="C60" si="33">+SUM(C61:C64)</f>
        <v>4264</v>
      </c>
      <c r="D60" s="23">
        <f t="shared" ref="D60" si="34">+SUM(D61:D64)</f>
        <v>878</v>
      </c>
      <c r="E60" s="23">
        <f t="shared" ref="E60" si="35">+SUM(E61:E64)</f>
        <v>1635</v>
      </c>
      <c r="F60" s="23">
        <f t="shared" ref="F60" si="36">+SUM(F61:F64)</f>
        <v>2751</v>
      </c>
      <c r="G60" s="23">
        <f t="shared" ref="G60:H60" si="37">+SUM(G61:G64)</f>
        <v>4331</v>
      </c>
      <c r="H60" s="23">
        <f t="shared" si="37"/>
        <v>691</v>
      </c>
      <c r="I60" s="23">
        <f t="shared" ref="I60:J60" si="38">+SUM(I61:I64)</f>
        <v>1772</v>
      </c>
      <c r="J60" s="23">
        <f t="shared" si="38"/>
        <v>0</v>
      </c>
      <c r="K60" s="23">
        <f t="shared" ref="K60" si="39">+SUM(K61:K64)</f>
        <v>0</v>
      </c>
      <c r="L60" s="22" t="s">
        <v>442</v>
      </c>
      <c r="M60" s="23">
        <f>+SUM(M61:M64)</f>
        <v>8402</v>
      </c>
      <c r="N60" s="23">
        <f t="shared" ref="N60:P60" si="40">+SUM(N61:N64)</f>
        <v>8979</v>
      </c>
      <c r="O60" s="23">
        <f t="shared" si="40"/>
        <v>9472</v>
      </c>
      <c r="P60" s="23">
        <f t="shared" si="40"/>
        <v>9545</v>
      </c>
      <c r="Q60" s="20"/>
      <c r="R60" s="20"/>
      <c r="S60" s="20"/>
      <c r="T60" s="20"/>
    </row>
    <row r="61" spans="1:20" s="10" customFormat="1">
      <c r="A61" s="20" t="s">
        <v>357</v>
      </c>
      <c r="B61" s="20">
        <v>1323</v>
      </c>
      <c r="C61" s="20">
        <v>3696</v>
      </c>
      <c r="D61" s="20">
        <v>173</v>
      </c>
      <c r="E61" s="20">
        <f>+O61-SUM(B61:D61)</f>
        <v>576</v>
      </c>
      <c r="F61" s="20">
        <v>1471</v>
      </c>
      <c r="G61" s="20">
        <v>3753</v>
      </c>
      <c r="H61" s="20">
        <v>170</v>
      </c>
      <c r="I61" s="20">
        <f t="shared" ref="I61:I64" si="41">+P61-SUM(F61:H61)</f>
        <v>639</v>
      </c>
      <c r="J61" s="20"/>
      <c r="K61" s="20"/>
      <c r="L61" s="22" t="s">
        <v>442</v>
      </c>
      <c r="M61" s="20">
        <v>5004</v>
      </c>
      <c r="N61" s="20">
        <v>5178</v>
      </c>
      <c r="O61" s="20">
        <v>5768</v>
      </c>
      <c r="P61" s="20">
        <v>6033</v>
      </c>
      <c r="Q61" s="20"/>
      <c r="R61" s="20"/>
      <c r="S61" s="20"/>
      <c r="T61" s="20"/>
    </row>
    <row r="62" spans="1:20" s="10" customFormat="1">
      <c r="A62" s="20" t="s">
        <v>358</v>
      </c>
      <c r="B62" s="20">
        <v>1012</v>
      </c>
      <c r="C62" s="20">
        <v>231</v>
      </c>
      <c r="D62" s="20">
        <v>198</v>
      </c>
      <c r="E62" s="20">
        <f>+O62-SUM(B62:D62)</f>
        <v>181</v>
      </c>
      <c r="F62" s="20">
        <v>918</v>
      </c>
      <c r="G62" s="20">
        <v>251</v>
      </c>
      <c r="H62" s="20">
        <v>196</v>
      </c>
      <c r="I62" s="20">
        <f t="shared" si="41"/>
        <v>216</v>
      </c>
      <c r="J62" s="20"/>
      <c r="K62" s="20"/>
      <c r="L62" s="22" t="s">
        <v>442</v>
      </c>
      <c r="M62" s="20">
        <v>1599</v>
      </c>
      <c r="N62" s="20">
        <v>1609</v>
      </c>
      <c r="O62" s="20">
        <v>1622</v>
      </c>
      <c r="P62" s="20">
        <v>1581</v>
      </c>
      <c r="Q62" s="20"/>
      <c r="R62" s="20"/>
      <c r="S62" s="20"/>
      <c r="T62" s="20"/>
    </row>
    <row r="63" spans="1:20" s="10" customFormat="1">
      <c r="A63" s="20" t="s">
        <v>359</v>
      </c>
      <c r="B63" s="20">
        <v>259</v>
      </c>
      <c r="C63" s="20">
        <v>208</v>
      </c>
      <c r="D63" s="20">
        <v>380</v>
      </c>
      <c r="E63" s="20">
        <f>+O63-SUM(B63:D63)</f>
        <v>790</v>
      </c>
      <c r="F63" s="20">
        <v>271</v>
      </c>
      <c r="G63" s="20">
        <v>207</v>
      </c>
      <c r="H63" s="20">
        <v>218</v>
      </c>
      <c r="I63" s="20">
        <f t="shared" si="41"/>
        <v>827</v>
      </c>
      <c r="J63" s="20"/>
      <c r="K63" s="20"/>
      <c r="L63" s="22" t="s">
        <v>442</v>
      </c>
      <c r="M63" s="20">
        <v>1420</v>
      </c>
      <c r="N63" s="20">
        <v>1758</v>
      </c>
      <c r="O63" s="20">
        <v>1637</v>
      </c>
      <c r="P63" s="20">
        <v>1523</v>
      </c>
      <c r="Q63" s="20"/>
      <c r="R63" s="20"/>
      <c r="S63" s="20"/>
      <c r="T63" s="20"/>
    </row>
    <row r="64" spans="1:20" s="10" customFormat="1">
      <c r="A64" s="20" t="s">
        <v>360</v>
      </c>
      <c r="B64" s="20">
        <v>101</v>
      </c>
      <c r="C64" s="20">
        <v>129</v>
      </c>
      <c r="D64" s="20">
        <v>127</v>
      </c>
      <c r="E64" s="20">
        <f>+O64-SUM(B64:D64)</f>
        <v>88</v>
      </c>
      <c r="F64" s="20">
        <v>91</v>
      </c>
      <c r="G64" s="20">
        <v>120</v>
      </c>
      <c r="H64" s="20">
        <v>107</v>
      </c>
      <c r="I64" s="20">
        <f t="shared" si="41"/>
        <v>90</v>
      </c>
      <c r="J64" s="20"/>
      <c r="K64" s="20"/>
      <c r="L64" s="22" t="s">
        <v>442</v>
      </c>
      <c r="M64" s="20">
        <v>379</v>
      </c>
      <c r="N64" s="20">
        <v>434</v>
      </c>
      <c r="O64" s="20">
        <v>445</v>
      </c>
      <c r="P64" s="20">
        <v>408</v>
      </c>
      <c r="Q64" s="20"/>
      <c r="R64" s="20"/>
      <c r="S64" s="20"/>
      <c r="T64" s="20"/>
    </row>
    <row r="65" spans="1:20">
      <c r="A65" s="22"/>
      <c r="B65" s="19"/>
      <c r="C65" s="19"/>
      <c r="D65" s="19"/>
      <c r="E65" s="19"/>
      <c r="F65" s="19"/>
      <c r="G65" s="19"/>
      <c r="H65" s="19"/>
      <c r="I65" s="19"/>
      <c r="J65" s="19"/>
      <c r="K65" s="19"/>
      <c r="L65" s="22" t="s">
        <v>442</v>
      </c>
      <c r="M65" s="22"/>
      <c r="N65" s="21"/>
      <c r="O65" s="21"/>
      <c r="P65" s="19"/>
      <c r="Q65" s="19"/>
      <c r="R65" s="19"/>
      <c r="S65" s="19"/>
      <c r="T65" s="19"/>
    </row>
    <row r="66" spans="1:20">
      <c r="A66" s="22" t="s">
        <v>338</v>
      </c>
      <c r="B66" s="21"/>
      <c r="C66" s="21"/>
      <c r="D66" s="21"/>
      <c r="E66" s="21"/>
      <c r="F66" s="21">
        <f>+(F60-B60)/B60</f>
        <v>2.0779220779220779E-2</v>
      </c>
      <c r="G66" s="21">
        <f>+(G60-C60)/C60</f>
        <v>1.571294559099437E-2</v>
      </c>
      <c r="H66" s="21">
        <f>+(H60-D60)/D60</f>
        <v>-0.21298405466970388</v>
      </c>
      <c r="I66" s="21">
        <f>+(I60-E60)/E60</f>
        <v>8.3792048929663604E-2</v>
      </c>
      <c r="J66" s="21"/>
      <c r="K66" s="21"/>
      <c r="L66" s="22" t="s">
        <v>442</v>
      </c>
      <c r="M66" s="21"/>
      <c r="N66" s="21">
        <f>+(N60-M60)/M60</f>
        <v>6.867412520828374E-2</v>
      </c>
      <c r="O66" s="21">
        <f>+(O60-N60)/N60</f>
        <v>5.4905891524668668E-2</v>
      </c>
      <c r="P66" s="21">
        <f>+(P60-O60)/O60</f>
        <v>7.7069256756756759E-3</v>
      </c>
      <c r="Q66" s="19"/>
      <c r="R66" s="19"/>
      <c r="S66" s="19"/>
      <c r="T66" s="19"/>
    </row>
    <row r="67" spans="1:20">
      <c r="A67" s="22" t="s">
        <v>363</v>
      </c>
      <c r="B67" s="21"/>
      <c r="C67" s="21"/>
      <c r="D67" s="21"/>
      <c r="E67" s="21"/>
      <c r="F67" s="21">
        <f t="shared" ref="F67:I70" si="42">+(F61-B61)/B61</f>
        <v>0.11186696900982615</v>
      </c>
      <c r="G67" s="21">
        <f t="shared" si="42"/>
        <v>1.5422077922077922E-2</v>
      </c>
      <c r="H67" s="21">
        <f t="shared" si="42"/>
        <v>-1.7341040462427744E-2</v>
      </c>
      <c r="I67" s="21">
        <f t="shared" si="42"/>
        <v>0.109375</v>
      </c>
      <c r="J67" s="21"/>
      <c r="K67" s="21"/>
      <c r="L67" s="22" t="s">
        <v>442</v>
      </c>
      <c r="M67" s="21"/>
      <c r="N67" s="21">
        <f t="shared" ref="N67:P70" si="43">+(N61-M61)/M61</f>
        <v>3.4772182254196642E-2</v>
      </c>
      <c r="O67" s="21">
        <f t="shared" si="43"/>
        <v>0.11394360757049053</v>
      </c>
      <c r="P67" s="21">
        <f t="shared" si="43"/>
        <v>4.5943134535367545E-2</v>
      </c>
      <c r="Q67" s="19"/>
      <c r="R67" s="19"/>
      <c r="S67" s="19"/>
      <c r="T67" s="19"/>
    </row>
    <row r="68" spans="1:20">
      <c r="A68" s="22" t="s">
        <v>364</v>
      </c>
      <c r="B68" s="21"/>
      <c r="C68" s="21"/>
      <c r="D68" s="21"/>
      <c r="E68" s="21"/>
      <c r="F68" s="21">
        <f t="shared" si="42"/>
        <v>-9.2885375494071151E-2</v>
      </c>
      <c r="G68" s="21">
        <f t="shared" si="42"/>
        <v>8.6580086580086577E-2</v>
      </c>
      <c r="H68" s="21">
        <f t="shared" si="42"/>
        <v>-1.0101010101010102E-2</v>
      </c>
      <c r="I68" s="21">
        <f t="shared" si="42"/>
        <v>0.19337016574585636</v>
      </c>
      <c r="J68" s="21"/>
      <c r="K68" s="21"/>
      <c r="L68" s="22" t="s">
        <v>442</v>
      </c>
      <c r="M68" s="21"/>
      <c r="N68" s="21">
        <f t="shared" ref="N68:O68" si="44">+(N62-M62)/M62</f>
        <v>6.2539086929330832E-3</v>
      </c>
      <c r="O68" s="21">
        <f t="shared" si="44"/>
        <v>8.0795525170913613E-3</v>
      </c>
      <c r="P68" s="21">
        <f t="shared" si="43"/>
        <v>-2.5277435265104811E-2</v>
      </c>
      <c r="Q68" s="19"/>
      <c r="R68" s="19"/>
      <c r="S68" s="19"/>
      <c r="T68" s="19"/>
    </row>
    <row r="69" spans="1:20">
      <c r="A69" s="22" t="s">
        <v>365</v>
      </c>
      <c r="B69" s="21"/>
      <c r="C69" s="21"/>
      <c r="D69" s="21"/>
      <c r="E69" s="21"/>
      <c r="F69" s="21">
        <f t="shared" si="42"/>
        <v>4.633204633204633E-2</v>
      </c>
      <c r="G69" s="21">
        <f t="shared" si="42"/>
        <v>-4.807692307692308E-3</v>
      </c>
      <c r="H69" s="21">
        <f t="shared" si="42"/>
        <v>-0.4263157894736842</v>
      </c>
      <c r="I69" s="21">
        <f t="shared" si="42"/>
        <v>4.6835443037974683E-2</v>
      </c>
      <c r="J69" s="21"/>
      <c r="K69" s="21"/>
      <c r="L69" s="22" t="s">
        <v>442</v>
      </c>
      <c r="M69" s="21"/>
      <c r="N69" s="21">
        <f t="shared" ref="N69:O69" si="45">+(N63-M63)/M63</f>
        <v>0.2380281690140845</v>
      </c>
      <c r="O69" s="21">
        <f t="shared" si="45"/>
        <v>-6.882821387940842E-2</v>
      </c>
      <c r="P69" s="21">
        <f t="shared" si="43"/>
        <v>-6.9639584605986557E-2</v>
      </c>
      <c r="Q69" s="19"/>
      <c r="R69" s="19"/>
      <c r="S69" s="19"/>
      <c r="T69" s="19"/>
    </row>
    <row r="70" spans="1:20">
      <c r="A70" s="22" t="s">
        <v>366</v>
      </c>
      <c r="B70" s="21"/>
      <c r="C70" s="21"/>
      <c r="D70" s="21"/>
      <c r="E70" s="21"/>
      <c r="F70" s="21">
        <f t="shared" si="42"/>
        <v>-9.9009900990099015E-2</v>
      </c>
      <c r="G70" s="21">
        <f t="shared" si="42"/>
        <v>-6.9767441860465115E-2</v>
      </c>
      <c r="H70" s="21">
        <f t="shared" si="42"/>
        <v>-0.15748031496062992</v>
      </c>
      <c r="I70" s="21">
        <f t="shared" si="42"/>
        <v>2.2727272727272728E-2</v>
      </c>
      <c r="J70" s="21"/>
      <c r="K70" s="21"/>
      <c r="L70" s="22" t="s">
        <v>442</v>
      </c>
      <c r="M70" s="21"/>
      <c r="N70" s="21">
        <f t="shared" ref="N70:O70" si="46">+(N64-M64)/M64</f>
        <v>0.14511873350923482</v>
      </c>
      <c r="O70" s="21">
        <f t="shared" si="46"/>
        <v>2.5345622119815669E-2</v>
      </c>
      <c r="P70" s="21">
        <f t="shared" si="43"/>
        <v>-8.3146067415730343E-2</v>
      </c>
      <c r="Q70" s="19"/>
      <c r="R70" s="19"/>
      <c r="S70" s="19"/>
      <c r="T70" s="19"/>
    </row>
    <row r="71" spans="1:20">
      <c r="A71" s="22"/>
      <c r="B71" s="21"/>
      <c r="C71" s="21"/>
      <c r="D71" s="21"/>
      <c r="E71" s="21"/>
      <c r="F71" s="21"/>
      <c r="G71" s="21"/>
      <c r="H71" s="21"/>
      <c r="I71" s="21"/>
      <c r="J71" s="21"/>
      <c r="K71" s="21"/>
      <c r="L71" s="22" t="s">
        <v>442</v>
      </c>
      <c r="M71" s="21"/>
      <c r="N71" s="21"/>
      <c r="O71" s="21"/>
      <c r="P71" s="21"/>
      <c r="Q71" s="19"/>
      <c r="R71" s="19"/>
      <c r="S71" s="19"/>
      <c r="T71" s="19"/>
    </row>
    <row r="72" spans="1:20">
      <c r="A72" s="22" t="s">
        <v>457</v>
      </c>
      <c r="B72" s="21"/>
      <c r="C72" s="21">
        <f t="shared" ref="C72:I72" si="47">+(C60-B60)/B60</f>
        <v>0.58218923933209643</v>
      </c>
      <c r="D72" s="21">
        <f t="shared" si="47"/>
        <v>-0.79409005628517826</v>
      </c>
      <c r="E72" s="21">
        <f t="shared" si="47"/>
        <v>0.86218678815489747</v>
      </c>
      <c r="F72" s="21">
        <f t="shared" si="47"/>
        <v>0.68256880733944958</v>
      </c>
      <c r="G72" s="21">
        <f t="shared" si="47"/>
        <v>0.57433660487095606</v>
      </c>
      <c r="H72" s="21">
        <f t="shared" si="47"/>
        <v>-0.84045255137381669</v>
      </c>
      <c r="I72" s="21">
        <f t="shared" si="47"/>
        <v>1.5643994211287988</v>
      </c>
      <c r="J72" s="21"/>
      <c r="K72" s="21"/>
      <c r="L72" s="22" t="s">
        <v>442</v>
      </c>
      <c r="M72" s="21"/>
      <c r="N72" s="21" t="e">
        <f>+(N66-M66)/M66</f>
        <v>#DIV/0!</v>
      </c>
      <c r="O72" s="21">
        <f>+(O66-N66)/N66</f>
        <v>-0.20048648077943473</v>
      </c>
      <c r="P72" s="21">
        <f>+(P66-O66)/O66</f>
        <v>-0.85963390336330237</v>
      </c>
      <c r="Q72" s="19"/>
      <c r="R72" s="19"/>
      <c r="S72" s="19"/>
      <c r="T72" s="19"/>
    </row>
    <row r="73" spans="1:20">
      <c r="A73" s="22" t="s">
        <v>458</v>
      </c>
      <c r="B73" s="21"/>
      <c r="C73" s="21">
        <f t="shared" ref="C73:I76" si="48">+(C61-B61)/B61</f>
        <v>1.7936507936507937</v>
      </c>
      <c r="D73" s="21">
        <f t="shared" si="48"/>
        <v>-0.95319264069264065</v>
      </c>
      <c r="E73" s="21">
        <f t="shared" si="48"/>
        <v>2.3294797687861273</v>
      </c>
      <c r="F73" s="21">
        <f t="shared" si="48"/>
        <v>1.5538194444444444</v>
      </c>
      <c r="G73" s="21">
        <f t="shared" si="48"/>
        <v>1.5513256288239292</v>
      </c>
      <c r="H73" s="21">
        <f t="shared" si="48"/>
        <v>-0.95470290434319216</v>
      </c>
      <c r="I73" s="21">
        <f t="shared" si="48"/>
        <v>2.7588235294117647</v>
      </c>
      <c r="J73" s="21"/>
      <c r="K73" s="21"/>
      <c r="L73" s="22" t="s">
        <v>442</v>
      </c>
      <c r="M73" s="21"/>
      <c r="N73" s="21" t="e">
        <f t="shared" ref="N73:N76" si="49">+(N67-M67)/M67</f>
        <v>#DIV/0!</v>
      </c>
      <c r="O73" s="21">
        <f t="shared" ref="O73:O76" si="50">+(O67-N67)/N67</f>
        <v>2.2768609901306589</v>
      </c>
      <c r="P73" s="21">
        <f t="shared" ref="P73:P76" si="51">+(P67-O67)/O67</f>
        <v>-0.5967905921624862</v>
      </c>
      <c r="Q73" s="19"/>
      <c r="R73" s="19"/>
      <c r="S73" s="19"/>
      <c r="T73" s="19"/>
    </row>
    <row r="74" spans="1:20">
      <c r="A74" s="22" t="s">
        <v>459</v>
      </c>
      <c r="B74" s="21"/>
      <c r="C74" s="21">
        <f t="shared" si="48"/>
        <v>-0.77173913043478259</v>
      </c>
      <c r="D74" s="21">
        <f t="shared" si="48"/>
        <v>-0.14285714285714285</v>
      </c>
      <c r="E74" s="21">
        <f t="shared" si="48"/>
        <v>-8.5858585858585856E-2</v>
      </c>
      <c r="F74" s="21">
        <f t="shared" si="48"/>
        <v>4.0718232044198892</v>
      </c>
      <c r="G74" s="21">
        <f t="shared" si="48"/>
        <v>-0.7265795206971678</v>
      </c>
      <c r="H74" s="21">
        <f t="shared" si="48"/>
        <v>-0.21912350597609562</v>
      </c>
      <c r="I74" s="21">
        <f t="shared" si="48"/>
        <v>0.10204081632653061</v>
      </c>
      <c r="J74" s="21"/>
      <c r="K74" s="21"/>
      <c r="L74" s="22" t="s">
        <v>442</v>
      </c>
      <c r="M74" s="21"/>
      <c r="N74" s="21" t="e">
        <f t="shared" si="49"/>
        <v>#DIV/0!</v>
      </c>
      <c r="O74" s="21">
        <f t="shared" si="50"/>
        <v>0.29192044748290868</v>
      </c>
      <c r="P74" s="21">
        <f t="shared" si="51"/>
        <v>-4.1285687185810493</v>
      </c>
      <c r="Q74" s="19"/>
      <c r="R74" s="19"/>
      <c r="S74" s="19"/>
      <c r="T74" s="19"/>
    </row>
    <row r="75" spans="1:20">
      <c r="A75" s="22" t="s">
        <v>460</v>
      </c>
      <c r="B75" s="21"/>
      <c r="C75" s="21">
        <f t="shared" si="48"/>
        <v>-0.19691119691119691</v>
      </c>
      <c r="D75" s="21">
        <f t="shared" si="48"/>
        <v>0.82692307692307687</v>
      </c>
      <c r="E75" s="21">
        <f t="shared" si="48"/>
        <v>1.0789473684210527</v>
      </c>
      <c r="F75" s="21">
        <f t="shared" si="48"/>
        <v>-0.65696202531645564</v>
      </c>
      <c r="G75" s="21">
        <f t="shared" si="48"/>
        <v>-0.23616236162361623</v>
      </c>
      <c r="H75" s="21">
        <f t="shared" si="48"/>
        <v>5.3140096618357488E-2</v>
      </c>
      <c r="I75" s="21">
        <f t="shared" si="48"/>
        <v>2.7935779816513762</v>
      </c>
      <c r="J75" s="21"/>
      <c r="K75" s="21"/>
      <c r="L75" s="22" t="s">
        <v>442</v>
      </c>
      <c r="M75" s="21"/>
      <c r="N75" s="21" t="e">
        <f t="shared" si="49"/>
        <v>#DIV/0!</v>
      </c>
      <c r="O75" s="21">
        <f t="shared" si="50"/>
        <v>-1.289159951801065</v>
      </c>
      <c r="P75" s="21">
        <f t="shared" si="51"/>
        <v>1.1788344936564993E-2</v>
      </c>
      <c r="Q75" s="19"/>
      <c r="R75" s="19"/>
      <c r="S75" s="19"/>
      <c r="T75" s="19"/>
    </row>
    <row r="76" spans="1:20">
      <c r="A76" s="22" t="s">
        <v>461</v>
      </c>
      <c r="B76" s="21"/>
      <c r="C76" s="21">
        <f t="shared" si="48"/>
        <v>0.27722772277227725</v>
      </c>
      <c r="D76" s="21">
        <f t="shared" si="48"/>
        <v>-1.5503875968992248E-2</v>
      </c>
      <c r="E76" s="21">
        <f t="shared" si="48"/>
        <v>-0.30708661417322836</v>
      </c>
      <c r="F76" s="21">
        <f t="shared" si="48"/>
        <v>3.4090909090909088E-2</v>
      </c>
      <c r="G76" s="21">
        <f t="shared" si="48"/>
        <v>0.31868131868131866</v>
      </c>
      <c r="H76" s="21">
        <f t="shared" si="48"/>
        <v>-0.10833333333333334</v>
      </c>
      <c r="I76" s="21">
        <f t="shared" si="48"/>
        <v>-0.15887850467289719</v>
      </c>
      <c r="J76" s="21"/>
      <c r="K76" s="21"/>
      <c r="L76" s="22" t="s">
        <v>442</v>
      </c>
      <c r="M76" s="21"/>
      <c r="N76" s="21" t="e">
        <f t="shared" si="49"/>
        <v>#DIV/0!</v>
      </c>
      <c r="O76" s="21">
        <f t="shared" si="50"/>
        <v>-0.82534562211981566</v>
      </c>
      <c r="P76" s="21">
        <f t="shared" si="51"/>
        <v>-4.2804902962206333</v>
      </c>
      <c r="Q76" s="19"/>
      <c r="R76" s="19"/>
      <c r="S76" s="19"/>
      <c r="T76" s="19"/>
    </row>
    <row r="77" spans="1:20">
      <c r="A77" s="22"/>
      <c r="B77" s="21"/>
      <c r="C77" s="21"/>
      <c r="D77" s="21"/>
      <c r="E77" s="21"/>
      <c r="F77" s="21"/>
      <c r="G77" s="21"/>
      <c r="H77" s="21"/>
      <c r="I77" s="21"/>
      <c r="J77" s="21"/>
      <c r="K77" s="21"/>
      <c r="L77" s="22" t="s">
        <v>442</v>
      </c>
      <c r="M77" s="21"/>
      <c r="N77" s="21"/>
      <c r="O77" s="21"/>
      <c r="P77" s="21"/>
      <c r="Q77" s="19"/>
      <c r="R77" s="19"/>
      <c r="S77" s="19"/>
      <c r="T77" s="19"/>
    </row>
    <row r="78" spans="1:20">
      <c r="A78" s="22" t="s">
        <v>233</v>
      </c>
      <c r="B78" s="19"/>
      <c r="C78" s="19"/>
      <c r="D78" s="19"/>
      <c r="E78" s="19"/>
      <c r="F78" s="19"/>
      <c r="G78" s="19"/>
      <c r="H78" s="19"/>
      <c r="I78" s="19"/>
      <c r="J78" s="19"/>
      <c r="K78" s="19"/>
      <c r="L78" s="22" t="s">
        <v>442</v>
      </c>
      <c r="M78" s="19"/>
      <c r="N78" s="19"/>
      <c r="O78" s="19"/>
      <c r="P78" s="19"/>
      <c r="Q78" s="19"/>
      <c r="R78" s="19"/>
      <c r="S78" s="19"/>
      <c r="T78" s="19"/>
    </row>
    <row r="79" spans="1:20" s="24" customFormat="1">
      <c r="A79" s="26" t="s">
        <v>234</v>
      </c>
      <c r="B79" s="26"/>
      <c r="C79" s="26"/>
      <c r="D79" s="26"/>
      <c r="E79" s="26"/>
      <c r="F79" s="26">
        <v>0.06</v>
      </c>
      <c r="G79" s="26"/>
      <c r="H79" s="26">
        <v>-0.05</v>
      </c>
      <c r="I79" s="26"/>
      <c r="J79" s="26"/>
      <c r="K79" s="26"/>
      <c r="L79" s="22" t="s">
        <v>442</v>
      </c>
      <c r="M79" s="26"/>
      <c r="N79" s="26">
        <v>0.1</v>
      </c>
      <c r="O79" s="26">
        <v>7.0000000000000007E-2</v>
      </c>
      <c r="P79" s="26">
        <v>0.03</v>
      </c>
      <c r="Q79" s="26"/>
      <c r="R79" s="26"/>
      <c r="S79" s="26"/>
      <c r="T79" s="26"/>
    </row>
    <row r="80" spans="1:20" s="24" customFormat="1">
      <c r="A80" s="26" t="s">
        <v>235</v>
      </c>
      <c r="B80" s="26"/>
      <c r="C80" s="26"/>
      <c r="D80" s="26"/>
      <c r="E80" s="26"/>
      <c r="F80" s="26">
        <v>-0.01</v>
      </c>
      <c r="G80" s="26"/>
      <c r="H80" s="26">
        <v>-0.12</v>
      </c>
      <c r="I80" s="26"/>
      <c r="J80" s="26"/>
      <c r="K80" s="26"/>
      <c r="L80" s="22" t="s">
        <v>442</v>
      </c>
      <c r="M80" s="26"/>
      <c r="N80" s="26">
        <v>0.05</v>
      </c>
      <c r="O80" s="26">
        <v>-0.1</v>
      </c>
      <c r="P80" s="26">
        <v>0.01</v>
      </c>
      <c r="Q80" s="26"/>
      <c r="R80" s="26"/>
      <c r="S80" s="26"/>
      <c r="T80" s="26"/>
    </row>
    <row r="81" spans="1:20" s="24" customFormat="1">
      <c r="A81" s="26" t="s">
        <v>236</v>
      </c>
      <c r="B81" s="26"/>
      <c r="C81" s="26"/>
      <c r="D81" s="26"/>
      <c r="E81" s="26"/>
      <c r="F81" s="26">
        <v>-0.02</v>
      </c>
      <c r="G81" s="26"/>
      <c r="H81" s="26">
        <v>-0.04</v>
      </c>
      <c r="I81" s="26"/>
      <c r="J81" s="26"/>
      <c r="K81" s="26"/>
      <c r="L81" s="22" t="s">
        <v>442</v>
      </c>
      <c r="M81" s="26"/>
      <c r="N81" s="26">
        <v>-0.03</v>
      </c>
      <c r="O81" s="26">
        <v>-0.01</v>
      </c>
      <c r="P81" s="26">
        <v>-0.02</v>
      </c>
      <c r="Q81" s="26"/>
      <c r="R81" s="26"/>
      <c r="S81" s="26"/>
      <c r="T81" s="26"/>
    </row>
    <row r="82" spans="1:20" s="24" customFormat="1">
      <c r="A82" s="26" t="s">
        <v>237</v>
      </c>
      <c r="B82" s="26"/>
      <c r="C82" s="26"/>
      <c r="D82" s="26"/>
      <c r="E82" s="26"/>
      <c r="F82" s="26">
        <v>-0.01</v>
      </c>
      <c r="G82" s="26"/>
      <c r="H82" s="26">
        <v>0</v>
      </c>
      <c r="I82" s="26"/>
      <c r="J82" s="26"/>
      <c r="K82" s="26"/>
      <c r="L82" s="22" t="s">
        <v>442</v>
      </c>
      <c r="M82" s="26"/>
      <c r="N82" s="26">
        <v>-0.01</v>
      </c>
      <c r="O82" s="26">
        <v>0.03</v>
      </c>
      <c r="P82" s="26">
        <v>-0.01</v>
      </c>
      <c r="Q82" s="26"/>
      <c r="R82" s="26"/>
      <c r="S82" s="26"/>
      <c r="T82" s="26"/>
    </row>
    <row r="83" spans="1:20">
      <c r="A83" s="3"/>
      <c r="B83" s="50"/>
      <c r="C83" s="50"/>
      <c r="D83" s="50"/>
      <c r="E83" s="50"/>
      <c r="F83" s="50"/>
      <c r="G83" s="50"/>
      <c r="H83" s="50"/>
      <c r="I83" s="50"/>
      <c r="J83" s="50"/>
      <c r="K83" s="50"/>
      <c r="L83" s="3" t="s">
        <v>442</v>
      </c>
      <c r="M83" s="50"/>
      <c r="N83" s="50"/>
      <c r="O83" s="50"/>
      <c r="P83" s="50"/>
    </row>
    <row r="84" spans="1:20">
      <c r="A84" s="3"/>
      <c r="B84" s="50"/>
      <c r="C84" s="50"/>
      <c r="D84" s="50"/>
      <c r="E84" s="50"/>
      <c r="F84" s="50"/>
      <c r="G84" s="50"/>
      <c r="H84" s="50"/>
      <c r="I84" s="50"/>
      <c r="J84" s="50"/>
      <c r="K84" s="50"/>
      <c r="L84" s="3" t="s">
        <v>442</v>
      </c>
      <c r="M84" s="50"/>
      <c r="N84" s="50"/>
      <c r="O84" s="50"/>
      <c r="P84" s="50"/>
    </row>
    <row r="85" spans="1:20" s="47" customFormat="1">
      <c r="A85" s="51"/>
      <c r="B85" s="51" t="str">
        <f t="shared" ref="B85:K85" si="52">+B12</f>
        <v>Q123</v>
      </c>
      <c r="C85" s="51" t="str">
        <f t="shared" si="52"/>
        <v>Q223</v>
      </c>
      <c r="D85" s="51" t="str">
        <f t="shared" si="52"/>
        <v>Q323</v>
      </c>
      <c r="E85" s="51" t="str">
        <f t="shared" si="52"/>
        <v>Q423</v>
      </c>
      <c r="F85" s="51" t="str">
        <f t="shared" si="52"/>
        <v>Q124</v>
      </c>
      <c r="G85" s="51" t="str">
        <f t="shared" si="52"/>
        <v>Q224</v>
      </c>
      <c r="H85" s="51" t="str">
        <f t="shared" si="52"/>
        <v>Q324</v>
      </c>
      <c r="I85" s="51" t="str">
        <f t="shared" si="52"/>
        <v>Q424</v>
      </c>
      <c r="J85" s="51" t="str">
        <f t="shared" si="52"/>
        <v>Q125</v>
      </c>
      <c r="K85" s="51" t="str">
        <f t="shared" si="52"/>
        <v>Q225</v>
      </c>
      <c r="L85" s="3" t="s">
        <v>442</v>
      </c>
      <c r="M85" s="51">
        <f>+M12</f>
        <v>2021</v>
      </c>
      <c r="N85" s="51">
        <f>+N12</f>
        <v>2022</v>
      </c>
      <c r="O85" s="51">
        <f>+O12</f>
        <v>2023</v>
      </c>
      <c r="P85" s="51">
        <f>+P12</f>
        <v>2024</v>
      </c>
      <c r="Q85" s="51"/>
      <c r="R85" s="51"/>
      <c r="S85" s="51"/>
      <c r="T85" s="51"/>
    </row>
    <row r="86" spans="1:20" s="47" customFormat="1">
      <c r="A86" s="49" t="s">
        <v>587</v>
      </c>
      <c r="B86" s="49"/>
      <c r="C86" s="49"/>
      <c r="D86" s="49"/>
      <c r="E86" s="49"/>
      <c r="F86" s="49"/>
      <c r="G86" s="49"/>
      <c r="H86" s="49"/>
      <c r="I86" s="49"/>
      <c r="J86" s="49"/>
      <c r="K86" s="49"/>
      <c r="L86" s="22" t="s">
        <v>442</v>
      </c>
      <c r="M86" s="49"/>
      <c r="N86" s="49">
        <v>8476</v>
      </c>
      <c r="O86" s="49">
        <v>7754</v>
      </c>
      <c r="P86" s="49">
        <v>7363</v>
      </c>
      <c r="Q86" s="49"/>
      <c r="R86" s="49"/>
      <c r="S86" s="49"/>
      <c r="T86" s="49"/>
    </row>
    <row r="87" spans="1:20" s="47" customFormat="1">
      <c r="A87" s="49" t="s">
        <v>588</v>
      </c>
      <c r="B87" s="49"/>
      <c r="C87" s="49"/>
      <c r="D87" s="49"/>
      <c r="E87" s="49"/>
      <c r="F87" s="49"/>
      <c r="G87" s="49"/>
      <c r="H87" s="49"/>
      <c r="I87" s="49"/>
      <c r="J87" s="49"/>
      <c r="K87" s="49"/>
      <c r="L87" s="22" t="s">
        <v>442</v>
      </c>
      <c r="M87" s="49"/>
      <c r="N87" s="49">
        <v>5454</v>
      </c>
      <c r="O87" s="49">
        <v>4913</v>
      </c>
      <c r="P87" s="49">
        <v>4636</v>
      </c>
      <c r="Q87" s="49"/>
      <c r="R87" s="49"/>
      <c r="S87" s="49"/>
      <c r="T87" s="49"/>
    </row>
    <row r="88" spans="1:20" s="47" customFormat="1">
      <c r="A88" s="49" t="s">
        <v>589</v>
      </c>
      <c r="B88" s="49"/>
      <c r="C88" s="49"/>
      <c r="D88" s="49"/>
      <c r="E88" s="49"/>
      <c r="F88" s="49"/>
      <c r="G88" s="49"/>
      <c r="H88" s="49"/>
      <c r="I88" s="49"/>
      <c r="J88" s="49"/>
      <c r="K88" s="49"/>
      <c r="L88" s="22" t="s">
        <v>442</v>
      </c>
      <c r="M88" s="49"/>
      <c r="N88" s="49">
        <f t="shared" ref="N88:O88" si="53">+N86-N87</f>
        <v>3022</v>
      </c>
      <c r="O88" s="49">
        <f t="shared" si="53"/>
        <v>2841</v>
      </c>
      <c r="P88" s="49">
        <f>+P86-P87</f>
        <v>2727</v>
      </c>
      <c r="Q88" s="49"/>
      <c r="R88" s="49"/>
      <c r="S88" s="49"/>
      <c r="T88" s="49"/>
    </row>
    <row r="89" spans="1:20" s="47" customFormat="1">
      <c r="A89" s="49" t="s">
        <v>590</v>
      </c>
      <c r="B89" s="49"/>
      <c r="C89" s="49"/>
      <c r="D89" s="49"/>
      <c r="E89" s="49"/>
      <c r="F89" s="49"/>
      <c r="G89" s="49"/>
      <c r="H89" s="49"/>
      <c r="I89" s="49"/>
      <c r="J89" s="49"/>
      <c r="K89" s="49"/>
      <c r="L89" s="22" t="s">
        <v>442</v>
      </c>
      <c r="M89" s="49"/>
      <c r="N89" s="49">
        <v>1338</v>
      </c>
      <c r="O89" s="49">
        <v>1467</v>
      </c>
      <c r="P89" s="49">
        <v>1455</v>
      </c>
      <c r="Q89" s="49"/>
      <c r="R89" s="49"/>
      <c r="S89" s="49"/>
      <c r="T89" s="49"/>
    </row>
    <row r="90" spans="1:20">
      <c r="A90" s="19" t="s">
        <v>356</v>
      </c>
      <c r="B90" s="19">
        <v>603</v>
      </c>
      <c r="C90" s="19"/>
      <c r="D90" s="19">
        <v>184</v>
      </c>
      <c r="E90" s="19"/>
      <c r="F90" s="19">
        <v>310</v>
      </c>
      <c r="G90" s="19"/>
      <c r="H90" s="19">
        <v>246</v>
      </c>
      <c r="I90" s="19"/>
      <c r="J90" s="19"/>
      <c r="K90" s="19"/>
      <c r="L90" s="22" t="s">
        <v>442</v>
      </c>
      <c r="M90" s="20">
        <v>1202</v>
      </c>
      <c r="N90" s="20">
        <v>1684</v>
      </c>
      <c r="O90" s="49">
        <f>+O88-O89</f>
        <v>1374</v>
      </c>
      <c r="P90" s="49">
        <f>+P88-P89</f>
        <v>1272</v>
      </c>
      <c r="Q90" s="19"/>
      <c r="R90" s="19"/>
      <c r="S90" s="19"/>
      <c r="T90" s="19"/>
    </row>
    <row r="91" spans="1:20" s="10" customFormat="1">
      <c r="A91" s="22" t="s">
        <v>355</v>
      </c>
      <c r="B91" s="23"/>
      <c r="C91" s="23"/>
      <c r="D91" s="23"/>
      <c r="E91" s="23"/>
      <c r="F91" s="21">
        <f>+(F90-B90)/B90</f>
        <v>-0.48590381426202323</v>
      </c>
      <c r="G91" s="23"/>
      <c r="H91" s="21">
        <f>+(H90-D90)/D90</f>
        <v>0.33695652173913043</v>
      </c>
      <c r="I91" s="23"/>
      <c r="J91" s="23"/>
      <c r="K91" s="23"/>
      <c r="L91" s="22" t="s">
        <v>442</v>
      </c>
      <c r="M91" s="23"/>
      <c r="N91" s="21">
        <f>+(N90-M90)/M90</f>
        <v>0.40099833610648916</v>
      </c>
      <c r="O91" s="21">
        <f>+(O90-N90)/N90</f>
        <v>-0.18408551068883611</v>
      </c>
      <c r="P91" s="21">
        <f>+(P90-O90)/O90</f>
        <v>-7.4235807860262015E-2</v>
      </c>
      <c r="Q91" s="23"/>
      <c r="R91" s="23"/>
      <c r="S91" s="23"/>
      <c r="T91" s="23"/>
    </row>
    <row r="92" spans="1:20" s="10" customFormat="1">
      <c r="A92" s="20" t="s">
        <v>435</v>
      </c>
      <c r="B92" s="20"/>
      <c r="C92" s="20"/>
      <c r="D92" s="20"/>
      <c r="E92" s="20"/>
      <c r="F92" s="20"/>
      <c r="G92" s="20"/>
      <c r="H92" s="20"/>
      <c r="I92" s="20"/>
      <c r="J92" s="20"/>
      <c r="K92" s="20"/>
      <c r="L92" s="22" t="s">
        <v>442</v>
      </c>
      <c r="M92" s="20">
        <v>377</v>
      </c>
      <c r="N92" s="20">
        <v>384</v>
      </c>
      <c r="O92" s="20">
        <v>397</v>
      </c>
      <c r="P92" s="20">
        <v>422</v>
      </c>
      <c r="Q92" s="20"/>
      <c r="R92" s="20"/>
      <c r="S92" s="20"/>
      <c r="T92" s="20"/>
    </row>
    <row r="93" spans="1:20" s="10" customFormat="1">
      <c r="A93" s="22" t="s">
        <v>434</v>
      </c>
      <c r="B93" s="23"/>
      <c r="C93" s="23"/>
      <c r="D93" s="23"/>
      <c r="E93" s="23"/>
      <c r="F93" s="23"/>
      <c r="G93" s="23"/>
      <c r="H93" s="23"/>
      <c r="I93" s="23"/>
      <c r="J93" s="23"/>
      <c r="K93" s="23"/>
      <c r="L93" s="22" t="s">
        <v>442</v>
      </c>
      <c r="M93" s="23"/>
      <c r="N93" s="21">
        <f>+(N92-M92)/M92</f>
        <v>1.8567639257294429E-2</v>
      </c>
      <c r="O93" s="21">
        <f>+(O92-N92)/N92</f>
        <v>3.3854166666666664E-2</v>
      </c>
      <c r="P93" s="21">
        <f>+(P92-O92)/O92</f>
        <v>6.2972292191435769E-2</v>
      </c>
      <c r="Q93" s="23"/>
      <c r="R93" s="23"/>
      <c r="S93" s="23"/>
      <c r="T93" s="23"/>
    </row>
    <row r="94" spans="1:20" s="10" customFormat="1">
      <c r="A94" s="20" t="s">
        <v>433</v>
      </c>
      <c r="B94" s="20"/>
      <c r="C94" s="20"/>
      <c r="D94" s="20">
        <v>15446</v>
      </c>
      <c r="E94" s="20"/>
      <c r="F94" s="20"/>
      <c r="G94" s="20"/>
      <c r="H94" s="20">
        <v>14892</v>
      </c>
      <c r="I94" s="20"/>
      <c r="J94" s="20"/>
      <c r="K94" s="20"/>
      <c r="L94" s="22" t="s">
        <v>442</v>
      </c>
      <c r="M94" s="20">
        <v>12428</v>
      </c>
      <c r="N94" s="20">
        <v>14097</v>
      </c>
      <c r="O94" s="20">
        <v>15004</v>
      </c>
      <c r="P94" s="20">
        <v>14241</v>
      </c>
      <c r="Q94" s="20"/>
      <c r="R94" s="20"/>
      <c r="S94" s="20"/>
      <c r="T94" s="20"/>
    </row>
    <row r="95" spans="1:20" s="10" customFormat="1">
      <c r="A95" s="22" t="s">
        <v>432</v>
      </c>
      <c r="B95" s="23"/>
      <c r="C95" s="23"/>
      <c r="D95" s="23"/>
      <c r="E95" s="23"/>
      <c r="F95" s="23"/>
      <c r="G95" s="23"/>
      <c r="H95" s="21">
        <f>+(H94-D94)/D94</f>
        <v>-3.5866891104493072E-2</v>
      </c>
      <c r="I95" s="23"/>
      <c r="J95" s="23"/>
      <c r="K95" s="23"/>
      <c r="L95" s="22" t="s">
        <v>442</v>
      </c>
      <c r="M95" s="23"/>
      <c r="N95" s="21">
        <f>+(N94-M94)/M94</f>
        <v>0.13429353073704539</v>
      </c>
      <c r="O95" s="21">
        <f>+(O94-N94)/N94</f>
        <v>6.4339930481662769E-2</v>
      </c>
      <c r="P95" s="21">
        <f>+(P94-O94)/O94</f>
        <v>-5.0853105838443081E-2</v>
      </c>
      <c r="Q95" s="23"/>
      <c r="R95" s="23"/>
      <c r="S95" s="23"/>
      <c r="T95" s="23"/>
    </row>
    <row r="96" spans="1:20" s="10" customFormat="1">
      <c r="A96" s="20" t="s">
        <v>430</v>
      </c>
      <c r="B96" s="20"/>
      <c r="C96" s="20"/>
      <c r="D96" s="20"/>
      <c r="E96" s="20"/>
      <c r="F96" s="20"/>
      <c r="G96" s="20"/>
      <c r="H96" s="20"/>
      <c r="I96" s="20"/>
      <c r="J96" s="20"/>
      <c r="K96" s="20"/>
      <c r="L96" s="22" t="s">
        <v>442</v>
      </c>
      <c r="M96" s="20">
        <v>47</v>
      </c>
      <c r="N96" s="20">
        <v>67</v>
      </c>
      <c r="O96" s="20">
        <v>76</v>
      </c>
      <c r="P96" s="20">
        <v>77</v>
      </c>
      <c r="Q96" s="20"/>
      <c r="R96" s="20"/>
      <c r="S96" s="20"/>
      <c r="T96" s="20"/>
    </row>
    <row r="97" spans="1:20" s="10" customFormat="1">
      <c r="A97" s="22" t="s">
        <v>431</v>
      </c>
      <c r="B97" s="23"/>
      <c r="C97" s="23"/>
      <c r="D97" s="23"/>
      <c r="E97" s="23"/>
      <c r="F97" s="23"/>
      <c r="G97" s="23"/>
      <c r="H97" s="23"/>
      <c r="I97" s="23"/>
      <c r="J97" s="23"/>
      <c r="K97" s="23"/>
      <c r="L97" s="22" t="s">
        <v>442</v>
      </c>
      <c r="M97" s="23"/>
      <c r="N97" s="21">
        <f>+(N96-M96)/M96</f>
        <v>0.42553191489361702</v>
      </c>
      <c r="O97" s="21">
        <f>+(O96-N96)/N96</f>
        <v>0.13432835820895522</v>
      </c>
      <c r="P97" s="21">
        <f>+(P96-O96)/O96</f>
        <v>1.3157894736842105E-2</v>
      </c>
      <c r="Q97" s="23"/>
      <c r="R97" s="23"/>
      <c r="S97" s="23"/>
      <c r="T97" s="23"/>
    </row>
    <row r="98" spans="1:20" s="10" customFormat="1">
      <c r="A98" s="20" t="s">
        <v>437</v>
      </c>
      <c r="B98" s="20"/>
      <c r="C98" s="20"/>
      <c r="D98" s="20"/>
      <c r="E98" s="20"/>
      <c r="F98" s="20"/>
      <c r="G98" s="20"/>
      <c r="H98" s="20"/>
      <c r="I98" s="20"/>
      <c r="J98" s="20"/>
      <c r="K98" s="20"/>
      <c r="L98" s="22" t="s">
        <v>442</v>
      </c>
      <c r="M98" s="20">
        <v>336</v>
      </c>
      <c r="N98" s="20">
        <v>380</v>
      </c>
      <c r="O98" s="20">
        <v>263</v>
      </c>
      <c r="P98" s="20">
        <v>232</v>
      </c>
      <c r="Q98" s="20"/>
      <c r="R98" s="20"/>
      <c r="S98" s="20"/>
      <c r="T98" s="20"/>
    </row>
    <row r="99" spans="1:20" s="10" customFormat="1">
      <c r="A99" s="22" t="s">
        <v>436</v>
      </c>
      <c r="B99" s="23"/>
      <c r="C99" s="23"/>
      <c r="D99" s="23"/>
      <c r="E99" s="23"/>
      <c r="F99" s="23"/>
      <c r="G99" s="23"/>
      <c r="H99" s="23"/>
      <c r="I99" s="23"/>
      <c r="J99" s="23"/>
      <c r="K99" s="23"/>
      <c r="L99" s="22" t="s">
        <v>442</v>
      </c>
      <c r="M99" s="23"/>
      <c r="N99" s="21">
        <f>+(N98-M98)/M98</f>
        <v>0.13095238095238096</v>
      </c>
      <c r="O99" s="21">
        <f>+(O98-N98)/N98</f>
        <v>-0.30789473684210528</v>
      </c>
      <c r="P99" s="21">
        <f>+(P98-O98)/O98</f>
        <v>-0.11787072243346007</v>
      </c>
      <c r="Q99" s="23"/>
      <c r="R99" s="23"/>
      <c r="S99" s="23"/>
      <c r="T99" s="23"/>
    </row>
    <row r="100" spans="1:20" s="10" customFormat="1">
      <c r="A100" s="19"/>
      <c r="B100" s="20"/>
      <c r="C100" s="20"/>
      <c r="D100" s="20"/>
      <c r="E100" s="20"/>
      <c r="F100" s="20"/>
      <c r="G100" s="20"/>
      <c r="H100" s="20"/>
      <c r="I100" s="20"/>
      <c r="J100" s="20"/>
      <c r="K100" s="20"/>
      <c r="L100" s="22" t="s">
        <v>442</v>
      </c>
      <c r="M100" s="20"/>
      <c r="N100" s="20"/>
      <c r="O100" s="20"/>
      <c r="P100" s="20"/>
      <c r="Q100" s="20"/>
      <c r="R100" s="20"/>
      <c r="S100" s="20"/>
      <c r="T100" s="20"/>
    </row>
    <row r="101" spans="1:20">
      <c r="A101" s="22" t="s">
        <v>340</v>
      </c>
      <c r="B101" s="23">
        <f t="shared" ref="B101" si="54">+SUM(B102:B106)</f>
        <v>2189</v>
      </c>
      <c r="C101" s="23">
        <f t="shared" ref="C101" si="55">+SUM(C102:C106)</f>
        <v>1781</v>
      </c>
      <c r="D101" s="23">
        <f t="shared" ref="D101" si="56">+SUM(D102:D106)</f>
        <v>1712</v>
      </c>
      <c r="E101" s="23">
        <f t="shared" ref="E101" si="57">+SUM(E102:E106)</f>
        <v>2072</v>
      </c>
      <c r="F101" s="23">
        <f t="shared" ref="F101" si="58">+SUM(F102:F106)</f>
        <v>1741</v>
      </c>
      <c r="G101" s="23">
        <f t="shared" ref="G101:H101" si="59">+SUM(G102:G106)</f>
        <v>1781</v>
      </c>
      <c r="H101" s="23">
        <f t="shared" si="59"/>
        <v>1635</v>
      </c>
      <c r="I101" s="23">
        <f t="shared" ref="I101:J101" si="60">+SUM(I102:I106)</f>
        <v>2206</v>
      </c>
      <c r="J101" s="23">
        <f t="shared" si="60"/>
        <v>0</v>
      </c>
      <c r="K101" s="23">
        <f t="shared" ref="K101" si="61">+SUM(K102:K106)</f>
        <v>0</v>
      </c>
      <c r="L101" s="22" t="s">
        <v>442</v>
      </c>
      <c r="M101" s="23">
        <f>+SUM(M102:M106)</f>
        <v>7253</v>
      </c>
      <c r="N101" s="23">
        <f t="shared" ref="N101" si="62">+SUM(N102:N106)</f>
        <v>8476</v>
      </c>
      <c r="O101" s="23">
        <f t="shared" ref="O101" si="63">+SUM(O102:O106)</f>
        <v>7754</v>
      </c>
      <c r="P101" s="23">
        <f t="shared" ref="P101" si="64">+SUM(P102:P106)</f>
        <v>7363</v>
      </c>
      <c r="Q101" s="19"/>
      <c r="R101" s="19"/>
      <c r="S101" s="19"/>
      <c r="T101" s="19"/>
    </row>
    <row r="102" spans="1:20">
      <c r="A102" s="19" t="s">
        <v>342</v>
      </c>
      <c r="B102" s="20">
        <v>1242</v>
      </c>
      <c r="C102" s="20">
        <v>986</v>
      </c>
      <c r="D102" s="20">
        <v>815</v>
      </c>
      <c r="E102" s="20">
        <f>+O102-SUM(B102:D102)</f>
        <v>991</v>
      </c>
      <c r="F102" s="20">
        <v>886</v>
      </c>
      <c r="G102" s="20">
        <v>946</v>
      </c>
      <c r="H102" s="20">
        <v>736</v>
      </c>
      <c r="I102" s="20">
        <f>+P102-SUM(F102:H102)</f>
        <v>1031</v>
      </c>
      <c r="J102" s="20"/>
      <c r="K102" s="20"/>
      <c r="L102" s="22" t="s">
        <v>442</v>
      </c>
      <c r="M102" s="20">
        <v>3815</v>
      </c>
      <c r="N102" s="20">
        <v>4591</v>
      </c>
      <c r="O102" s="20">
        <v>4034</v>
      </c>
      <c r="P102" s="20">
        <v>3599</v>
      </c>
      <c r="Q102" s="19"/>
      <c r="R102" s="19"/>
      <c r="S102" s="19"/>
      <c r="T102" s="19"/>
    </row>
    <row r="103" spans="1:20">
      <c r="A103" s="19" t="s">
        <v>343</v>
      </c>
      <c r="B103" s="20">
        <v>409</v>
      </c>
      <c r="C103" s="20">
        <v>331</v>
      </c>
      <c r="D103" s="20">
        <v>416</v>
      </c>
      <c r="E103" s="20">
        <f t="shared" ref="E103:E106" si="65">+O103-SUM(B103:D103)</f>
        <v>442</v>
      </c>
      <c r="F103" s="20">
        <v>373</v>
      </c>
      <c r="G103" s="20">
        <v>415</v>
      </c>
      <c r="H103" s="20">
        <v>437</v>
      </c>
      <c r="I103" s="20">
        <f t="shared" ref="I103:I104" si="66">+P103-SUM(F103:H103)</f>
        <v>490</v>
      </c>
      <c r="J103" s="20"/>
      <c r="K103" s="20"/>
      <c r="L103" s="22" t="s">
        <v>442</v>
      </c>
      <c r="M103" s="20">
        <v>1730</v>
      </c>
      <c r="N103" s="20">
        <v>1831</v>
      </c>
      <c r="O103" s="20">
        <v>1598</v>
      </c>
      <c r="P103" s="20">
        <v>1715</v>
      </c>
      <c r="Q103" s="19"/>
      <c r="R103" s="19"/>
      <c r="S103" s="19"/>
      <c r="T103" s="19"/>
    </row>
    <row r="104" spans="1:20">
      <c r="A104" s="19" t="s">
        <v>344</v>
      </c>
      <c r="B104" s="20">
        <v>359</v>
      </c>
      <c r="C104" s="20">
        <v>252</v>
      </c>
      <c r="D104" s="20">
        <v>226</v>
      </c>
      <c r="E104" s="20">
        <f t="shared" si="65"/>
        <v>275</v>
      </c>
      <c r="F104" s="20">
        <v>295</v>
      </c>
      <c r="G104" s="20">
        <v>250</v>
      </c>
      <c r="H104" s="20">
        <v>216</v>
      </c>
      <c r="I104" s="20">
        <f t="shared" si="66"/>
        <v>320</v>
      </c>
      <c r="J104" s="20"/>
      <c r="K104" s="20"/>
      <c r="L104" s="22" t="s">
        <v>442</v>
      </c>
      <c r="M104" s="20">
        <v>1310</v>
      </c>
      <c r="N104" s="20">
        <v>1450</v>
      </c>
      <c r="O104" s="20">
        <v>1112</v>
      </c>
      <c r="P104" s="20">
        <v>1081</v>
      </c>
      <c r="Q104" s="19"/>
      <c r="R104" s="19"/>
      <c r="S104" s="19"/>
      <c r="T104" s="19"/>
    </row>
    <row r="105" spans="1:20">
      <c r="A105" s="19" t="s">
        <v>578</v>
      </c>
      <c r="B105" s="20"/>
      <c r="C105" s="20"/>
      <c r="D105" s="20"/>
      <c r="E105" s="20"/>
      <c r="F105" s="20"/>
      <c r="G105" s="20"/>
      <c r="H105" s="20"/>
      <c r="I105" s="20"/>
      <c r="J105" s="20"/>
      <c r="K105" s="20"/>
      <c r="L105" s="22" t="s">
        <v>442</v>
      </c>
      <c r="M105" s="20"/>
      <c r="N105" s="20"/>
      <c r="O105" s="20"/>
      <c r="P105" s="20">
        <v>476</v>
      </c>
      <c r="Q105" s="19"/>
      <c r="R105" s="19"/>
      <c r="S105" s="19"/>
      <c r="T105" s="19"/>
    </row>
    <row r="106" spans="1:20">
      <c r="A106" s="19" t="s">
        <v>345</v>
      </c>
      <c r="B106" s="20">
        <v>179</v>
      </c>
      <c r="C106" s="20">
        <v>212</v>
      </c>
      <c r="D106" s="20">
        <v>255</v>
      </c>
      <c r="E106" s="20">
        <f t="shared" si="65"/>
        <v>364</v>
      </c>
      <c r="F106" s="20">
        <v>187</v>
      </c>
      <c r="G106" s="20">
        <v>170</v>
      </c>
      <c r="H106" s="20">
        <v>246</v>
      </c>
      <c r="I106" s="20">
        <f>+P106+P105-SUM(F106:H106)</f>
        <v>365</v>
      </c>
      <c r="J106" s="20"/>
      <c r="K106" s="20"/>
      <c r="L106" s="22" t="s">
        <v>442</v>
      </c>
      <c r="M106" s="20">
        <v>398</v>
      </c>
      <c r="N106" s="20">
        <v>604</v>
      </c>
      <c r="O106" s="20">
        <v>1010</v>
      </c>
      <c r="P106" s="20">
        <v>492</v>
      </c>
      <c r="Q106" s="19"/>
      <c r="R106" s="19"/>
      <c r="S106" s="19"/>
      <c r="T106" s="19"/>
    </row>
    <row r="107" spans="1:20">
      <c r="A107" s="22"/>
      <c r="B107" s="19"/>
      <c r="C107" s="19"/>
      <c r="D107" s="19"/>
      <c r="E107" s="19"/>
      <c r="F107" s="19"/>
      <c r="G107" s="19"/>
      <c r="H107" s="19"/>
      <c r="I107" s="19"/>
      <c r="J107" s="19"/>
      <c r="K107" s="19"/>
      <c r="L107" s="22" t="s">
        <v>442</v>
      </c>
      <c r="M107" s="22"/>
      <c r="N107" s="21"/>
      <c r="O107" s="21"/>
      <c r="P107" s="19"/>
      <c r="Q107" s="19"/>
      <c r="R107" s="19"/>
      <c r="S107" s="19"/>
      <c r="T107" s="19"/>
    </row>
    <row r="108" spans="1:20">
      <c r="A108" s="22" t="s">
        <v>367</v>
      </c>
      <c r="B108" s="21"/>
      <c r="C108" s="21"/>
      <c r="D108" s="21"/>
      <c r="E108" s="21"/>
      <c r="F108" s="21">
        <f t="shared" ref="F108:I111" si="67">+(F101-B101)/B101</f>
        <v>-0.20465966194609411</v>
      </c>
      <c r="G108" s="21">
        <f t="shared" si="67"/>
        <v>0</v>
      </c>
      <c r="H108" s="21">
        <f t="shared" si="67"/>
        <v>-4.497663551401869E-2</v>
      </c>
      <c r="I108" s="21">
        <f t="shared" si="67"/>
        <v>6.4671814671814667E-2</v>
      </c>
      <c r="J108" s="21"/>
      <c r="K108" s="21"/>
      <c r="L108" s="22" t="s">
        <v>442</v>
      </c>
      <c r="M108" s="21"/>
      <c r="N108" s="21">
        <f t="shared" ref="N108:P109" si="68">+(N101-M101)/M101</f>
        <v>0.16861988142837447</v>
      </c>
      <c r="O108" s="21">
        <f t="shared" si="68"/>
        <v>-8.5181689476167999E-2</v>
      </c>
      <c r="P108" s="21">
        <f t="shared" si="68"/>
        <v>-5.0425586793912819E-2</v>
      </c>
      <c r="Q108" s="22"/>
      <c r="R108" s="22"/>
      <c r="S108" s="22"/>
      <c r="T108" s="22"/>
    </row>
    <row r="109" spans="1:20">
      <c r="A109" s="22" t="s">
        <v>368</v>
      </c>
      <c r="B109" s="21"/>
      <c r="C109" s="21"/>
      <c r="D109" s="21"/>
      <c r="E109" s="21"/>
      <c r="F109" s="21">
        <f t="shared" si="67"/>
        <v>-0.28663446054750402</v>
      </c>
      <c r="G109" s="21">
        <f t="shared" si="67"/>
        <v>-4.0567951318458417E-2</v>
      </c>
      <c r="H109" s="21">
        <f t="shared" si="67"/>
        <v>-9.6932515337423308E-2</v>
      </c>
      <c r="I109" s="21">
        <f t="shared" si="67"/>
        <v>4.0363269424823413E-2</v>
      </c>
      <c r="J109" s="21"/>
      <c r="K109" s="21"/>
      <c r="L109" s="22" t="s">
        <v>442</v>
      </c>
      <c r="M109" s="21"/>
      <c r="N109" s="21">
        <f t="shared" si="68"/>
        <v>0.20340760157273918</v>
      </c>
      <c r="O109" s="21">
        <f t="shared" si="68"/>
        <v>-0.12132433021128294</v>
      </c>
      <c r="P109" s="21">
        <f t="shared" si="68"/>
        <v>-0.10783341596430342</v>
      </c>
      <c r="Q109" s="22"/>
      <c r="R109" s="22"/>
      <c r="S109" s="22"/>
      <c r="T109" s="22"/>
    </row>
    <row r="110" spans="1:20">
      <c r="A110" s="22" t="s">
        <v>369</v>
      </c>
      <c r="B110" s="21"/>
      <c r="C110" s="21"/>
      <c r="D110" s="21"/>
      <c r="E110" s="21"/>
      <c r="F110" s="21">
        <f t="shared" si="67"/>
        <v>-8.8019559902200492E-2</v>
      </c>
      <c r="G110" s="21">
        <f t="shared" si="67"/>
        <v>0.25377643504531722</v>
      </c>
      <c r="H110" s="21">
        <f t="shared" si="67"/>
        <v>5.0480769230769232E-2</v>
      </c>
      <c r="I110" s="21">
        <f t="shared" si="67"/>
        <v>0.10859728506787331</v>
      </c>
      <c r="J110" s="21"/>
      <c r="K110" s="21"/>
      <c r="L110" s="22" t="s">
        <v>442</v>
      </c>
      <c r="M110" s="21"/>
      <c r="N110" s="21">
        <f t="shared" ref="N110:O110" si="69">+(N103-M103)/M103</f>
        <v>5.8381502890173409E-2</v>
      </c>
      <c r="O110" s="21">
        <f t="shared" si="69"/>
        <v>-0.12725286728563626</v>
      </c>
      <c r="P110" s="21">
        <f>+(P103-O103)/O103</f>
        <v>7.3216520650813521E-2</v>
      </c>
      <c r="Q110" s="22"/>
      <c r="R110" s="22"/>
      <c r="S110" s="22"/>
      <c r="T110" s="22"/>
    </row>
    <row r="111" spans="1:20">
      <c r="A111" s="22" t="s">
        <v>370</v>
      </c>
      <c r="B111" s="21"/>
      <c r="C111" s="21"/>
      <c r="D111" s="21"/>
      <c r="E111" s="21"/>
      <c r="F111" s="21">
        <f t="shared" si="67"/>
        <v>-0.17827298050139276</v>
      </c>
      <c r="G111" s="21">
        <f t="shared" si="67"/>
        <v>-7.9365079365079361E-3</v>
      </c>
      <c r="H111" s="21">
        <f t="shared" si="67"/>
        <v>-4.4247787610619468E-2</v>
      </c>
      <c r="I111" s="21">
        <f t="shared" si="67"/>
        <v>0.16363636363636364</v>
      </c>
      <c r="J111" s="21"/>
      <c r="K111" s="21"/>
      <c r="L111" s="22" t="s">
        <v>442</v>
      </c>
      <c r="M111" s="21"/>
      <c r="N111" s="21">
        <f t="shared" ref="N111:O111" si="70">+(N104-M104)/M104</f>
        <v>0.10687022900763359</v>
      </c>
      <c r="O111" s="21">
        <f t="shared" si="70"/>
        <v>-0.23310344827586207</v>
      </c>
      <c r="P111" s="21">
        <f>+(P104-O104)/O104</f>
        <v>-2.7877697841726619E-2</v>
      </c>
      <c r="Q111" s="22"/>
      <c r="R111" s="22"/>
      <c r="S111" s="22"/>
      <c r="T111" s="22"/>
    </row>
    <row r="112" spans="1:20">
      <c r="A112" s="22" t="s">
        <v>580</v>
      </c>
      <c r="B112" s="21"/>
      <c r="C112" s="21"/>
      <c r="D112" s="21"/>
      <c r="E112" s="21"/>
      <c r="F112" s="21"/>
      <c r="G112" s="21"/>
      <c r="H112" s="21"/>
      <c r="I112" s="21"/>
      <c r="J112" s="21"/>
      <c r="K112" s="21"/>
      <c r="L112" s="22" t="s">
        <v>442</v>
      </c>
      <c r="M112" s="21"/>
      <c r="N112" s="21"/>
      <c r="O112" s="21"/>
      <c r="P112" s="21"/>
      <c r="Q112" s="22"/>
      <c r="R112" s="22"/>
      <c r="S112" s="22"/>
      <c r="T112" s="22"/>
    </row>
    <row r="113" spans="1:20">
      <c r="A113" s="22" t="s">
        <v>371</v>
      </c>
      <c r="B113" s="21"/>
      <c r="C113" s="21"/>
      <c r="D113" s="21"/>
      <c r="E113" s="21"/>
      <c r="F113" s="21">
        <f t="shared" ref="F113:I113" si="71">+(F106-B106)/B106</f>
        <v>4.4692737430167599E-2</v>
      </c>
      <c r="G113" s="21">
        <f t="shared" si="71"/>
        <v>-0.19811320754716982</v>
      </c>
      <c r="H113" s="21">
        <f t="shared" si="71"/>
        <v>-3.5294117647058823E-2</v>
      </c>
      <c r="I113" s="21">
        <f t="shared" si="71"/>
        <v>2.7472527472527475E-3</v>
      </c>
      <c r="J113" s="21"/>
      <c r="K113" s="21"/>
      <c r="L113" s="22" t="s">
        <v>442</v>
      </c>
      <c r="M113" s="21"/>
      <c r="N113" s="21">
        <f t="shared" ref="N113:O113" si="72">+(N106-M106)/M106</f>
        <v>0.51758793969849248</v>
      </c>
      <c r="O113" s="21">
        <f t="shared" si="72"/>
        <v>0.67218543046357615</v>
      </c>
      <c r="P113" s="21">
        <f t="shared" ref="P113" si="73">+(P106-O106)/O106</f>
        <v>-0.51287128712871288</v>
      </c>
      <c r="Q113" s="22"/>
      <c r="R113" s="22"/>
      <c r="S113" s="22"/>
      <c r="T113" s="22"/>
    </row>
    <row r="114" spans="1:20">
      <c r="A114" s="22"/>
      <c r="B114" s="21"/>
      <c r="C114" s="21"/>
      <c r="D114" s="21"/>
      <c r="E114" s="21"/>
      <c r="F114" s="21"/>
      <c r="G114" s="21"/>
      <c r="H114" s="21"/>
      <c r="I114" s="21"/>
      <c r="J114" s="21"/>
      <c r="K114" s="21"/>
      <c r="L114" s="22" t="s">
        <v>442</v>
      </c>
      <c r="M114" s="21"/>
      <c r="N114" s="21"/>
      <c r="O114" s="21"/>
      <c r="P114" s="21"/>
      <c r="Q114" s="22"/>
      <c r="R114" s="22"/>
      <c r="S114" s="22"/>
      <c r="T114" s="22"/>
    </row>
    <row r="115" spans="1:20">
      <c r="A115" s="22" t="s">
        <v>462</v>
      </c>
      <c r="B115" s="21"/>
      <c r="C115" s="21">
        <f t="shared" ref="C115:I115" si="74">+(C101-B101)/B101</f>
        <v>-0.18638647784376428</v>
      </c>
      <c r="D115" s="21">
        <f t="shared" si="74"/>
        <v>-3.874227961819203E-2</v>
      </c>
      <c r="E115" s="21">
        <f t="shared" si="74"/>
        <v>0.2102803738317757</v>
      </c>
      <c r="F115" s="21">
        <f t="shared" si="74"/>
        <v>-0.15974903474903476</v>
      </c>
      <c r="G115" s="21">
        <f t="shared" si="74"/>
        <v>2.2975301550832855E-2</v>
      </c>
      <c r="H115" s="21">
        <f t="shared" si="74"/>
        <v>-8.1976417742841104E-2</v>
      </c>
      <c r="I115" s="21">
        <f t="shared" si="74"/>
        <v>0.34923547400611621</v>
      </c>
      <c r="J115" s="21"/>
      <c r="K115" s="21"/>
      <c r="L115" s="22" t="s">
        <v>442</v>
      </c>
      <c r="M115" s="21"/>
      <c r="N115" s="21"/>
      <c r="O115" s="21"/>
      <c r="P115" s="21"/>
      <c r="Q115" s="22"/>
      <c r="R115" s="22"/>
      <c r="S115" s="22"/>
      <c r="T115" s="22"/>
    </row>
    <row r="116" spans="1:20">
      <c r="A116" s="22" t="s">
        <v>463</v>
      </c>
      <c r="B116" s="21"/>
      <c r="C116" s="21">
        <f t="shared" ref="C116:I118" si="75">+(C102-B102)/B102</f>
        <v>-0.20611916264090177</v>
      </c>
      <c r="D116" s="21">
        <f t="shared" si="75"/>
        <v>-0.17342799188640973</v>
      </c>
      <c r="E116" s="21">
        <f t="shared" si="75"/>
        <v>0.21595092024539878</v>
      </c>
      <c r="F116" s="21">
        <f t="shared" si="75"/>
        <v>-0.10595358224016145</v>
      </c>
      <c r="G116" s="21">
        <f t="shared" si="75"/>
        <v>6.772009029345373E-2</v>
      </c>
      <c r="H116" s="21">
        <f t="shared" si="75"/>
        <v>-0.22198731501057081</v>
      </c>
      <c r="I116" s="21">
        <f t="shared" si="75"/>
        <v>0.40081521739130432</v>
      </c>
      <c r="J116" s="21"/>
      <c r="K116" s="21"/>
      <c r="L116" s="22" t="s">
        <v>442</v>
      </c>
      <c r="M116" s="21"/>
      <c r="N116" s="21"/>
      <c r="O116" s="21"/>
      <c r="P116" s="21"/>
      <c r="Q116" s="22"/>
      <c r="R116" s="22"/>
      <c r="S116" s="22"/>
      <c r="T116" s="22"/>
    </row>
    <row r="117" spans="1:20">
      <c r="A117" s="22" t="s">
        <v>464</v>
      </c>
      <c r="B117" s="21"/>
      <c r="C117" s="21">
        <f t="shared" si="75"/>
        <v>-0.19070904645476772</v>
      </c>
      <c r="D117" s="21">
        <f t="shared" si="75"/>
        <v>0.25679758308157102</v>
      </c>
      <c r="E117" s="21">
        <f t="shared" si="75"/>
        <v>6.25E-2</v>
      </c>
      <c r="F117" s="21">
        <f t="shared" si="75"/>
        <v>-0.15610859728506787</v>
      </c>
      <c r="G117" s="21">
        <f t="shared" si="75"/>
        <v>0.1126005361930295</v>
      </c>
      <c r="H117" s="21">
        <f t="shared" si="75"/>
        <v>5.3012048192771083E-2</v>
      </c>
      <c r="I117" s="21">
        <f t="shared" si="75"/>
        <v>0.12128146453089245</v>
      </c>
      <c r="J117" s="21"/>
      <c r="K117" s="21"/>
      <c r="L117" s="22" t="s">
        <v>442</v>
      </c>
      <c r="M117" s="21"/>
      <c r="N117" s="21"/>
      <c r="O117" s="21"/>
      <c r="P117" s="21"/>
      <c r="Q117" s="22"/>
      <c r="R117" s="22"/>
      <c r="S117" s="22"/>
      <c r="T117" s="22"/>
    </row>
    <row r="118" spans="1:20">
      <c r="A118" s="22" t="s">
        <v>465</v>
      </c>
      <c r="B118" s="21"/>
      <c r="C118" s="21">
        <f t="shared" si="75"/>
        <v>-0.29805013927576601</v>
      </c>
      <c r="D118" s="21">
        <f t="shared" si="75"/>
        <v>-0.10317460317460317</v>
      </c>
      <c r="E118" s="21">
        <f t="shared" si="75"/>
        <v>0.2168141592920354</v>
      </c>
      <c r="F118" s="21">
        <f t="shared" si="75"/>
        <v>7.2727272727272724E-2</v>
      </c>
      <c r="G118" s="21">
        <f t="shared" si="75"/>
        <v>-0.15254237288135594</v>
      </c>
      <c r="H118" s="21">
        <f t="shared" si="75"/>
        <v>-0.13600000000000001</v>
      </c>
      <c r="I118" s="21">
        <f t="shared" si="75"/>
        <v>0.48148148148148145</v>
      </c>
      <c r="J118" s="21"/>
      <c r="K118" s="21"/>
      <c r="L118" s="22" t="s">
        <v>442</v>
      </c>
      <c r="M118" s="21"/>
      <c r="N118" s="21"/>
      <c r="O118" s="21"/>
      <c r="P118" s="21"/>
      <c r="Q118" s="22"/>
      <c r="R118" s="22"/>
      <c r="S118" s="22"/>
      <c r="T118" s="22"/>
    </row>
    <row r="119" spans="1:20">
      <c r="A119" s="22" t="s">
        <v>579</v>
      </c>
      <c r="B119" s="21"/>
      <c r="C119" s="21"/>
      <c r="D119" s="21"/>
      <c r="E119" s="21"/>
      <c r="F119" s="21"/>
      <c r="G119" s="21"/>
      <c r="H119" s="21"/>
      <c r="I119" s="21"/>
      <c r="J119" s="21"/>
      <c r="K119" s="21"/>
      <c r="L119" s="22" t="s">
        <v>442</v>
      </c>
      <c r="M119" s="21"/>
      <c r="N119" s="21"/>
      <c r="O119" s="21"/>
      <c r="P119" s="21"/>
      <c r="Q119" s="22"/>
      <c r="R119" s="22"/>
      <c r="S119" s="22"/>
      <c r="T119" s="22"/>
    </row>
    <row r="120" spans="1:20">
      <c r="A120" s="22" t="s">
        <v>466</v>
      </c>
      <c r="B120" s="21"/>
      <c r="C120" s="21">
        <f t="shared" ref="C120:I120" si="76">+(C106-B106)/B106</f>
        <v>0.18435754189944134</v>
      </c>
      <c r="D120" s="21">
        <f t="shared" si="76"/>
        <v>0.20283018867924529</v>
      </c>
      <c r="E120" s="21">
        <f t="shared" si="76"/>
        <v>0.42745098039215684</v>
      </c>
      <c r="F120" s="21">
        <f t="shared" si="76"/>
        <v>-0.48626373626373626</v>
      </c>
      <c r="G120" s="21">
        <f t="shared" si="76"/>
        <v>-9.0909090909090912E-2</v>
      </c>
      <c r="H120" s="21">
        <f t="shared" si="76"/>
        <v>0.44705882352941179</v>
      </c>
      <c r="I120" s="21">
        <f t="shared" si="76"/>
        <v>0.48373983739837401</v>
      </c>
      <c r="J120" s="21"/>
      <c r="K120" s="21"/>
      <c r="L120" s="22" t="s">
        <v>442</v>
      </c>
      <c r="M120" s="21"/>
      <c r="N120" s="21"/>
      <c r="O120" s="21"/>
      <c r="P120" s="21"/>
      <c r="Q120" s="22"/>
      <c r="R120" s="22"/>
      <c r="S120" s="22"/>
      <c r="T120" s="22"/>
    </row>
    <row r="121" spans="1:20">
      <c r="A121" s="22"/>
      <c r="B121" s="19"/>
      <c r="C121" s="19"/>
      <c r="D121" s="19"/>
      <c r="E121" s="19"/>
      <c r="F121" s="19"/>
      <c r="G121" s="19"/>
      <c r="H121" s="19"/>
      <c r="I121" s="19"/>
      <c r="J121" s="19"/>
      <c r="K121" s="19"/>
      <c r="L121" s="22" t="s">
        <v>442</v>
      </c>
      <c r="M121" s="22"/>
      <c r="N121" s="21"/>
      <c r="O121" s="21"/>
      <c r="P121" s="19"/>
      <c r="Q121" s="19"/>
      <c r="R121" s="19"/>
      <c r="S121" s="19"/>
      <c r="T121" s="19"/>
    </row>
    <row r="122" spans="1:20" s="10" customFormat="1">
      <c r="A122" s="23" t="s">
        <v>350</v>
      </c>
      <c r="B122" s="23">
        <f t="shared" ref="B122" si="77">+SUM(B123:B126)</f>
        <v>2189</v>
      </c>
      <c r="C122" s="23">
        <f t="shared" ref="C122" si="78">+SUM(C123:C126)</f>
        <v>1781</v>
      </c>
      <c r="D122" s="23">
        <f t="shared" ref="D122" si="79">+SUM(D123:D126)</f>
        <v>1712</v>
      </c>
      <c r="E122" s="23">
        <f t="shared" ref="E122" si="80">+SUM(E123:E126)</f>
        <v>2072</v>
      </c>
      <c r="F122" s="23">
        <f t="shared" ref="F122" si="81">+SUM(F123:F126)</f>
        <v>1741</v>
      </c>
      <c r="G122" s="23">
        <f t="shared" ref="G122:H122" si="82">+SUM(G123:G126)</f>
        <v>1781</v>
      </c>
      <c r="H122" s="23">
        <f t="shared" si="82"/>
        <v>1635</v>
      </c>
      <c r="I122" s="23">
        <f>+SUM(I123:I126)</f>
        <v>2206</v>
      </c>
      <c r="J122" s="23">
        <f t="shared" ref="J122" si="83">+SUM(J123:J126)</f>
        <v>0</v>
      </c>
      <c r="K122" s="23">
        <f t="shared" ref="K122" si="84">+SUM(K123:K126)</f>
        <v>0</v>
      </c>
      <c r="L122" s="23" t="s">
        <v>442</v>
      </c>
      <c r="M122" s="23" t="s">
        <v>524</v>
      </c>
      <c r="N122" s="23">
        <f t="shared" ref="N122" si="85">+SUM(N123:N126)</f>
        <v>8476</v>
      </c>
      <c r="O122" s="23">
        <f t="shared" ref="O122" si="86">+SUM(O123:O126)</f>
        <v>7754</v>
      </c>
      <c r="P122" s="23">
        <f>+SUM(P123:P126)</f>
        <v>7363</v>
      </c>
      <c r="Q122" s="20"/>
      <c r="R122" s="20"/>
      <c r="S122" s="20"/>
      <c r="T122" s="20"/>
    </row>
    <row r="123" spans="1:20" s="10" customFormat="1">
      <c r="A123" s="20" t="s">
        <v>346</v>
      </c>
      <c r="B123" s="20">
        <v>879</v>
      </c>
      <c r="C123" s="20">
        <v>623</v>
      </c>
      <c r="D123" s="20">
        <v>399</v>
      </c>
      <c r="E123" s="20">
        <f t="shared" ref="E123:E126" si="87">+O123-SUM(B123:D123)</f>
        <v>921</v>
      </c>
      <c r="F123" s="20">
        <v>616</v>
      </c>
      <c r="G123" s="20">
        <v>647</v>
      </c>
      <c r="H123" s="20">
        <v>440</v>
      </c>
      <c r="I123" s="20">
        <f t="shared" ref="I123:I126" si="88">+P123-SUM(F123:H123)</f>
        <v>924</v>
      </c>
      <c r="J123" s="20"/>
      <c r="K123" s="20"/>
      <c r="L123" s="23" t="s">
        <v>442</v>
      </c>
      <c r="M123" s="20">
        <v>2532</v>
      </c>
      <c r="N123" s="20">
        <v>3116</v>
      </c>
      <c r="O123" s="20">
        <v>2822</v>
      </c>
      <c r="P123" s="20">
        <v>2627</v>
      </c>
      <c r="Q123" s="20"/>
      <c r="R123" s="20"/>
      <c r="S123" s="20"/>
      <c r="T123" s="20"/>
    </row>
    <row r="124" spans="1:20" s="10" customFormat="1">
      <c r="A124" s="20" t="s">
        <v>347</v>
      </c>
      <c r="B124" s="20">
        <v>801</v>
      </c>
      <c r="C124" s="20">
        <v>483</v>
      </c>
      <c r="D124" s="20">
        <v>271</v>
      </c>
      <c r="E124" s="20">
        <f t="shared" si="87"/>
        <v>190</v>
      </c>
      <c r="F124" s="20">
        <v>670</v>
      </c>
      <c r="G124" s="20">
        <v>422</v>
      </c>
      <c r="H124" s="20">
        <v>219</v>
      </c>
      <c r="I124" s="20">
        <f t="shared" si="88"/>
        <v>232</v>
      </c>
      <c r="J124" s="20"/>
      <c r="K124" s="20"/>
      <c r="L124" s="23" t="s">
        <v>442</v>
      </c>
      <c r="M124" s="20">
        <v>1524</v>
      </c>
      <c r="N124" s="20">
        <v>1647</v>
      </c>
      <c r="O124" s="20">
        <v>1745</v>
      </c>
      <c r="P124" s="20">
        <v>1543</v>
      </c>
      <c r="Q124" s="20"/>
      <c r="R124" s="20"/>
      <c r="S124" s="20"/>
      <c r="T124" s="20"/>
    </row>
    <row r="125" spans="1:20" s="10" customFormat="1">
      <c r="A125" s="20" t="s">
        <v>348</v>
      </c>
      <c r="B125" s="20">
        <v>293</v>
      </c>
      <c r="C125" s="20">
        <v>400</v>
      </c>
      <c r="D125" s="20">
        <v>844</v>
      </c>
      <c r="E125" s="20">
        <f t="shared" si="87"/>
        <v>732</v>
      </c>
      <c r="F125" s="20">
        <v>244</v>
      </c>
      <c r="G125" s="20">
        <v>443</v>
      </c>
      <c r="H125" s="20">
        <v>771</v>
      </c>
      <c r="I125" s="20">
        <f t="shared" si="88"/>
        <v>795</v>
      </c>
      <c r="J125" s="20"/>
      <c r="K125" s="20"/>
      <c r="L125" s="23" t="s">
        <v>442</v>
      </c>
      <c r="M125" s="20">
        <v>2125</v>
      </c>
      <c r="N125" s="20">
        <v>2687</v>
      </c>
      <c r="O125" s="20">
        <v>2269</v>
      </c>
      <c r="P125" s="20">
        <v>2253</v>
      </c>
      <c r="Q125" s="20"/>
      <c r="R125" s="20"/>
      <c r="S125" s="20"/>
      <c r="T125" s="20"/>
    </row>
    <row r="126" spans="1:20" s="10" customFormat="1">
      <c r="A126" s="20" t="s">
        <v>349</v>
      </c>
      <c r="B126" s="20">
        <v>216</v>
      </c>
      <c r="C126" s="20">
        <v>275</v>
      </c>
      <c r="D126" s="20">
        <v>198</v>
      </c>
      <c r="E126" s="20">
        <f t="shared" si="87"/>
        <v>229</v>
      </c>
      <c r="F126" s="20">
        <v>211</v>
      </c>
      <c r="G126" s="20">
        <v>269</v>
      </c>
      <c r="H126" s="20">
        <v>205</v>
      </c>
      <c r="I126" s="20">
        <f t="shared" si="88"/>
        <v>255</v>
      </c>
      <c r="J126" s="20"/>
      <c r="K126" s="20"/>
      <c r="L126" s="23" t="s">
        <v>442</v>
      </c>
      <c r="M126" s="20">
        <v>1072</v>
      </c>
      <c r="N126" s="20">
        <v>1026</v>
      </c>
      <c r="O126" s="20">
        <v>918</v>
      </c>
      <c r="P126" s="20">
        <v>940</v>
      </c>
      <c r="Q126" s="20"/>
      <c r="R126" s="20"/>
      <c r="S126" s="20"/>
      <c r="T126" s="20"/>
    </row>
    <row r="127" spans="1:20" s="10" customFormat="1">
      <c r="A127" s="20"/>
      <c r="B127" s="20"/>
      <c r="C127" s="20"/>
      <c r="D127" s="20"/>
      <c r="E127" s="20"/>
      <c r="F127" s="20"/>
      <c r="G127" s="20"/>
      <c r="H127" s="20"/>
      <c r="I127" s="20"/>
      <c r="J127" s="20"/>
      <c r="K127" s="20"/>
      <c r="L127" s="23" t="s">
        <v>442</v>
      </c>
      <c r="M127" s="20"/>
      <c r="N127" s="20"/>
      <c r="O127" s="20"/>
      <c r="P127" s="20"/>
      <c r="Q127" s="20"/>
      <c r="R127" s="20"/>
      <c r="S127" s="20"/>
      <c r="T127" s="20"/>
    </row>
    <row r="128" spans="1:20">
      <c r="A128" s="22" t="s">
        <v>341</v>
      </c>
      <c r="B128" s="21"/>
      <c r="C128" s="21"/>
      <c r="D128" s="21"/>
      <c r="E128" s="21"/>
      <c r="F128" s="21">
        <f t="shared" ref="F128:I132" si="89">+(F122-B122)/B122</f>
        <v>-0.20465966194609411</v>
      </c>
      <c r="G128" s="21">
        <f t="shared" si="89"/>
        <v>0</v>
      </c>
      <c r="H128" s="21">
        <f t="shared" si="89"/>
        <v>-4.497663551401869E-2</v>
      </c>
      <c r="I128" s="21">
        <f t="shared" si="89"/>
        <v>6.4671814671814667E-2</v>
      </c>
      <c r="J128" s="21"/>
      <c r="K128" s="21"/>
      <c r="L128" s="22" t="s">
        <v>442</v>
      </c>
      <c r="M128" s="21"/>
      <c r="N128" s="21" t="e">
        <f t="shared" ref="N128:P132" si="90">+(N122-M122)/M122</f>
        <v>#VALUE!</v>
      </c>
      <c r="O128" s="21">
        <f t="shared" si="90"/>
        <v>-8.5181689476167999E-2</v>
      </c>
      <c r="P128" s="21">
        <f t="shared" si="90"/>
        <v>-5.0425586793912819E-2</v>
      </c>
      <c r="Q128" s="19"/>
      <c r="R128" s="19"/>
      <c r="S128" s="19"/>
      <c r="T128" s="19"/>
    </row>
    <row r="129" spans="1:20">
      <c r="A129" s="22" t="s">
        <v>351</v>
      </c>
      <c r="B129" s="21"/>
      <c r="C129" s="21"/>
      <c r="D129" s="21"/>
      <c r="E129" s="21"/>
      <c r="F129" s="21">
        <f t="shared" si="89"/>
        <v>-0.2992036405005688</v>
      </c>
      <c r="G129" s="21">
        <f t="shared" si="89"/>
        <v>3.8523274478330656E-2</v>
      </c>
      <c r="H129" s="21">
        <f t="shared" si="89"/>
        <v>0.10275689223057644</v>
      </c>
      <c r="I129" s="21">
        <f>+(I123-E123)/E123</f>
        <v>3.2573289902280132E-3</v>
      </c>
      <c r="J129" s="21"/>
      <c r="K129" s="21"/>
      <c r="L129" s="22" t="s">
        <v>442</v>
      </c>
      <c r="M129" s="21"/>
      <c r="N129" s="21">
        <f t="shared" si="90"/>
        <v>0.23064770932069512</v>
      </c>
      <c r="O129" s="21">
        <f t="shared" si="90"/>
        <v>-9.4351732991014126E-2</v>
      </c>
      <c r="P129" s="21">
        <f>+(P123-O123)/O123</f>
        <v>-6.9099929128277823E-2</v>
      </c>
      <c r="Q129" s="19"/>
      <c r="R129" s="19"/>
      <c r="S129" s="19"/>
      <c r="T129" s="19"/>
    </row>
    <row r="130" spans="1:20">
      <c r="A130" s="22" t="s">
        <v>352</v>
      </c>
      <c r="B130" s="21"/>
      <c r="C130" s="21"/>
      <c r="D130" s="21"/>
      <c r="E130" s="21"/>
      <c r="F130" s="21">
        <f t="shared" si="89"/>
        <v>-0.16354556803995007</v>
      </c>
      <c r="G130" s="21">
        <f t="shared" si="89"/>
        <v>-0.12629399585921325</v>
      </c>
      <c r="H130" s="21">
        <f t="shared" si="89"/>
        <v>-0.1918819188191882</v>
      </c>
      <c r="I130" s="21">
        <f>+(I124-E124)/E124</f>
        <v>0.22105263157894736</v>
      </c>
      <c r="J130" s="21"/>
      <c r="K130" s="21"/>
      <c r="L130" s="22" t="s">
        <v>442</v>
      </c>
      <c r="M130" s="21"/>
      <c r="N130" s="21">
        <f t="shared" si="90"/>
        <v>8.070866141732283E-2</v>
      </c>
      <c r="O130" s="21">
        <f t="shared" si="90"/>
        <v>5.9502125075895571E-2</v>
      </c>
      <c r="P130" s="21">
        <f>+(P124-O124)/O124</f>
        <v>-0.11575931232091691</v>
      </c>
      <c r="Q130" s="19"/>
      <c r="R130" s="19"/>
      <c r="S130" s="19"/>
      <c r="T130" s="19"/>
    </row>
    <row r="131" spans="1:20">
      <c r="A131" s="22" t="s">
        <v>353</v>
      </c>
      <c r="B131" s="21"/>
      <c r="C131" s="21"/>
      <c r="D131" s="21"/>
      <c r="E131" s="21"/>
      <c r="F131" s="21">
        <f t="shared" si="89"/>
        <v>-0.16723549488054607</v>
      </c>
      <c r="G131" s="21">
        <f t="shared" si="89"/>
        <v>0.1075</v>
      </c>
      <c r="H131" s="21">
        <f t="shared" si="89"/>
        <v>-8.6492890995260668E-2</v>
      </c>
      <c r="I131" s="21">
        <f>+(I125-E125)/E125</f>
        <v>8.6065573770491802E-2</v>
      </c>
      <c r="J131" s="21"/>
      <c r="K131" s="21"/>
      <c r="L131" s="22" t="s">
        <v>442</v>
      </c>
      <c r="M131" s="21"/>
      <c r="N131" s="21">
        <f t="shared" si="90"/>
        <v>0.26447058823529412</v>
      </c>
      <c r="O131" s="21">
        <f t="shared" si="90"/>
        <v>-0.15556382582806103</v>
      </c>
      <c r="P131" s="21">
        <f>+(P125-O125)/O125</f>
        <v>-7.0515645658880566E-3</v>
      </c>
      <c r="Q131" s="19"/>
      <c r="R131" s="19"/>
      <c r="S131" s="19"/>
      <c r="T131" s="19"/>
    </row>
    <row r="132" spans="1:20">
      <c r="A132" s="22" t="s">
        <v>354</v>
      </c>
      <c r="B132" s="21"/>
      <c r="C132" s="21"/>
      <c r="D132" s="21"/>
      <c r="E132" s="21"/>
      <c r="F132" s="21">
        <f t="shared" si="89"/>
        <v>-2.3148148148148147E-2</v>
      </c>
      <c r="G132" s="21">
        <f t="shared" si="89"/>
        <v>-2.181818181818182E-2</v>
      </c>
      <c r="H132" s="21">
        <f t="shared" si="89"/>
        <v>3.5353535353535352E-2</v>
      </c>
      <c r="I132" s="21">
        <f>+(I126-E126)/E126</f>
        <v>0.11353711790393013</v>
      </c>
      <c r="J132" s="21"/>
      <c r="K132" s="21"/>
      <c r="L132" s="22" t="s">
        <v>442</v>
      </c>
      <c r="M132" s="21"/>
      <c r="N132" s="21">
        <f t="shared" si="90"/>
        <v>-4.2910447761194029E-2</v>
      </c>
      <c r="O132" s="21">
        <f t="shared" si="90"/>
        <v>-0.10526315789473684</v>
      </c>
      <c r="P132" s="21">
        <f>+(P126-O126)/O126</f>
        <v>2.3965141612200435E-2</v>
      </c>
      <c r="Q132" s="19"/>
      <c r="R132" s="19"/>
      <c r="S132" s="19"/>
      <c r="T132" s="19"/>
    </row>
    <row r="133" spans="1:20" s="10" customFormat="1">
      <c r="A133" s="20"/>
      <c r="B133" s="20"/>
      <c r="C133" s="20"/>
      <c r="D133" s="20"/>
      <c r="E133" s="20"/>
      <c r="F133" s="20"/>
      <c r="G133" s="20"/>
      <c r="H133" s="20"/>
      <c r="I133" s="20"/>
      <c r="J133" s="20"/>
      <c r="K133" s="20"/>
      <c r="L133" s="23" t="s">
        <v>442</v>
      </c>
      <c r="M133" s="20"/>
      <c r="N133" s="20"/>
      <c r="O133" s="20"/>
      <c r="P133" s="20"/>
      <c r="Q133" s="20"/>
      <c r="R133" s="20"/>
      <c r="S133" s="20"/>
      <c r="T133" s="20"/>
    </row>
    <row r="134" spans="1:20" s="10" customFormat="1">
      <c r="A134" s="22" t="s">
        <v>467</v>
      </c>
      <c r="B134" s="20"/>
      <c r="C134" s="21">
        <f t="shared" ref="C134:I134" si="91">+(C122-B122)/B122</f>
        <v>-0.18638647784376428</v>
      </c>
      <c r="D134" s="21">
        <f t="shared" si="91"/>
        <v>-3.874227961819203E-2</v>
      </c>
      <c r="E134" s="21">
        <f t="shared" si="91"/>
        <v>0.2102803738317757</v>
      </c>
      <c r="F134" s="21">
        <f t="shared" si="91"/>
        <v>-0.15974903474903476</v>
      </c>
      <c r="G134" s="21">
        <f t="shared" si="91"/>
        <v>2.2975301550832855E-2</v>
      </c>
      <c r="H134" s="21">
        <f t="shared" si="91"/>
        <v>-8.1976417742841104E-2</v>
      </c>
      <c r="I134" s="21">
        <f t="shared" si="91"/>
        <v>0.34923547400611621</v>
      </c>
      <c r="J134" s="20"/>
      <c r="K134" s="20"/>
      <c r="L134" s="23" t="s">
        <v>442</v>
      </c>
      <c r="M134" s="20"/>
      <c r="N134" s="20"/>
      <c r="O134" s="20"/>
      <c r="P134" s="20"/>
      <c r="Q134" s="20"/>
      <c r="R134" s="20"/>
      <c r="S134" s="20"/>
      <c r="T134" s="20"/>
    </row>
    <row r="135" spans="1:20" s="10" customFormat="1">
      <c r="A135" s="22" t="s">
        <v>468</v>
      </c>
      <c r="B135" s="20"/>
      <c r="C135" s="21">
        <f t="shared" ref="C135:H138" si="92">+(C123-B123)/B123</f>
        <v>-0.29124004550625709</v>
      </c>
      <c r="D135" s="21">
        <f t="shared" si="92"/>
        <v>-0.3595505617977528</v>
      </c>
      <c r="E135" s="21">
        <f t="shared" si="92"/>
        <v>1.3082706766917294</v>
      </c>
      <c r="F135" s="21">
        <f t="shared" si="92"/>
        <v>-0.33116178067318131</v>
      </c>
      <c r="G135" s="21">
        <f t="shared" si="92"/>
        <v>5.0324675324675328E-2</v>
      </c>
      <c r="H135" s="21">
        <f t="shared" si="92"/>
        <v>-0.31993817619783615</v>
      </c>
      <c r="I135" s="21">
        <f>+(I123-H123)/H123</f>
        <v>1.1000000000000001</v>
      </c>
      <c r="J135" s="20"/>
      <c r="K135" s="20"/>
      <c r="L135" s="23" t="s">
        <v>442</v>
      </c>
      <c r="M135" s="20"/>
      <c r="N135" s="20"/>
      <c r="O135" s="20"/>
      <c r="P135" s="20"/>
      <c r="Q135" s="20"/>
      <c r="R135" s="20"/>
      <c r="S135" s="20"/>
      <c r="T135" s="20"/>
    </row>
    <row r="136" spans="1:20" s="10" customFormat="1">
      <c r="A136" s="22" t="s">
        <v>469</v>
      </c>
      <c r="B136" s="20"/>
      <c r="C136" s="21">
        <f t="shared" si="92"/>
        <v>-0.39700374531835209</v>
      </c>
      <c r="D136" s="21">
        <f t="shared" si="92"/>
        <v>-0.43892339544513459</v>
      </c>
      <c r="E136" s="21">
        <f t="shared" si="92"/>
        <v>-0.2988929889298893</v>
      </c>
      <c r="F136" s="21">
        <f t="shared" si="92"/>
        <v>2.5263157894736841</v>
      </c>
      <c r="G136" s="21">
        <f t="shared" si="92"/>
        <v>-0.37014925373134328</v>
      </c>
      <c r="H136" s="21">
        <f t="shared" si="92"/>
        <v>-0.48104265402843605</v>
      </c>
      <c r="I136" s="21">
        <f>+(I124-H124)/H124</f>
        <v>5.9360730593607303E-2</v>
      </c>
      <c r="J136" s="20"/>
      <c r="K136" s="20"/>
      <c r="L136" s="23" t="s">
        <v>442</v>
      </c>
      <c r="M136" s="20"/>
      <c r="N136" s="20"/>
      <c r="O136" s="20"/>
      <c r="P136" s="20"/>
      <c r="Q136" s="20"/>
      <c r="R136" s="20"/>
      <c r="S136" s="20"/>
      <c r="T136" s="20"/>
    </row>
    <row r="137" spans="1:20" s="10" customFormat="1">
      <c r="A137" s="22" t="s">
        <v>470</v>
      </c>
      <c r="B137" s="20"/>
      <c r="C137" s="21">
        <f t="shared" si="92"/>
        <v>0.3651877133105802</v>
      </c>
      <c r="D137" s="21">
        <f t="shared" si="92"/>
        <v>1.1100000000000001</v>
      </c>
      <c r="E137" s="21">
        <f t="shared" si="92"/>
        <v>-0.13270142180094788</v>
      </c>
      <c r="F137" s="21">
        <f t="shared" si="92"/>
        <v>-0.66666666666666663</v>
      </c>
      <c r="G137" s="21">
        <f t="shared" si="92"/>
        <v>0.81557377049180324</v>
      </c>
      <c r="H137" s="21">
        <f t="shared" si="92"/>
        <v>0.7404063205417607</v>
      </c>
      <c r="I137" s="21">
        <f>+(I125-H125)/H125</f>
        <v>3.1128404669260701E-2</v>
      </c>
      <c r="J137" s="20"/>
      <c r="K137" s="20"/>
      <c r="L137" s="23" t="s">
        <v>442</v>
      </c>
      <c r="M137" s="20"/>
      <c r="N137" s="20"/>
      <c r="O137" s="20"/>
      <c r="P137" s="20"/>
      <c r="Q137" s="20"/>
      <c r="R137" s="20"/>
      <c r="S137" s="20"/>
      <c r="T137" s="20"/>
    </row>
    <row r="138" spans="1:20">
      <c r="A138" s="22" t="s">
        <v>471</v>
      </c>
      <c r="B138" s="19"/>
      <c r="C138" s="21">
        <f t="shared" si="92"/>
        <v>0.27314814814814814</v>
      </c>
      <c r="D138" s="21">
        <f t="shared" si="92"/>
        <v>-0.28000000000000003</v>
      </c>
      <c r="E138" s="21">
        <f t="shared" si="92"/>
        <v>0.15656565656565657</v>
      </c>
      <c r="F138" s="21">
        <f t="shared" si="92"/>
        <v>-7.8602620087336247E-2</v>
      </c>
      <c r="G138" s="21">
        <f t="shared" si="92"/>
        <v>0.27488151658767773</v>
      </c>
      <c r="H138" s="21">
        <f t="shared" si="92"/>
        <v>-0.23791821561338289</v>
      </c>
      <c r="I138" s="21">
        <f>+(I126-H126)/H126</f>
        <v>0.24390243902439024</v>
      </c>
      <c r="J138" s="19"/>
      <c r="K138" s="19"/>
      <c r="L138" s="22" t="s">
        <v>442</v>
      </c>
      <c r="M138" s="22"/>
      <c r="N138" s="21"/>
      <c r="O138" s="21"/>
      <c r="P138" s="19"/>
      <c r="Q138" s="19"/>
      <c r="R138" s="19"/>
      <c r="S138" s="19"/>
      <c r="T138" s="19"/>
    </row>
    <row r="139" spans="1:20">
      <c r="A139" s="22"/>
      <c r="B139" s="21"/>
      <c r="C139" s="21"/>
      <c r="D139" s="21"/>
      <c r="E139" s="21"/>
      <c r="F139" s="21"/>
      <c r="G139" s="21"/>
      <c r="H139" s="21"/>
      <c r="I139" s="21"/>
      <c r="J139" s="21"/>
      <c r="K139" s="21"/>
      <c r="L139" s="22" t="s">
        <v>442</v>
      </c>
      <c r="M139" s="21"/>
      <c r="N139" s="21"/>
      <c r="O139" s="21"/>
      <c r="P139" s="21"/>
      <c r="Q139" s="19"/>
      <c r="R139" s="19"/>
      <c r="S139" s="19"/>
      <c r="T139" s="19"/>
    </row>
    <row r="140" spans="1:20">
      <c r="A140" s="22" t="s">
        <v>233</v>
      </c>
      <c r="B140" s="19"/>
      <c r="C140" s="19"/>
      <c r="D140" s="19"/>
      <c r="E140" s="19"/>
      <c r="F140" s="19"/>
      <c r="G140" s="19"/>
      <c r="H140" s="19"/>
      <c r="I140" s="19"/>
      <c r="J140" s="19"/>
      <c r="K140" s="19"/>
      <c r="L140" s="22" t="s">
        <v>442</v>
      </c>
      <c r="M140" s="19"/>
      <c r="N140" s="19"/>
      <c r="O140" s="19"/>
      <c r="P140" s="19"/>
      <c r="Q140" s="19"/>
      <c r="R140" s="19"/>
      <c r="S140" s="19"/>
      <c r="T140" s="19"/>
    </row>
    <row r="141" spans="1:20" s="24" customFormat="1">
      <c r="A141" s="26" t="s">
        <v>234</v>
      </c>
      <c r="B141" s="26"/>
      <c r="C141" s="26"/>
      <c r="D141" s="26"/>
      <c r="E141" s="26"/>
      <c r="F141" s="26">
        <v>-0.03</v>
      </c>
      <c r="G141" s="26"/>
      <c r="H141" s="26">
        <v>-0.05</v>
      </c>
      <c r="I141" s="26"/>
      <c r="J141" s="26"/>
      <c r="K141" s="26"/>
      <c r="L141" s="21" t="s">
        <v>442</v>
      </c>
      <c r="M141" s="26"/>
      <c r="N141" s="26">
        <v>0.1</v>
      </c>
      <c r="O141" s="26">
        <v>7.0000000000000007E-2</v>
      </c>
      <c r="P141" s="26">
        <v>-0.05</v>
      </c>
      <c r="Q141" s="26"/>
      <c r="R141" s="26"/>
      <c r="S141" s="26"/>
      <c r="T141" s="26"/>
    </row>
    <row r="142" spans="1:20" s="24" customFormat="1">
      <c r="A142" s="26" t="s">
        <v>235</v>
      </c>
      <c r="B142" s="26"/>
      <c r="C142" s="26"/>
      <c r="D142" s="26"/>
      <c r="E142" s="26"/>
      <c r="F142" s="26">
        <v>-0.18</v>
      </c>
      <c r="G142" s="26"/>
      <c r="H142" s="26">
        <v>-0.02</v>
      </c>
      <c r="I142" s="26"/>
      <c r="J142" s="26"/>
      <c r="K142" s="26"/>
      <c r="L142" s="21" t="s">
        <v>442</v>
      </c>
      <c r="M142" s="26"/>
      <c r="N142" s="26">
        <v>0.05</v>
      </c>
      <c r="O142" s="26">
        <v>-0.1</v>
      </c>
      <c r="P142" s="26">
        <v>0.03</v>
      </c>
      <c r="Q142" s="26"/>
      <c r="R142" s="26"/>
      <c r="S142" s="26"/>
      <c r="T142" s="26"/>
    </row>
    <row r="143" spans="1:20" s="24" customFormat="1">
      <c r="A143" s="26" t="s">
        <v>236</v>
      </c>
      <c r="B143" s="26"/>
      <c r="C143" s="26"/>
      <c r="D143" s="26"/>
      <c r="E143" s="26"/>
      <c r="F143" s="26">
        <v>-0.01</v>
      </c>
      <c r="G143" s="26"/>
      <c r="H143" s="26">
        <v>-0.03</v>
      </c>
      <c r="I143" s="26"/>
      <c r="J143" s="26"/>
      <c r="K143" s="26"/>
      <c r="L143" s="21" t="s">
        <v>442</v>
      </c>
      <c r="M143" s="26"/>
      <c r="N143" s="26">
        <v>-0.03</v>
      </c>
      <c r="O143" s="26">
        <v>-0.01</v>
      </c>
      <c r="P143" s="26">
        <v>-0.03</v>
      </c>
      <c r="Q143" s="26"/>
      <c r="R143" s="26"/>
      <c r="S143" s="26"/>
      <c r="T143" s="26"/>
    </row>
    <row r="144" spans="1:20" s="24" customFormat="1">
      <c r="A144" s="26" t="s">
        <v>237</v>
      </c>
      <c r="B144" s="26"/>
      <c r="C144" s="26"/>
      <c r="D144" s="26"/>
      <c r="E144" s="26"/>
      <c r="F144" s="26">
        <v>0.02</v>
      </c>
      <c r="G144" s="26"/>
      <c r="H144" s="26">
        <v>0.01</v>
      </c>
      <c r="I144" s="26"/>
      <c r="J144" s="26"/>
      <c r="K144" s="26"/>
      <c r="L144" s="21" t="s">
        <v>442</v>
      </c>
      <c r="M144" s="26"/>
      <c r="N144" s="26">
        <v>-0.01</v>
      </c>
      <c r="O144" s="26">
        <v>0.03</v>
      </c>
      <c r="P144" s="26">
        <v>0</v>
      </c>
      <c r="Q144" s="26"/>
      <c r="R144" s="26"/>
      <c r="S144" s="26"/>
      <c r="T144" s="26"/>
    </row>
    <row r="145" spans="1:20">
      <c r="A145" s="22"/>
      <c r="B145" s="21"/>
      <c r="C145" s="21"/>
      <c r="D145" s="21"/>
      <c r="E145" s="21"/>
      <c r="F145" s="21"/>
      <c r="G145" s="21"/>
      <c r="H145" s="21"/>
      <c r="I145" s="21"/>
      <c r="J145" s="21"/>
      <c r="K145" s="21"/>
      <c r="L145" s="22" t="s">
        <v>442</v>
      </c>
      <c r="M145" s="21"/>
      <c r="N145" s="21"/>
      <c r="O145" s="21"/>
      <c r="P145" s="21"/>
      <c r="Q145" s="19"/>
      <c r="R145" s="19"/>
      <c r="S145" s="19"/>
      <c r="T145" s="19"/>
    </row>
    <row r="146" spans="1:20">
      <c r="L146" s="3" t="s">
        <v>442</v>
      </c>
      <c r="M146" s="10"/>
      <c r="N146" s="10"/>
      <c r="O146" s="10"/>
    </row>
    <row r="147" spans="1:20">
      <c r="A147" s="3"/>
      <c r="B147" s="3" t="str">
        <f t="shared" ref="B147:K147" si="93">B4</f>
        <v>Q123</v>
      </c>
      <c r="C147" s="3" t="str">
        <f t="shared" si="93"/>
        <v>Q223</v>
      </c>
      <c r="D147" s="3" t="str">
        <f t="shared" si="93"/>
        <v>Q323</v>
      </c>
      <c r="E147" s="3" t="str">
        <f t="shared" si="93"/>
        <v>Q423</v>
      </c>
      <c r="F147" s="3" t="str">
        <f t="shared" si="93"/>
        <v>Q124</v>
      </c>
      <c r="G147" s="3" t="str">
        <f t="shared" si="93"/>
        <v>Q224</v>
      </c>
      <c r="H147" s="3" t="str">
        <f t="shared" si="93"/>
        <v>Q324</v>
      </c>
      <c r="I147" s="3" t="str">
        <f t="shared" si="93"/>
        <v>Q424</v>
      </c>
      <c r="J147" s="3" t="str">
        <f t="shared" si="93"/>
        <v>Q125</v>
      </c>
      <c r="K147" s="3" t="str">
        <f t="shared" si="93"/>
        <v>Q225</v>
      </c>
      <c r="L147" s="3" t="s">
        <v>442</v>
      </c>
      <c r="M147" s="3">
        <f>M4</f>
        <v>2021</v>
      </c>
      <c r="N147" s="3">
        <f>N4</f>
        <v>2022</v>
      </c>
      <c r="O147" s="3">
        <f>O4</f>
        <v>2023</v>
      </c>
      <c r="P147" s="3">
        <f>P4</f>
        <v>2024</v>
      </c>
      <c r="Q147" s="3"/>
      <c r="R147" s="3"/>
      <c r="S147" s="3"/>
      <c r="T147" s="3"/>
    </row>
    <row r="148" spans="1:20" s="24" customFormat="1">
      <c r="A148" s="16" t="s">
        <v>245</v>
      </c>
      <c r="B148" s="16"/>
      <c r="C148" s="16"/>
      <c r="D148" s="16"/>
      <c r="E148" s="16"/>
      <c r="F148" s="16">
        <f>+(F150-B150)/B150</f>
        <v>-8.026208026208026E-2</v>
      </c>
      <c r="G148" s="16">
        <f>+(G150-C150)/C150</f>
        <v>1.1083540115798181E-2</v>
      </c>
      <c r="H148" s="16">
        <f>+(H150-D150)/D150</f>
        <v>-0.10193050193050193</v>
      </c>
      <c r="I148" s="16">
        <f>+(I150-E150)/E150</f>
        <v>7.3104936606420284E-2</v>
      </c>
      <c r="J148" s="16"/>
      <c r="K148" s="16"/>
      <c r="L148" s="17" t="s">
        <v>442</v>
      </c>
      <c r="M148" s="16"/>
      <c r="N148" s="16">
        <f>(N150-M150)/M150</f>
        <v>0.11497923985946981</v>
      </c>
      <c r="O148" s="16">
        <f t="shared" ref="O148:P148" si="94">(O150-N150)/N150</f>
        <v>-1.3119450014322544E-2</v>
      </c>
      <c r="P148" s="16">
        <f t="shared" si="94"/>
        <v>-1.8460466736328805E-2</v>
      </c>
      <c r="Q148" s="16"/>
      <c r="R148" s="16"/>
      <c r="S148" s="16"/>
      <c r="T148" s="16"/>
    </row>
    <row r="149" spans="1:20">
      <c r="A149" s="17" t="s">
        <v>451</v>
      </c>
      <c r="B149" s="27"/>
      <c r="C149" s="27">
        <f t="shared" ref="C149" si="95">(C150-B150)/B150</f>
        <v>0.23771498771498772</v>
      </c>
      <c r="D149" s="27">
        <f t="shared" ref="D149" si="96">(D150-C150)/C150</f>
        <v>-0.57154673283705537</v>
      </c>
      <c r="E149" s="27">
        <f t="shared" ref="E149" si="97">(E150-D150)/D150</f>
        <v>0.43127413127413128</v>
      </c>
      <c r="F149" s="27">
        <f t="shared" ref="F149:I149" si="98">(F150-E150)/E150</f>
        <v>0.2117615322363097</v>
      </c>
      <c r="G149" s="27">
        <f t="shared" si="98"/>
        <v>0.36064113980409618</v>
      </c>
      <c r="H149" s="27">
        <f t="shared" si="98"/>
        <v>-0.61943717277486909</v>
      </c>
      <c r="I149" s="27">
        <f t="shared" si="98"/>
        <v>0.71023215821152197</v>
      </c>
      <c r="J149" s="27"/>
      <c r="K149" s="27"/>
      <c r="L149" s="17" t="s">
        <v>442</v>
      </c>
      <c r="M149" s="27"/>
      <c r="N149" s="27"/>
      <c r="O149" s="27"/>
      <c r="P149" s="27"/>
      <c r="Q149" s="17"/>
      <c r="R149" s="17"/>
      <c r="S149" s="17"/>
      <c r="T149" s="17"/>
    </row>
    <row r="150" spans="1:20">
      <c r="A150" s="14" t="s">
        <v>244</v>
      </c>
      <c r="B150" s="15">
        <v>4884</v>
      </c>
      <c r="C150" s="15">
        <v>6045</v>
      </c>
      <c r="D150" s="15">
        <v>2590</v>
      </c>
      <c r="E150" s="15">
        <f>+O150-SUM(B150:D150)</f>
        <v>3707</v>
      </c>
      <c r="F150" s="15">
        <v>4492</v>
      </c>
      <c r="G150" s="15">
        <v>6112</v>
      </c>
      <c r="H150" s="15">
        <v>2326</v>
      </c>
      <c r="I150" s="15">
        <f>+P150-SUM(F150:H150)</f>
        <v>3978</v>
      </c>
      <c r="J150" s="15"/>
      <c r="K150" s="15"/>
      <c r="L150" s="17" t="s">
        <v>442</v>
      </c>
      <c r="M150" s="15">
        <v>15655</v>
      </c>
      <c r="N150" s="15">
        <v>17455</v>
      </c>
      <c r="O150" s="15">
        <v>17226</v>
      </c>
      <c r="P150" s="15">
        <v>16908</v>
      </c>
      <c r="Q150" s="14"/>
      <c r="R150" s="14"/>
      <c r="S150" s="14"/>
      <c r="T150" s="14"/>
    </row>
    <row r="151" spans="1:20">
      <c r="A151" s="14" t="s">
        <v>238</v>
      </c>
      <c r="B151" s="15">
        <v>2771</v>
      </c>
      <c r="C151" s="15">
        <v>3137</v>
      </c>
      <c r="D151" s="15">
        <v>1646</v>
      </c>
      <c r="E151" s="15">
        <f>+O151-SUM(B151:D151)</f>
        <v>2366</v>
      </c>
      <c r="F151" s="15">
        <v>2550</v>
      </c>
      <c r="G151" s="15">
        <v>2918</v>
      </c>
      <c r="H151" s="15">
        <v>1565</v>
      </c>
      <c r="I151" s="15">
        <f>+P151-SUM(F151:H151)</f>
        <v>2496</v>
      </c>
      <c r="J151" s="15"/>
      <c r="K151" s="15"/>
      <c r="L151" s="17" t="s">
        <v>442</v>
      </c>
      <c r="M151" s="15">
        <v>9220</v>
      </c>
      <c r="N151" s="15">
        <v>10436</v>
      </c>
      <c r="O151" s="15">
        <v>9920</v>
      </c>
      <c r="P151" s="15">
        <v>9529</v>
      </c>
      <c r="Q151" s="14"/>
      <c r="R151" s="14"/>
      <c r="S151" s="14"/>
      <c r="T151" s="14"/>
    </row>
    <row r="152" spans="1:20">
      <c r="A152" s="17" t="s">
        <v>243</v>
      </c>
      <c r="B152" s="18">
        <f t="shared" ref="B152" si="99">+B150-B151</f>
        <v>2113</v>
      </c>
      <c r="C152" s="18">
        <f t="shared" ref="C152" si="100">+C150-C151</f>
        <v>2908</v>
      </c>
      <c r="D152" s="18">
        <f t="shared" ref="D152" si="101">+D150-D151</f>
        <v>944</v>
      </c>
      <c r="E152" s="18">
        <f t="shared" ref="E152" si="102">+E150-E151</f>
        <v>1341</v>
      </c>
      <c r="F152" s="18">
        <f t="shared" ref="F152" si="103">+F150-F151</f>
        <v>1942</v>
      </c>
      <c r="G152" s="18">
        <f t="shared" ref="G152:H152" si="104">+G150-G151</f>
        <v>3194</v>
      </c>
      <c r="H152" s="18">
        <f t="shared" si="104"/>
        <v>761</v>
      </c>
      <c r="I152" s="18">
        <f t="shared" ref="I152:J152" si="105">+I150-I151</f>
        <v>1482</v>
      </c>
      <c r="J152" s="18">
        <f t="shared" si="105"/>
        <v>0</v>
      </c>
      <c r="K152" s="18">
        <f t="shared" ref="K152" si="106">+K150-K151</f>
        <v>0</v>
      </c>
      <c r="L152" s="17" t="s">
        <v>442</v>
      </c>
      <c r="M152" s="18">
        <f t="shared" ref="M152:N152" si="107">+M150-M151</f>
        <v>6435</v>
      </c>
      <c r="N152" s="18">
        <f t="shared" si="107"/>
        <v>7019</v>
      </c>
      <c r="O152" s="18">
        <f>+O150-O151</f>
        <v>7306</v>
      </c>
      <c r="P152" s="18">
        <f t="shared" ref="P152" si="108">+P150-P151</f>
        <v>7379</v>
      </c>
      <c r="Q152" s="17"/>
      <c r="R152" s="17"/>
      <c r="S152" s="17"/>
      <c r="T152" s="17"/>
    </row>
    <row r="153" spans="1:20">
      <c r="A153" s="14" t="s">
        <v>239</v>
      </c>
      <c r="B153" s="14">
        <v>316</v>
      </c>
      <c r="C153" s="14">
        <v>329</v>
      </c>
      <c r="D153" s="14">
        <v>335</v>
      </c>
      <c r="E153" s="15">
        <f t="shared" ref="E153:E158" si="109">+O153-SUM(B153:D153)</f>
        <v>357</v>
      </c>
      <c r="F153" s="14">
        <v>332</v>
      </c>
      <c r="G153" s="14">
        <v>357</v>
      </c>
      <c r="H153" s="14">
        <v>348</v>
      </c>
      <c r="I153" s="15">
        <f t="shared" ref="I153:I158" si="110">+P153-SUM(F153:H153)</f>
        <v>365</v>
      </c>
      <c r="J153" s="14"/>
      <c r="K153" s="14"/>
      <c r="L153" s="17" t="s">
        <v>442</v>
      </c>
      <c r="M153" s="14">
        <v>1187</v>
      </c>
      <c r="N153" s="14">
        <v>1216</v>
      </c>
      <c r="O153" s="14">
        <v>1337</v>
      </c>
      <c r="P153" s="14">
        <v>1402</v>
      </c>
      <c r="Q153" s="14"/>
      <c r="R153" s="14"/>
      <c r="S153" s="14"/>
      <c r="T153" s="14"/>
    </row>
    <row r="154" spans="1:20">
      <c r="A154" s="14" t="s">
        <v>246</v>
      </c>
      <c r="B154" s="14">
        <v>726</v>
      </c>
      <c r="C154" s="14">
        <v>1045</v>
      </c>
      <c r="D154" s="14">
        <v>670</v>
      </c>
      <c r="E154" s="15">
        <f t="shared" si="109"/>
        <v>735</v>
      </c>
      <c r="F154" s="14">
        <v>736</v>
      </c>
      <c r="G154" s="14">
        <v>1054</v>
      </c>
      <c r="H154" s="14">
        <v>671</v>
      </c>
      <c r="I154" s="15">
        <f t="shared" si="110"/>
        <v>735</v>
      </c>
      <c r="J154" s="14"/>
      <c r="K154" s="14"/>
      <c r="L154" s="17" t="s">
        <v>442</v>
      </c>
      <c r="M154" s="14">
        <v>3209</v>
      </c>
      <c r="N154" s="14">
        <v>3173</v>
      </c>
      <c r="O154" s="14">
        <v>3176</v>
      </c>
      <c r="P154" s="14">
        <v>3196</v>
      </c>
      <c r="Q154" s="14"/>
      <c r="R154" s="14"/>
      <c r="S154" s="14"/>
      <c r="T154" s="14"/>
    </row>
    <row r="155" spans="1:20">
      <c r="A155" s="14" t="s">
        <v>247</v>
      </c>
      <c r="B155" s="14">
        <v>160</v>
      </c>
      <c r="C155" s="14">
        <v>174</v>
      </c>
      <c r="D155" s="14">
        <v>174</v>
      </c>
      <c r="E155" s="15">
        <f t="shared" si="109"/>
        <v>175</v>
      </c>
      <c r="F155" s="14">
        <v>177</v>
      </c>
      <c r="G155" s="14">
        <v>174</v>
      </c>
      <c r="H155" s="14">
        <v>170</v>
      </c>
      <c r="I155" s="15">
        <f t="shared" si="110"/>
        <v>164</v>
      </c>
      <c r="J155" s="14"/>
      <c r="K155" s="14"/>
      <c r="L155" s="17" t="s">
        <v>442</v>
      </c>
      <c r="M155" s="14">
        <v>722</v>
      </c>
      <c r="N155" s="14">
        <v>702</v>
      </c>
      <c r="O155" s="14">
        <v>683</v>
      </c>
      <c r="P155" s="14">
        <v>685</v>
      </c>
      <c r="Q155" s="14"/>
      <c r="R155" s="14"/>
      <c r="S155" s="14"/>
      <c r="T155" s="14"/>
    </row>
    <row r="156" spans="1:20">
      <c r="A156" s="14" t="s">
        <v>248</v>
      </c>
      <c r="B156" s="14">
        <v>33</v>
      </c>
      <c r="C156" s="14">
        <v>60</v>
      </c>
      <c r="D156" s="14">
        <v>2</v>
      </c>
      <c r="E156" s="15">
        <f t="shared" si="109"/>
        <v>241</v>
      </c>
      <c r="F156" s="14">
        <v>75</v>
      </c>
      <c r="G156" s="14">
        <v>92</v>
      </c>
      <c r="H156" s="14">
        <v>32</v>
      </c>
      <c r="I156" s="15">
        <f t="shared" si="110"/>
        <v>89</v>
      </c>
      <c r="J156" s="14"/>
      <c r="K156" s="14"/>
      <c r="L156" s="17" t="s">
        <v>442</v>
      </c>
      <c r="M156" s="14">
        <v>289</v>
      </c>
      <c r="N156" s="14">
        <v>363</v>
      </c>
      <c r="O156" s="14">
        <v>336</v>
      </c>
      <c r="P156" s="14">
        <v>288</v>
      </c>
      <c r="Q156" s="14"/>
      <c r="R156" s="14"/>
      <c r="S156" s="14"/>
      <c r="T156" s="14"/>
    </row>
    <row r="157" spans="1:20" s="36" customFormat="1">
      <c r="A157" s="28" t="s">
        <v>251</v>
      </c>
      <c r="B157" s="28">
        <v>-71</v>
      </c>
      <c r="C157" s="28">
        <v>-134</v>
      </c>
      <c r="D157" s="28">
        <v>-149</v>
      </c>
      <c r="E157" s="15">
        <f t="shared" si="109"/>
        <v>-94</v>
      </c>
      <c r="F157" s="28">
        <v>-99</v>
      </c>
      <c r="G157" s="28">
        <v>-113</v>
      </c>
      <c r="H157" s="28">
        <v>-107</v>
      </c>
      <c r="I157" s="15">
        <f t="shared" si="110"/>
        <v>19</v>
      </c>
      <c r="J157" s="28"/>
      <c r="K157" s="28"/>
      <c r="L157" s="30" t="s">
        <v>442</v>
      </c>
      <c r="M157" s="28">
        <v>1348</v>
      </c>
      <c r="N157" s="28">
        <v>-60</v>
      </c>
      <c r="O157" s="28">
        <v>-448</v>
      </c>
      <c r="P157" s="28">
        <v>-300</v>
      </c>
      <c r="Q157" s="28"/>
      <c r="R157" s="28"/>
      <c r="S157" s="28"/>
      <c r="T157" s="28"/>
    </row>
    <row r="158" spans="1:20">
      <c r="A158" s="14" t="s">
        <v>240</v>
      </c>
      <c r="B158" s="14">
        <v>31</v>
      </c>
      <c r="C158" s="14">
        <v>82</v>
      </c>
      <c r="D158" s="14">
        <v>58</v>
      </c>
      <c r="E158" s="15">
        <f t="shared" si="109"/>
        <v>62</v>
      </c>
      <c r="F158" s="14">
        <v>41</v>
      </c>
      <c r="G158" s="14">
        <v>66</v>
      </c>
      <c r="H158" s="14">
        <v>66</v>
      </c>
      <c r="I158" s="15">
        <f t="shared" si="110"/>
        <v>60</v>
      </c>
      <c r="J158" s="14"/>
      <c r="K158" s="14"/>
      <c r="L158" s="17" t="s">
        <v>442</v>
      </c>
      <c r="M158" s="14">
        <v>30</v>
      </c>
      <c r="N158" s="14">
        <v>79</v>
      </c>
      <c r="O158" s="14">
        <v>233</v>
      </c>
      <c r="P158" s="14">
        <v>233</v>
      </c>
      <c r="Q158" s="14"/>
      <c r="R158" s="14"/>
      <c r="S158" s="14"/>
      <c r="T158" s="14"/>
    </row>
    <row r="159" spans="1:20">
      <c r="A159" s="17" t="s">
        <v>249</v>
      </c>
      <c r="B159" s="17">
        <f t="shared" ref="B159" si="111">+B153+B154+B155+B156+B158</f>
        <v>1266</v>
      </c>
      <c r="C159" s="17">
        <f t="shared" ref="C159" si="112">+C153+C154+C155+C156+C158</f>
        <v>1690</v>
      </c>
      <c r="D159" s="17">
        <f t="shared" ref="D159" si="113">+D153+D154+D155+D156+D158</f>
        <v>1239</v>
      </c>
      <c r="E159" s="17">
        <f t="shared" ref="E159" si="114">+E153+E154+E155+E156+E158</f>
        <v>1570</v>
      </c>
      <c r="F159" s="17">
        <f t="shared" ref="F159" si="115">+F153+F154+F155+F156+F158</f>
        <v>1361</v>
      </c>
      <c r="G159" s="17">
        <f t="shared" ref="G159:H159" si="116">+G153+G154+G155+G156+G158</f>
        <v>1743</v>
      </c>
      <c r="H159" s="17">
        <f t="shared" si="116"/>
        <v>1287</v>
      </c>
      <c r="I159" s="17">
        <f t="shared" ref="I159:J159" si="117">+I153+I154+I155+I156+I158</f>
        <v>1413</v>
      </c>
      <c r="J159" s="17">
        <f t="shared" si="117"/>
        <v>0</v>
      </c>
      <c r="K159" s="17">
        <f t="shared" ref="K159" si="118">+K153+K154+K155+K156+K158</f>
        <v>0</v>
      </c>
      <c r="L159" s="17" t="s">
        <v>442</v>
      </c>
      <c r="M159" s="17">
        <f>+M153+M154+M155+M156+M158</f>
        <v>5437</v>
      </c>
      <c r="N159" s="17">
        <f t="shared" ref="N159:P159" si="119">+N153+N154+N155+N156+N158</f>
        <v>5533</v>
      </c>
      <c r="O159" s="17">
        <f t="shared" si="119"/>
        <v>5765</v>
      </c>
      <c r="P159" s="17">
        <f t="shared" si="119"/>
        <v>5804</v>
      </c>
      <c r="Q159" s="17"/>
      <c r="R159" s="17"/>
      <c r="S159" s="17"/>
      <c r="T159" s="17"/>
    </row>
    <row r="160" spans="1:20">
      <c r="A160" s="17" t="s">
        <v>253</v>
      </c>
      <c r="B160" s="18">
        <f t="shared" ref="B160" si="120">+B152+B157-B159</f>
        <v>776</v>
      </c>
      <c r="C160" s="18">
        <f t="shared" ref="C160" si="121">+C152+C157-C159</f>
        <v>1084</v>
      </c>
      <c r="D160" s="18">
        <f t="shared" ref="D160" si="122">+D152+D157-D159</f>
        <v>-444</v>
      </c>
      <c r="E160" s="18">
        <f t="shared" ref="E160" si="123">+E152+E157-E159</f>
        <v>-323</v>
      </c>
      <c r="F160" s="18">
        <f t="shared" ref="F160" si="124">+F152+F157-F159</f>
        <v>482</v>
      </c>
      <c r="G160" s="18">
        <f t="shared" ref="G160:H160" si="125">+G152+G157-G159</f>
        <v>1338</v>
      </c>
      <c r="H160" s="18">
        <f t="shared" si="125"/>
        <v>-633</v>
      </c>
      <c r="I160" s="18">
        <f t="shared" ref="I160:J160" si="126">+I152+I157-I159</f>
        <v>88</v>
      </c>
      <c r="J160" s="18">
        <f t="shared" si="126"/>
        <v>0</v>
      </c>
      <c r="K160" s="18">
        <f t="shared" ref="K160" si="127">+K152+K157-K159</f>
        <v>0</v>
      </c>
      <c r="L160" s="17" t="s">
        <v>442</v>
      </c>
      <c r="M160" s="18">
        <f>+M152+M157-M159</f>
        <v>2346</v>
      </c>
      <c r="N160" s="18">
        <f t="shared" ref="N160:P160" si="128">+N152+N157-N159</f>
        <v>1426</v>
      </c>
      <c r="O160" s="18">
        <f t="shared" si="128"/>
        <v>1093</v>
      </c>
      <c r="P160" s="18">
        <f t="shared" si="128"/>
        <v>1275</v>
      </c>
      <c r="Q160" s="17"/>
      <c r="R160" s="17"/>
      <c r="S160" s="17"/>
      <c r="T160" s="17"/>
    </row>
    <row r="161" spans="1:20">
      <c r="A161" s="14" t="s">
        <v>252</v>
      </c>
      <c r="B161" s="14">
        <v>169</v>
      </c>
      <c r="C161" s="14">
        <v>204</v>
      </c>
      <c r="D161" s="14">
        <v>-129</v>
      </c>
      <c r="E161" s="15">
        <f>+O161-SUM(B161:D161)</f>
        <v>-92</v>
      </c>
      <c r="F161" s="14">
        <v>106</v>
      </c>
      <c r="G161" s="14">
        <v>282</v>
      </c>
      <c r="H161" s="14">
        <v>-114</v>
      </c>
      <c r="I161" s="15">
        <f>+P161-SUM(F161:H161)</f>
        <v>138</v>
      </c>
      <c r="J161" s="14"/>
      <c r="K161" s="14"/>
      <c r="L161" s="17" t="s">
        <v>442</v>
      </c>
      <c r="M161" s="14">
        <v>524</v>
      </c>
      <c r="N161" s="14">
        <v>210</v>
      </c>
      <c r="O161" s="14">
        <v>152</v>
      </c>
      <c r="P161" s="14">
        <v>412</v>
      </c>
      <c r="Q161" s="14"/>
      <c r="R161" s="14"/>
      <c r="S161" s="14"/>
      <c r="T161" s="14"/>
    </row>
    <row r="162" spans="1:20">
      <c r="A162" s="17" t="s">
        <v>250</v>
      </c>
      <c r="B162" s="18">
        <f t="shared" ref="B162:I162" si="129">+B160-B161</f>
        <v>607</v>
      </c>
      <c r="C162" s="18">
        <f t="shared" si="129"/>
        <v>880</v>
      </c>
      <c r="D162" s="18">
        <f t="shared" si="129"/>
        <v>-315</v>
      </c>
      <c r="E162" s="18">
        <f t="shared" si="129"/>
        <v>-231</v>
      </c>
      <c r="F162" s="18">
        <f t="shared" si="129"/>
        <v>376</v>
      </c>
      <c r="G162" s="18">
        <f t="shared" si="129"/>
        <v>1056</v>
      </c>
      <c r="H162" s="18">
        <f t="shared" si="129"/>
        <v>-519</v>
      </c>
      <c r="I162" s="18">
        <f t="shared" si="129"/>
        <v>-50</v>
      </c>
      <c r="J162" s="18">
        <f t="shared" ref="J162:K162" si="130">+J160-J161</f>
        <v>0</v>
      </c>
      <c r="K162" s="18">
        <f t="shared" si="130"/>
        <v>0</v>
      </c>
      <c r="L162" s="17" t="s">
        <v>442</v>
      </c>
      <c r="M162" s="18">
        <f>+M160-M161</f>
        <v>1822</v>
      </c>
      <c r="N162" s="18">
        <f t="shared" ref="N162:O162" si="131">+N160-N161</f>
        <v>1216</v>
      </c>
      <c r="O162" s="18">
        <f t="shared" si="131"/>
        <v>941</v>
      </c>
      <c r="P162" s="18">
        <f>+P160-P161</f>
        <v>863</v>
      </c>
      <c r="Q162" s="17"/>
      <c r="R162" s="17"/>
      <c r="S162" s="17"/>
      <c r="T162" s="17"/>
    </row>
    <row r="163" spans="1:20">
      <c r="A163" s="14" t="s">
        <v>254</v>
      </c>
      <c r="B163" s="14">
        <v>-8</v>
      </c>
      <c r="C163" s="14">
        <v>-163</v>
      </c>
      <c r="D163" s="14">
        <v>-3</v>
      </c>
      <c r="E163" s="15">
        <f>+O163-SUM(B163:D163)</f>
        <v>-20</v>
      </c>
      <c r="F163" s="14">
        <v>47</v>
      </c>
      <c r="G163" s="14">
        <v>0</v>
      </c>
      <c r="H163" s="14">
        <v>-2</v>
      </c>
      <c r="I163" s="15">
        <f>+P163-SUM(F163:H163)</f>
        <v>11</v>
      </c>
      <c r="J163" s="14"/>
      <c r="K163" s="14"/>
      <c r="L163" s="17" t="s">
        <v>442</v>
      </c>
      <c r="M163" s="14">
        <v>-53</v>
      </c>
      <c r="N163" s="14">
        <v>-58</v>
      </c>
      <c r="O163" s="14">
        <v>-194</v>
      </c>
      <c r="P163" s="14">
        <v>56</v>
      </c>
      <c r="Q163" s="14"/>
      <c r="R163" s="14"/>
      <c r="S163" s="14"/>
      <c r="T163" s="14"/>
    </row>
    <row r="164" spans="1:20">
      <c r="A164" s="17" t="s">
        <v>255</v>
      </c>
      <c r="B164" s="18">
        <f t="shared" ref="B164" si="132">+B162+B163</f>
        <v>599</v>
      </c>
      <c r="C164" s="18">
        <f t="shared" ref="C164" si="133">+C162+C163</f>
        <v>717</v>
      </c>
      <c r="D164" s="18">
        <f t="shared" ref="D164" si="134">+D162+D163</f>
        <v>-318</v>
      </c>
      <c r="E164" s="18">
        <f t="shared" ref="E164" si="135">+E162+E163</f>
        <v>-251</v>
      </c>
      <c r="F164" s="18">
        <f t="shared" ref="F164" si="136">+F162+F163</f>
        <v>423</v>
      </c>
      <c r="G164" s="18">
        <f t="shared" ref="G164:H164" si="137">+G162+G163</f>
        <v>1056</v>
      </c>
      <c r="H164" s="18">
        <f t="shared" si="137"/>
        <v>-521</v>
      </c>
      <c r="I164" s="18">
        <f t="shared" ref="I164:J164" si="138">+I162+I163</f>
        <v>-39</v>
      </c>
      <c r="J164" s="18">
        <f t="shared" si="138"/>
        <v>0</v>
      </c>
      <c r="K164" s="18">
        <f t="shared" ref="K164" si="139">+K162+K163</f>
        <v>0</v>
      </c>
      <c r="L164" s="17" t="s">
        <v>442</v>
      </c>
      <c r="M164" s="18">
        <f>+M162+M163</f>
        <v>1769</v>
      </c>
      <c r="N164" s="18">
        <f t="shared" ref="N164:P164" si="140">+N162+N163</f>
        <v>1158</v>
      </c>
      <c r="O164" s="18">
        <f t="shared" si="140"/>
        <v>747</v>
      </c>
      <c r="P164" s="18">
        <f t="shared" si="140"/>
        <v>919</v>
      </c>
      <c r="Q164" s="17"/>
      <c r="R164" s="17"/>
      <c r="S164" s="17"/>
      <c r="T164" s="17"/>
    </row>
    <row r="165" spans="1:20">
      <c r="A165" s="14" t="s">
        <v>259</v>
      </c>
      <c r="B165" s="15">
        <v>4</v>
      </c>
      <c r="C165" s="15">
        <v>3</v>
      </c>
      <c r="D165" s="15">
        <v>3</v>
      </c>
      <c r="E165" s="15">
        <f>+O165-SUM(B165:D165)</f>
        <v>2</v>
      </c>
      <c r="F165" s="15">
        <v>4</v>
      </c>
      <c r="G165" s="15">
        <v>3</v>
      </c>
      <c r="H165" s="15">
        <v>3</v>
      </c>
      <c r="I165" s="15">
        <f>+P165-SUM(F165:H165)</f>
        <v>2</v>
      </c>
      <c r="J165" s="15"/>
      <c r="K165" s="15"/>
      <c r="L165" s="17" t="s">
        <v>442</v>
      </c>
      <c r="M165" s="15">
        <v>10</v>
      </c>
      <c r="N165" s="15">
        <v>11</v>
      </c>
      <c r="O165" s="15">
        <v>12</v>
      </c>
      <c r="P165" s="15">
        <v>12</v>
      </c>
      <c r="Q165" s="14"/>
      <c r="R165" s="14"/>
      <c r="S165" s="14"/>
      <c r="T165" s="14"/>
    </row>
    <row r="166" spans="1:20">
      <c r="A166" s="17" t="s">
        <v>256</v>
      </c>
      <c r="B166" s="18">
        <f t="shared" ref="B166" si="141">+B164-B165</f>
        <v>595</v>
      </c>
      <c r="C166" s="18">
        <f t="shared" ref="C166" si="142">+C164-C165</f>
        <v>714</v>
      </c>
      <c r="D166" s="18">
        <f t="shared" ref="D166" si="143">+D164-D165</f>
        <v>-321</v>
      </c>
      <c r="E166" s="18">
        <f t="shared" ref="E166" si="144">+E164-E165</f>
        <v>-253</v>
      </c>
      <c r="F166" s="18">
        <f t="shared" ref="F166" si="145">+F164-F165</f>
        <v>419</v>
      </c>
      <c r="G166" s="18">
        <f t="shared" ref="G166:H166" si="146">+G164-G165</f>
        <v>1053</v>
      </c>
      <c r="H166" s="18">
        <f t="shared" si="146"/>
        <v>-524</v>
      </c>
      <c r="I166" s="18">
        <f t="shared" ref="I166:J166" si="147">+I164-I165</f>
        <v>-41</v>
      </c>
      <c r="J166" s="18">
        <f t="shared" si="147"/>
        <v>0</v>
      </c>
      <c r="K166" s="18">
        <f t="shared" ref="K166" si="148">+K164-K165</f>
        <v>0</v>
      </c>
      <c r="L166" s="17" t="s">
        <v>442</v>
      </c>
      <c r="M166" s="18">
        <f>+M164-M165</f>
        <v>1759</v>
      </c>
      <c r="N166" s="18">
        <f t="shared" ref="N166:P166" si="149">+N164-N165</f>
        <v>1147</v>
      </c>
      <c r="O166" s="18">
        <f t="shared" si="149"/>
        <v>735</v>
      </c>
      <c r="P166" s="18">
        <f t="shared" si="149"/>
        <v>907</v>
      </c>
      <c r="Q166" s="17"/>
      <c r="R166" s="17"/>
      <c r="S166" s="17"/>
      <c r="T166" s="17"/>
    </row>
    <row r="167" spans="1:20">
      <c r="A167" s="17" t="s">
        <v>257</v>
      </c>
      <c r="B167" s="17">
        <f t="shared" ref="B167" si="150">+B155</f>
        <v>160</v>
      </c>
      <c r="C167" s="17">
        <f t="shared" ref="C167" si="151">+C155</f>
        <v>174</v>
      </c>
      <c r="D167" s="17">
        <f t="shared" ref="D167" si="152">+D155</f>
        <v>174</v>
      </c>
      <c r="E167" s="17">
        <f t="shared" ref="E167" si="153">+E155</f>
        <v>175</v>
      </c>
      <c r="F167" s="17">
        <f t="shared" ref="F167" si="154">+F155</f>
        <v>177</v>
      </c>
      <c r="G167" s="17">
        <f t="shared" ref="G167:H167" si="155">+G155</f>
        <v>174</v>
      </c>
      <c r="H167" s="17">
        <f t="shared" si="155"/>
        <v>170</v>
      </c>
      <c r="I167" s="17">
        <f t="shared" ref="I167:J167" si="156">+I155</f>
        <v>164</v>
      </c>
      <c r="J167" s="17">
        <f t="shared" si="156"/>
        <v>0</v>
      </c>
      <c r="K167" s="17">
        <f t="shared" ref="K167" si="157">+K155</f>
        <v>0</v>
      </c>
      <c r="L167" s="17" t="s">
        <v>442</v>
      </c>
      <c r="M167" s="17">
        <f>+M155</f>
        <v>722</v>
      </c>
      <c r="N167" s="17">
        <f t="shared" ref="N167:P167" si="158">+N155</f>
        <v>702</v>
      </c>
      <c r="O167" s="17">
        <f t="shared" si="158"/>
        <v>683</v>
      </c>
      <c r="P167" s="17">
        <f t="shared" si="158"/>
        <v>685</v>
      </c>
      <c r="Q167" s="17"/>
      <c r="R167" s="17"/>
      <c r="S167" s="17"/>
      <c r="T167" s="17"/>
    </row>
    <row r="168" spans="1:20">
      <c r="A168" s="17" t="s">
        <v>258</v>
      </c>
      <c r="B168" s="18">
        <f t="shared" ref="B168" si="159">+B166+B167</f>
        <v>755</v>
      </c>
      <c r="C168" s="18">
        <f t="shared" ref="C168" si="160">+C166+C167</f>
        <v>888</v>
      </c>
      <c r="D168" s="18">
        <f t="shared" ref="D168" si="161">+D166+D167</f>
        <v>-147</v>
      </c>
      <c r="E168" s="18">
        <f t="shared" ref="E168" si="162">+E166+E167</f>
        <v>-78</v>
      </c>
      <c r="F168" s="18">
        <f t="shared" ref="F168" si="163">+F166+F167</f>
        <v>596</v>
      </c>
      <c r="G168" s="18">
        <f t="shared" ref="G168:H168" si="164">+G166+G167</f>
        <v>1227</v>
      </c>
      <c r="H168" s="18">
        <f t="shared" si="164"/>
        <v>-354</v>
      </c>
      <c r="I168" s="18">
        <f t="shared" ref="I168:J168" si="165">+I166+I167</f>
        <v>123</v>
      </c>
      <c r="J168" s="18">
        <f t="shared" si="165"/>
        <v>0</v>
      </c>
      <c r="K168" s="18">
        <f t="shared" ref="K168" si="166">+K166+K167</f>
        <v>0</v>
      </c>
      <c r="L168" s="17" t="s">
        <v>442</v>
      </c>
      <c r="M168" s="18">
        <f>+M166+M167</f>
        <v>2481</v>
      </c>
      <c r="N168" s="18">
        <f t="shared" ref="N168:P168" si="167">+N166+N167</f>
        <v>1849</v>
      </c>
      <c r="O168" s="18">
        <f t="shared" si="167"/>
        <v>1418</v>
      </c>
      <c r="P168" s="18">
        <f t="shared" si="167"/>
        <v>1592</v>
      </c>
      <c r="Q168" s="17"/>
      <c r="R168" s="17"/>
      <c r="S168" s="17"/>
      <c r="T168" s="17"/>
    </row>
    <row r="169" spans="1:20">
      <c r="A169" s="14"/>
      <c r="B169" s="14"/>
      <c r="C169" s="14"/>
      <c r="D169" s="14"/>
      <c r="E169" s="14"/>
      <c r="F169" s="14"/>
      <c r="G169" s="14"/>
      <c r="H169" s="14"/>
      <c r="I169" s="14"/>
      <c r="J169" s="14"/>
      <c r="K169" s="14"/>
      <c r="L169" s="17" t="s">
        <v>442</v>
      </c>
      <c r="M169" s="14"/>
      <c r="N169" s="14"/>
      <c r="O169" s="14"/>
      <c r="P169" s="14"/>
      <c r="Q169" s="14"/>
      <c r="R169" s="14"/>
      <c r="S169" s="14"/>
      <c r="T169" s="14"/>
    </row>
    <row r="170" spans="1:20">
      <c r="A170" s="14" t="s">
        <v>260</v>
      </c>
      <c r="B170" s="15"/>
      <c r="C170" s="15"/>
      <c r="D170" s="15"/>
      <c r="E170" s="15"/>
      <c r="F170" s="15"/>
      <c r="G170" s="15"/>
      <c r="H170" s="15"/>
      <c r="I170" s="15"/>
      <c r="J170" s="15"/>
      <c r="K170" s="15"/>
      <c r="L170" s="17" t="s">
        <v>442</v>
      </c>
      <c r="M170" s="15">
        <v>741.6</v>
      </c>
      <c r="N170" s="15">
        <v>724.5</v>
      </c>
      <c r="O170" s="15">
        <v>711.9</v>
      </c>
      <c r="P170" s="15">
        <v>696</v>
      </c>
      <c r="Q170" s="14"/>
      <c r="R170" s="14"/>
      <c r="S170" s="14"/>
      <c r="T170" s="14"/>
    </row>
    <row r="171" spans="1:20">
      <c r="A171" s="17" t="s">
        <v>261</v>
      </c>
      <c r="B171" s="17"/>
      <c r="C171" s="17"/>
      <c r="D171" s="17"/>
      <c r="E171" s="17"/>
      <c r="F171" s="17"/>
      <c r="G171" s="17"/>
      <c r="H171" s="17"/>
      <c r="I171" s="17"/>
      <c r="J171" s="17"/>
      <c r="K171" s="17"/>
      <c r="L171" s="17" t="s">
        <v>442</v>
      </c>
      <c r="M171" s="29">
        <f>+M166/M170</f>
        <v>2.3718985976267528</v>
      </c>
      <c r="N171" s="29">
        <f>+N166/N170</f>
        <v>1.583160800552105</v>
      </c>
      <c r="O171" s="29">
        <f>+O166/O170</f>
        <v>1.0324483775811211</v>
      </c>
      <c r="P171" s="29">
        <f>+P166/P170</f>
        <v>1.3031609195402298</v>
      </c>
      <c r="Q171" s="17"/>
      <c r="R171" s="17"/>
      <c r="S171" s="17"/>
      <c r="T171" s="17"/>
    </row>
    <row r="172" spans="1:20">
      <c r="A172" s="3"/>
      <c r="B172" s="3"/>
      <c r="C172" s="3"/>
      <c r="D172" s="3"/>
      <c r="E172" s="3"/>
      <c r="F172" s="3"/>
      <c r="G172" s="3"/>
      <c r="H172" s="3"/>
      <c r="I172" s="3"/>
      <c r="J172" s="3"/>
      <c r="K172" s="3"/>
      <c r="L172" s="3" t="s">
        <v>442</v>
      </c>
      <c r="M172" s="13"/>
      <c r="N172" s="13"/>
      <c r="O172" s="13"/>
      <c r="P172" s="3"/>
      <c r="Q172" s="3"/>
      <c r="R172" s="3"/>
      <c r="S172" s="3"/>
      <c r="T172" s="3"/>
    </row>
    <row r="173" spans="1:20">
      <c r="A173" s="3"/>
      <c r="B173" s="3" t="str">
        <f t="shared" ref="B173:I173" si="168">+B147</f>
        <v>Q123</v>
      </c>
      <c r="C173" s="3" t="str">
        <f t="shared" si="168"/>
        <v>Q223</v>
      </c>
      <c r="D173" s="3" t="str">
        <f t="shared" si="168"/>
        <v>Q323</v>
      </c>
      <c r="E173" s="3" t="str">
        <f t="shared" si="168"/>
        <v>Q423</v>
      </c>
      <c r="F173" s="3" t="str">
        <f t="shared" si="168"/>
        <v>Q124</v>
      </c>
      <c r="G173" s="3" t="str">
        <f t="shared" si="168"/>
        <v>Q224</v>
      </c>
      <c r="H173" s="3" t="str">
        <f t="shared" si="168"/>
        <v>Q324</v>
      </c>
      <c r="I173" s="3" t="str">
        <f t="shared" si="168"/>
        <v>Q424</v>
      </c>
      <c r="J173" s="3" t="str">
        <f t="shared" ref="J173:K173" si="169">+J147</f>
        <v>Q125</v>
      </c>
      <c r="K173" s="3" t="str">
        <f t="shared" si="169"/>
        <v>Q225</v>
      </c>
      <c r="L173" s="3" t="s">
        <v>442</v>
      </c>
      <c r="M173" s="3">
        <f>+M147</f>
        <v>2021</v>
      </c>
      <c r="N173" s="3">
        <f>+N147</f>
        <v>2022</v>
      </c>
      <c r="O173" s="3">
        <f>+O147</f>
        <v>2023</v>
      </c>
      <c r="P173" s="3">
        <f>+P147</f>
        <v>2024</v>
      </c>
      <c r="Q173" s="3"/>
      <c r="R173" s="3"/>
      <c r="S173" s="3"/>
      <c r="T173" s="3"/>
    </row>
    <row r="174" spans="1:20">
      <c r="A174" s="17" t="s">
        <v>258</v>
      </c>
      <c r="B174" s="18">
        <f t="shared" ref="B174:I174" si="170">+B168</f>
        <v>755</v>
      </c>
      <c r="C174" s="18">
        <f t="shared" si="170"/>
        <v>888</v>
      </c>
      <c r="D174" s="18">
        <f t="shared" si="170"/>
        <v>-147</v>
      </c>
      <c r="E174" s="18">
        <f t="shared" si="170"/>
        <v>-78</v>
      </c>
      <c r="F174" s="18">
        <f t="shared" si="170"/>
        <v>596</v>
      </c>
      <c r="G174" s="18">
        <f t="shared" si="170"/>
        <v>1227</v>
      </c>
      <c r="H174" s="18">
        <f t="shared" si="170"/>
        <v>-354</v>
      </c>
      <c r="I174" s="18">
        <f t="shared" si="170"/>
        <v>123</v>
      </c>
      <c r="J174" s="18">
        <f t="shared" ref="J174:K174" si="171">+J168</f>
        <v>0</v>
      </c>
      <c r="K174" s="18">
        <f t="shared" si="171"/>
        <v>0</v>
      </c>
      <c r="L174" s="17" t="s">
        <v>442</v>
      </c>
      <c r="M174" s="18">
        <f>+M168</f>
        <v>2481</v>
      </c>
      <c r="N174" s="18">
        <f>+N168</f>
        <v>1849</v>
      </c>
      <c r="O174" s="18">
        <f>+O168</f>
        <v>1418</v>
      </c>
      <c r="P174" s="18">
        <f>+P168</f>
        <v>1592</v>
      </c>
      <c r="Q174" s="17"/>
      <c r="R174" s="17"/>
      <c r="S174" s="17"/>
      <c r="T174" s="17"/>
    </row>
    <row r="175" spans="1:20" s="10" customFormat="1">
      <c r="A175" s="15" t="s">
        <v>262</v>
      </c>
      <c r="B175" s="15">
        <v>599</v>
      </c>
      <c r="C175" s="15">
        <f>1316-B175</f>
        <v>717</v>
      </c>
      <c r="D175" s="15">
        <f>998-C175-B175</f>
        <v>-318</v>
      </c>
      <c r="E175" s="15">
        <f>+O175-D175-C175-B175</f>
        <v>-251</v>
      </c>
      <c r="F175" s="15">
        <v>423</v>
      </c>
      <c r="G175" s="15">
        <f>1479-F175</f>
        <v>1056</v>
      </c>
      <c r="H175" s="15">
        <f>958-G175-F175</f>
        <v>-521</v>
      </c>
      <c r="I175" s="15">
        <f t="shared" ref="I175:I186" si="172">+P175-SUM(F175:H175)</f>
        <v>-39</v>
      </c>
      <c r="J175" s="15"/>
      <c r="K175" s="15"/>
      <c r="L175" s="18" t="s">
        <v>442</v>
      </c>
      <c r="M175" s="15">
        <v>1769</v>
      </c>
      <c r="N175" s="15">
        <v>1158</v>
      </c>
      <c r="O175" s="15">
        <v>747</v>
      </c>
      <c r="P175" s="15">
        <v>919</v>
      </c>
      <c r="Q175" s="15"/>
      <c r="R175" s="15"/>
      <c r="S175" s="15"/>
      <c r="T175" s="15"/>
    </row>
    <row r="176" spans="1:20" s="10" customFormat="1">
      <c r="A176" s="15" t="s">
        <v>254</v>
      </c>
      <c r="B176" s="15">
        <v>8</v>
      </c>
      <c r="C176" s="15">
        <f>171-B176</f>
        <v>163</v>
      </c>
      <c r="D176" s="15">
        <f>174-C176-B176</f>
        <v>3</v>
      </c>
      <c r="E176" s="15">
        <f t="shared" ref="E176:E184" si="173">+O176-D176-C176-B176</f>
        <v>20</v>
      </c>
      <c r="F176" s="15">
        <v>-47</v>
      </c>
      <c r="G176" s="15">
        <f>-47-F176</f>
        <v>0</v>
      </c>
      <c r="H176" s="15">
        <f>-45-G176-F176</f>
        <v>2</v>
      </c>
      <c r="I176" s="15">
        <f t="shared" si="172"/>
        <v>-11</v>
      </c>
      <c r="J176" s="15"/>
      <c r="K176" s="15"/>
      <c r="L176" s="18" t="s">
        <v>442</v>
      </c>
      <c r="M176" s="15">
        <v>53</v>
      </c>
      <c r="N176" s="15">
        <v>58</v>
      </c>
      <c r="O176" s="15">
        <v>194</v>
      </c>
      <c r="P176" s="15">
        <v>-56</v>
      </c>
      <c r="Q176" s="15"/>
      <c r="R176" s="15"/>
      <c r="S176" s="15"/>
      <c r="T176" s="15"/>
    </row>
    <row r="177" spans="1:20" s="10" customFormat="1">
      <c r="A177" s="15" t="s">
        <v>263</v>
      </c>
      <c r="B177" s="15">
        <v>287</v>
      </c>
      <c r="C177" s="15">
        <f>593-B177</f>
        <v>306</v>
      </c>
      <c r="D177" s="15">
        <f>899-C177-B177</f>
        <v>306</v>
      </c>
      <c r="E177" s="15">
        <f t="shared" si="173"/>
        <v>312</v>
      </c>
      <c r="F177" s="15">
        <v>307</v>
      </c>
      <c r="G177" s="15">
        <f>619-F177</f>
        <v>312</v>
      </c>
      <c r="H177" s="15">
        <f>925-G177-F177</f>
        <v>306</v>
      </c>
      <c r="I177" s="15">
        <f t="shared" si="172"/>
        <v>302</v>
      </c>
      <c r="J177" s="15"/>
      <c r="K177" s="15"/>
      <c r="L177" s="18" t="s">
        <v>442</v>
      </c>
      <c r="M177" s="15">
        <v>1243</v>
      </c>
      <c r="N177" s="15">
        <v>1223</v>
      </c>
      <c r="O177" s="15">
        <v>1211</v>
      </c>
      <c r="P177" s="15">
        <v>1227</v>
      </c>
      <c r="Q177" s="15"/>
      <c r="R177" s="15"/>
      <c r="S177" s="15"/>
      <c r="T177" s="15"/>
    </row>
    <row r="178" spans="1:20" s="10" customFormat="1">
      <c r="A178" s="15" t="s">
        <v>264</v>
      </c>
      <c r="B178" s="15">
        <v>-85</v>
      </c>
      <c r="C178" s="15">
        <f>-129-B178</f>
        <v>-44</v>
      </c>
      <c r="D178" s="15">
        <f>-268-C178-B178</f>
        <v>-139</v>
      </c>
      <c r="E178" s="15">
        <f t="shared" si="173"/>
        <v>-170</v>
      </c>
      <c r="F178" s="15">
        <v>-152</v>
      </c>
      <c r="G178" s="15">
        <f>-303-F178</f>
        <v>-151</v>
      </c>
      <c r="H178" s="15">
        <f>-422-G178-F178</f>
        <v>-119</v>
      </c>
      <c r="I178" s="15">
        <f t="shared" si="172"/>
        <v>57</v>
      </c>
      <c r="J178" s="15"/>
      <c r="K178" s="15"/>
      <c r="L178" s="18" t="s">
        <v>442</v>
      </c>
      <c r="M178" s="15">
        <v>199</v>
      </c>
      <c r="N178" s="15">
        <v>-288</v>
      </c>
      <c r="O178" s="15">
        <v>-438</v>
      </c>
      <c r="P178" s="15">
        <v>-365</v>
      </c>
      <c r="Q178" s="15"/>
      <c r="R178" s="15"/>
      <c r="S178" s="15"/>
      <c r="T178" s="15"/>
    </row>
    <row r="179" spans="1:20" s="10" customFormat="1">
      <c r="A179" s="15" t="s">
        <v>269</v>
      </c>
      <c r="B179" s="15">
        <v>36</v>
      </c>
      <c r="C179" s="15">
        <f>71-B179</f>
        <v>35</v>
      </c>
      <c r="D179" s="15">
        <f>105-C179-B179</f>
        <v>34</v>
      </c>
      <c r="E179" s="15">
        <f t="shared" si="173"/>
        <v>33</v>
      </c>
      <c r="F179" s="15">
        <v>41</v>
      </c>
      <c r="G179" s="15">
        <f>82-F179</f>
        <v>41</v>
      </c>
      <c r="H179" s="15">
        <f>121-G179-F179</f>
        <v>39</v>
      </c>
      <c r="I179" s="15">
        <f t="shared" si="172"/>
        <v>39</v>
      </c>
      <c r="J179" s="15"/>
      <c r="K179" s="15"/>
      <c r="L179" s="18" t="s">
        <v>442</v>
      </c>
      <c r="M179" s="15">
        <v>-1292</v>
      </c>
      <c r="N179" s="15">
        <v>-142</v>
      </c>
      <c r="O179" s="15">
        <v>138</v>
      </c>
      <c r="P179" s="15">
        <v>160</v>
      </c>
      <c r="Q179" s="15"/>
      <c r="R179" s="15"/>
      <c r="S179" s="15"/>
      <c r="T179" s="15"/>
    </row>
    <row r="180" spans="1:20" s="10" customFormat="1">
      <c r="A180" s="15" t="s">
        <v>268</v>
      </c>
      <c r="B180" s="15">
        <v>-50</v>
      </c>
      <c r="C180" s="15">
        <f>-91-B180</f>
        <v>-41</v>
      </c>
      <c r="D180" s="15">
        <f>-123-C180-B180</f>
        <v>-32</v>
      </c>
      <c r="E180" s="15">
        <f t="shared" si="173"/>
        <v>-26</v>
      </c>
      <c r="F180" s="15">
        <v>-53</v>
      </c>
      <c r="G180" s="15">
        <f>-95-F180</f>
        <v>-42</v>
      </c>
      <c r="H180" s="15">
        <f>-123-G180-F180</f>
        <v>-28</v>
      </c>
      <c r="I180" s="15">
        <f t="shared" si="172"/>
        <v>-28</v>
      </c>
      <c r="J180" s="15"/>
      <c r="K180" s="15"/>
      <c r="L180" s="18" t="s">
        <v>442</v>
      </c>
      <c r="M180" s="15">
        <v>-247</v>
      </c>
      <c r="N180" s="15">
        <v>-182</v>
      </c>
      <c r="O180" s="15">
        <v>-149</v>
      </c>
      <c r="P180" s="15">
        <v>-151</v>
      </c>
      <c r="Q180" s="15"/>
      <c r="R180" s="15"/>
      <c r="S180" s="15"/>
      <c r="T180" s="15"/>
    </row>
    <row r="181" spans="1:20" s="10" customFormat="1">
      <c r="A181" s="15" t="s">
        <v>265</v>
      </c>
      <c r="B181" s="15">
        <v>1</v>
      </c>
      <c r="C181" s="15">
        <f>-1-B181</f>
        <v>-2</v>
      </c>
      <c r="D181" s="15">
        <f>-12-C181-B181</f>
        <v>-11</v>
      </c>
      <c r="E181" s="15">
        <f t="shared" si="173"/>
        <v>-10</v>
      </c>
      <c r="F181" s="15">
        <v>-5</v>
      </c>
      <c r="G181" s="15">
        <f>-17-F181</f>
        <v>-12</v>
      </c>
      <c r="H181" s="15">
        <f>-17-G181-F181</f>
        <v>0</v>
      </c>
      <c r="I181" s="15">
        <f t="shared" si="172"/>
        <v>0</v>
      </c>
      <c r="J181" s="15"/>
      <c r="K181" s="15"/>
      <c r="L181" s="18" t="s">
        <v>442</v>
      </c>
      <c r="M181" s="15">
        <v>-21</v>
      </c>
      <c r="N181" s="15">
        <v>-18</v>
      </c>
      <c r="O181" s="15">
        <v>-22</v>
      </c>
      <c r="P181" s="15">
        <v>-17</v>
      </c>
      <c r="Q181" s="15"/>
      <c r="R181" s="15"/>
      <c r="S181" s="15"/>
      <c r="T181" s="15"/>
    </row>
    <row r="182" spans="1:20" s="10" customFormat="1">
      <c r="A182" s="15" t="s">
        <v>266</v>
      </c>
      <c r="B182" s="15">
        <v>33</v>
      </c>
      <c r="C182" s="15">
        <f>93-B182</f>
        <v>60</v>
      </c>
      <c r="D182" s="15">
        <f>95-C182-B182</f>
        <v>2</v>
      </c>
      <c r="E182" s="15">
        <f t="shared" si="173"/>
        <v>241</v>
      </c>
      <c r="F182" s="15">
        <v>75</v>
      </c>
      <c r="G182" s="15">
        <f>167-F182</f>
        <v>92</v>
      </c>
      <c r="H182" s="15">
        <f>199-G182-F182</f>
        <v>32</v>
      </c>
      <c r="I182" s="15">
        <f t="shared" si="172"/>
        <v>89</v>
      </c>
      <c r="J182" s="15"/>
      <c r="K182" s="15"/>
      <c r="L182" s="18" t="s">
        <v>442</v>
      </c>
      <c r="M182" s="15">
        <v>289</v>
      </c>
      <c r="N182" s="15">
        <v>363</v>
      </c>
      <c r="O182" s="15">
        <v>336</v>
      </c>
      <c r="P182" s="15">
        <v>288</v>
      </c>
      <c r="Q182" s="15"/>
      <c r="R182" s="15"/>
      <c r="S182" s="15"/>
      <c r="T182" s="15"/>
    </row>
    <row r="183" spans="1:20" s="10" customFormat="1">
      <c r="A183" s="15" t="s">
        <v>77</v>
      </c>
      <c r="B183" s="15">
        <v>48</v>
      </c>
      <c r="C183" s="15">
        <f>192-B183</f>
        <v>144</v>
      </c>
      <c r="D183" s="15">
        <f>342-C183-B183</f>
        <v>150</v>
      </c>
      <c r="E183" s="15">
        <f t="shared" si="173"/>
        <v>236</v>
      </c>
      <c r="F183" s="15">
        <v>141</v>
      </c>
      <c r="G183" s="15">
        <f>245-F183</f>
        <v>104</v>
      </c>
      <c r="H183" s="15">
        <f>377-G183-F183</f>
        <v>132</v>
      </c>
      <c r="I183" s="15">
        <f t="shared" si="172"/>
        <v>6</v>
      </c>
      <c r="J183" s="15"/>
      <c r="K183" s="15"/>
      <c r="L183" s="18" t="s">
        <v>442</v>
      </c>
      <c r="M183" s="15">
        <v>154</v>
      </c>
      <c r="N183" s="15">
        <v>305</v>
      </c>
      <c r="O183" s="15">
        <v>578</v>
      </c>
      <c r="P183" s="15">
        <v>383</v>
      </c>
      <c r="Q183" s="15"/>
      <c r="R183" s="15"/>
      <c r="S183" s="15"/>
      <c r="T183" s="15"/>
    </row>
    <row r="184" spans="1:20" s="10" customFormat="1">
      <c r="A184" s="15" t="s">
        <v>267</v>
      </c>
      <c r="B184" s="15">
        <f>-2705+324-907-685-206</f>
        <v>-4179</v>
      </c>
      <c r="C184" s="15">
        <f>-1892+1320-1560-2758+195-B184</f>
        <v>-516</v>
      </c>
      <c r="D184" s="15">
        <f>-773+492-1218-2840-445-C184-B184</f>
        <v>-89</v>
      </c>
      <c r="E184" s="15">
        <f t="shared" si="173"/>
        <v>3998</v>
      </c>
      <c r="F184" s="15">
        <f>-2546+618-615-700-93</f>
        <v>-3336</v>
      </c>
      <c r="G184" s="15">
        <f>-2427+1783-913-2978+406-F184</f>
        <v>-793</v>
      </c>
      <c r="H184" s="15">
        <f>-1450+1060-518-2974+38-G184-F184</f>
        <v>285</v>
      </c>
      <c r="I184" s="15">
        <f t="shared" si="172"/>
        <v>3752</v>
      </c>
      <c r="J184" s="15"/>
      <c r="K184" s="15"/>
      <c r="L184" s="18" t="s">
        <v>442</v>
      </c>
      <c r="M184" s="15">
        <f>-113-442+526+574+57</f>
        <v>602</v>
      </c>
      <c r="N184" s="15">
        <f>-993-1715+807+194+142</f>
        <v>-1565</v>
      </c>
      <c r="O184" s="15">
        <f>358+57-663-11-527</f>
        <v>-786</v>
      </c>
      <c r="P184" s="15">
        <f>-705+1110-115-86-296</f>
        <v>-92</v>
      </c>
      <c r="Q184" s="15"/>
      <c r="R184" s="15"/>
      <c r="S184" s="15"/>
      <c r="T184" s="15"/>
    </row>
    <row r="185" spans="1:20" s="10" customFormat="1">
      <c r="A185" s="18" t="s">
        <v>270</v>
      </c>
      <c r="B185" s="18">
        <f t="shared" ref="B185" si="174">+SUM(B175:B184)</f>
        <v>-3302</v>
      </c>
      <c r="C185" s="18">
        <f t="shared" ref="C185" si="175">+SUM(C175:C184)</f>
        <v>822</v>
      </c>
      <c r="D185" s="18">
        <f t="shared" ref="D185" si="176">+SUM(D175:D184)</f>
        <v>-94</v>
      </c>
      <c r="E185" s="18">
        <f t="shared" ref="E185" si="177">+SUM(E175:E184)</f>
        <v>4383</v>
      </c>
      <c r="F185" s="18">
        <f t="shared" ref="F185" si="178">+SUM(F175:F184)</f>
        <v>-2606</v>
      </c>
      <c r="G185" s="18">
        <f t="shared" ref="G185:H185" si="179">+SUM(G175:G184)</f>
        <v>607</v>
      </c>
      <c r="H185" s="18">
        <f t="shared" si="179"/>
        <v>128</v>
      </c>
      <c r="I185" s="18">
        <f t="shared" ref="I185:J185" si="180">+SUM(I175:I184)</f>
        <v>4167</v>
      </c>
      <c r="J185" s="18">
        <f t="shared" si="180"/>
        <v>0</v>
      </c>
      <c r="K185" s="18">
        <f t="shared" ref="K185" si="181">+SUM(K175:K184)</f>
        <v>0</v>
      </c>
      <c r="L185" s="18" t="s">
        <v>442</v>
      </c>
      <c r="M185" s="18">
        <f t="shared" ref="M185:N185" si="182">+SUM(M175:M184)</f>
        <v>2749</v>
      </c>
      <c r="N185" s="18">
        <f t="shared" si="182"/>
        <v>912</v>
      </c>
      <c r="O185" s="18">
        <f>+SUM(O175:O184)</f>
        <v>1809</v>
      </c>
      <c r="P185" s="18">
        <f t="shared" ref="P185" si="183">+SUM(P175:P184)</f>
        <v>2296</v>
      </c>
      <c r="Q185" s="18"/>
      <c r="R185" s="18"/>
      <c r="S185" s="18"/>
      <c r="T185" s="18"/>
    </row>
    <row r="186" spans="1:20" s="10" customFormat="1">
      <c r="A186" s="15" t="s">
        <v>289</v>
      </c>
      <c r="B186" s="15">
        <v>-9</v>
      </c>
      <c r="C186" s="15">
        <f>-19-B186</f>
        <v>-10</v>
      </c>
      <c r="D186" s="15">
        <f>-30-C186-B186</f>
        <v>-11</v>
      </c>
      <c r="E186" s="15">
        <f>+O186-D186-C186-B186</f>
        <v>-10</v>
      </c>
      <c r="F186" s="15">
        <v>-3</v>
      </c>
      <c r="G186" s="15">
        <f>-159-F186</f>
        <v>-156</v>
      </c>
      <c r="H186" s="15">
        <f>-157-G186-F186</f>
        <v>2</v>
      </c>
      <c r="I186" s="15">
        <f t="shared" si="172"/>
        <v>6</v>
      </c>
      <c r="J186" s="15"/>
      <c r="K186" s="15"/>
      <c r="L186" s="15" t="s">
        <v>442</v>
      </c>
      <c r="M186" s="15">
        <v>-42</v>
      </c>
      <c r="N186" s="15">
        <v>-40</v>
      </c>
      <c r="O186" s="15">
        <v>-40</v>
      </c>
      <c r="P186" s="15">
        <v>-151</v>
      </c>
      <c r="Q186" s="15"/>
      <c r="R186" s="15"/>
      <c r="S186" s="15"/>
      <c r="T186" s="15"/>
    </row>
    <row r="187" spans="1:20" s="10" customFormat="1">
      <c r="A187" s="18" t="s">
        <v>290</v>
      </c>
      <c r="B187" s="18">
        <f t="shared" ref="B187" si="184">+B185+B186</f>
        <v>-3311</v>
      </c>
      <c r="C187" s="18">
        <f t="shared" ref="C187" si="185">+C185+C186</f>
        <v>812</v>
      </c>
      <c r="D187" s="18">
        <f t="shared" ref="D187" si="186">+D185+D186</f>
        <v>-105</v>
      </c>
      <c r="E187" s="18">
        <f t="shared" ref="E187" si="187">+E185+E186</f>
        <v>4373</v>
      </c>
      <c r="F187" s="18">
        <f t="shared" ref="F187" si="188">+F185+F186</f>
        <v>-2609</v>
      </c>
      <c r="G187" s="18">
        <f t="shared" ref="G187:H187" si="189">+G185+G186</f>
        <v>451</v>
      </c>
      <c r="H187" s="18">
        <f t="shared" si="189"/>
        <v>130</v>
      </c>
      <c r="I187" s="18">
        <f t="shared" ref="I187:J187" si="190">+I185+I186</f>
        <v>4173</v>
      </c>
      <c r="J187" s="18">
        <f t="shared" si="190"/>
        <v>0</v>
      </c>
      <c r="K187" s="18">
        <f t="shared" ref="K187" si="191">+K185+K186</f>
        <v>0</v>
      </c>
      <c r="L187" s="18" t="s">
        <v>442</v>
      </c>
      <c r="M187" s="18">
        <f>+M185+M186</f>
        <v>2707</v>
      </c>
      <c r="N187" s="18">
        <f t="shared" ref="N187:P187" si="192">+N185+N186</f>
        <v>872</v>
      </c>
      <c r="O187" s="18">
        <f t="shared" si="192"/>
        <v>1769</v>
      </c>
      <c r="P187" s="18">
        <f t="shared" si="192"/>
        <v>2145</v>
      </c>
      <c r="Q187" s="18"/>
      <c r="R187" s="18"/>
      <c r="S187" s="18"/>
      <c r="T187" s="18"/>
    </row>
    <row r="188" spans="1:20" s="10" customFormat="1">
      <c r="A188" s="18"/>
      <c r="B188" s="18"/>
      <c r="C188" s="18"/>
      <c r="D188" s="18"/>
      <c r="E188" s="18"/>
      <c r="F188" s="18"/>
      <c r="G188" s="18"/>
      <c r="H188" s="18"/>
      <c r="I188" s="18"/>
      <c r="J188" s="18"/>
      <c r="K188" s="18"/>
      <c r="L188" s="18" t="s">
        <v>442</v>
      </c>
      <c r="M188" s="18"/>
      <c r="N188" s="18"/>
      <c r="O188" s="18"/>
      <c r="P188" s="18"/>
      <c r="Q188" s="18"/>
      <c r="R188" s="18"/>
      <c r="S188" s="18"/>
      <c r="T188" s="18"/>
    </row>
    <row r="189" spans="1:20" s="10" customFormat="1">
      <c r="A189" s="15" t="s">
        <v>271</v>
      </c>
      <c r="B189" s="15">
        <v>-151</v>
      </c>
      <c r="C189" s="15">
        <f>-250-B189</f>
        <v>-99</v>
      </c>
      <c r="D189" s="15">
        <f>-412-C189-B189</f>
        <v>-162</v>
      </c>
      <c r="E189" s="15">
        <f t="shared" ref="E189:E196" si="193">+O189-D189-C189-B189</f>
        <v>-183</v>
      </c>
      <c r="F189" s="15">
        <v>-148</v>
      </c>
      <c r="G189" s="15">
        <f>-262-F189</f>
        <v>-114</v>
      </c>
      <c r="H189" s="15">
        <f>-416-G189-F189</f>
        <v>-154</v>
      </c>
      <c r="I189" s="15">
        <f t="shared" ref="I189:I196" si="194">+P189-SUM(F189:H189)</f>
        <v>-181</v>
      </c>
      <c r="J189" s="15"/>
      <c r="K189" s="15"/>
      <c r="L189" s="18" t="s">
        <v>442</v>
      </c>
      <c r="M189" s="15">
        <v>-573</v>
      </c>
      <c r="N189" s="15">
        <v>-605</v>
      </c>
      <c r="O189" s="15">
        <v>-595</v>
      </c>
      <c r="P189" s="15">
        <v>-597</v>
      </c>
      <c r="Q189" s="15"/>
      <c r="R189" s="15"/>
      <c r="S189" s="15"/>
      <c r="T189" s="15"/>
    </row>
    <row r="190" spans="1:20" s="10" customFormat="1">
      <c r="A190" s="15" t="s">
        <v>272</v>
      </c>
      <c r="B190" s="15">
        <v>21</v>
      </c>
      <c r="C190" s="15">
        <f>34-B190</f>
        <v>13</v>
      </c>
      <c r="D190" s="15">
        <f>42-C190-B190</f>
        <v>8</v>
      </c>
      <c r="E190" s="15">
        <f t="shared" si="193"/>
        <v>15</v>
      </c>
      <c r="F190" s="15">
        <v>5</v>
      </c>
      <c r="G190" s="15">
        <f>20-F190</f>
        <v>15</v>
      </c>
      <c r="H190" s="15">
        <f>2-G190-F190</f>
        <v>-18</v>
      </c>
      <c r="I190" s="15">
        <f t="shared" si="194"/>
        <v>3</v>
      </c>
      <c r="J190" s="15"/>
      <c r="K190" s="15"/>
      <c r="L190" s="18" t="s">
        <v>442</v>
      </c>
      <c r="M190" s="15">
        <v>75</v>
      </c>
      <c r="N190" s="15">
        <v>73</v>
      </c>
      <c r="O190" s="15">
        <v>57</v>
      </c>
      <c r="P190" s="15">
        <v>5</v>
      </c>
      <c r="Q190" s="15"/>
      <c r="R190" s="15"/>
      <c r="S190" s="15"/>
      <c r="T190" s="15"/>
    </row>
    <row r="191" spans="1:20" s="10" customFormat="1">
      <c r="A191" s="15" t="s">
        <v>273</v>
      </c>
      <c r="B191" s="15">
        <v>-1463</v>
      </c>
      <c r="C191" s="15">
        <f>-1463-B191</f>
        <v>0</v>
      </c>
      <c r="D191" s="15">
        <f>-1456-C191-B191</f>
        <v>7</v>
      </c>
      <c r="E191" s="15">
        <f t="shared" si="193"/>
        <v>0</v>
      </c>
      <c r="F191" s="15">
        <v>0</v>
      </c>
      <c r="G191" s="15">
        <v>0</v>
      </c>
      <c r="H191" s="15">
        <f>0-G191-F191</f>
        <v>0</v>
      </c>
      <c r="I191" s="15">
        <f t="shared" si="194"/>
        <v>0</v>
      </c>
      <c r="J191" s="15"/>
      <c r="K191" s="15"/>
      <c r="L191" s="18" t="s">
        <v>442</v>
      </c>
      <c r="M191" s="15">
        <f>0+0</f>
        <v>0</v>
      </c>
      <c r="N191" s="15">
        <f>0-36</f>
        <v>-36</v>
      </c>
      <c r="O191" s="15">
        <v>-1456</v>
      </c>
      <c r="P191" s="15">
        <v>0</v>
      </c>
      <c r="Q191" s="15"/>
      <c r="R191" s="15"/>
      <c r="S191" s="15"/>
      <c r="T191" s="15"/>
    </row>
    <row r="192" spans="1:20" s="10" customFormat="1">
      <c r="A192" s="15" t="s">
        <v>274</v>
      </c>
      <c r="B192" s="15">
        <v>0</v>
      </c>
      <c r="C192" s="15">
        <f>-4-B192</f>
        <v>-4</v>
      </c>
      <c r="D192" s="15">
        <f>-31-C192-B192</f>
        <v>-27</v>
      </c>
      <c r="E192" s="15">
        <f t="shared" si="193"/>
        <v>-1</v>
      </c>
      <c r="F192" s="15">
        <v>0</v>
      </c>
      <c r="G192" s="15">
        <v>0</v>
      </c>
      <c r="H192" s="15">
        <f>-7-G192-F192</f>
        <v>-7</v>
      </c>
      <c r="I192" s="15">
        <f t="shared" si="194"/>
        <v>0</v>
      </c>
      <c r="J192" s="15"/>
      <c r="K192" s="15"/>
      <c r="L192" s="18" t="s">
        <v>442</v>
      </c>
      <c r="M192" s="15">
        <v>-4</v>
      </c>
      <c r="N192" s="15">
        <v>-12</v>
      </c>
      <c r="O192" s="15">
        <v>-32</v>
      </c>
      <c r="P192" s="15">
        <v>-7</v>
      </c>
      <c r="Q192" s="15"/>
      <c r="R192" s="15"/>
      <c r="S192" s="15"/>
      <c r="T192" s="15"/>
    </row>
    <row r="193" spans="1:20" s="10" customFormat="1">
      <c r="A193" s="15" t="s">
        <v>275</v>
      </c>
      <c r="B193" s="15">
        <v>0</v>
      </c>
      <c r="C193" s="15">
        <f>-7-B193</f>
        <v>-7</v>
      </c>
      <c r="D193" s="15">
        <f>-83-C193-B193</f>
        <v>-76</v>
      </c>
      <c r="E193" s="15">
        <f t="shared" si="193"/>
        <v>-65</v>
      </c>
      <c r="F193" s="15">
        <v>-132</v>
      </c>
      <c r="G193" s="15">
        <f>-136-F193</f>
        <v>-4</v>
      </c>
      <c r="H193" s="15">
        <f>-137-G193-F193</f>
        <v>-1</v>
      </c>
      <c r="I193" s="15">
        <f t="shared" si="194"/>
        <v>-7</v>
      </c>
      <c r="J193" s="15"/>
      <c r="K193" s="15"/>
      <c r="L193" s="18" t="s">
        <v>442</v>
      </c>
      <c r="M193" s="15">
        <v>-204</v>
      </c>
      <c r="N193" s="15">
        <v>-344</v>
      </c>
      <c r="O193" s="15">
        <v>-148</v>
      </c>
      <c r="P193" s="15">
        <v>-144</v>
      </c>
      <c r="Q193" s="15"/>
      <c r="R193" s="15"/>
      <c r="S193" s="15"/>
      <c r="T193" s="15"/>
    </row>
    <row r="194" spans="1:20" s="10" customFormat="1">
      <c r="A194" s="15" t="s">
        <v>450</v>
      </c>
      <c r="B194" s="15">
        <v>40</v>
      </c>
      <c r="C194" s="15">
        <f>106-B194</f>
        <v>66</v>
      </c>
      <c r="D194" s="15">
        <f>127-C194-B194</f>
        <v>21</v>
      </c>
      <c r="E194" s="15">
        <f t="shared" si="193"/>
        <v>20</v>
      </c>
      <c r="F194" s="15">
        <v>7</v>
      </c>
      <c r="G194" s="15">
        <f>65-F194</f>
        <v>58</v>
      </c>
      <c r="H194" s="15">
        <f>115-G194-F194</f>
        <v>50</v>
      </c>
      <c r="I194" s="15">
        <f t="shared" si="194"/>
        <v>15</v>
      </c>
      <c r="J194" s="15"/>
      <c r="K194" s="15"/>
      <c r="L194" s="18" t="s">
        <v>442</v>
      </c>
      <c r="M194" s="15">
        <v>345</v>
      </c>
      <c r="N194" s="15">
        <v>295</v>
      </c>
      <c r="O194" s="15">
        <v>147</v>
      </c>
      <c r="P194" s="15">
        <v>130</v>
      </c>
      <c r="Q194" s="15"/>
      <c r="R194" s="15"/>
      <c r="S194" s="15"/>
      <c r="T194" s="15"/>
    </row>
    <row r="195" spans="1:20" s="10" customFormat="1">
      <c r="A195" s="15" t="s">
        <v>276</v>
      </c>
      <c r="B195" s="15">
        <v>42</v>
      </c>
      <c r="C195" s="15">
        <f>42-B195</f>
        <v>0</v>
      </c>
      <c r="D195" s="15">
        <f>42-C195-B195</f>
        <v>0</v>
      </c>
      <c r="E195" s="15">
        <f t="shared" si="193"/>
        <v>0</v>
      </c>
      <c r="F195" s="15">
        <v>0</v>
      </c>
      <c r="G195" s="15">
        <f>15-F195</f>
        <v>15</v>
      </c>
      <c r="H195" s="15">
        <f>15-G195-F195</f>
        <v>0</v>
      </c>
      <c r="I195" s="15">
        <f t="shared" si="194"/>
        <v>48</v>
      </c>
      <c r="J195" s="15"/>
      <c r="K195" s="15"/>
      <c r="L195" s="18" t="s">
        <v>442</v>
      </c>
      <c r="M195" s="15">
        <v>0</v>
      </c>
      <c r="N195" s="15">
        <v>0</v>
      </c>
      <c r="O195" s="15">
        <v>42</v>
      </c>
      <c r="P195" s="15">
        <v>63</v>
      </c>
      <c r="Q195" s="15"/>
      <c r="R195" s="15"/>
      <c r="S195" s="15"/>
      <c r="T195" s="15"/>
    </row>
    <row r="196" spans="1:20" s="10" customFormat="1">
      <c r="A196" s="15" t="s">
        <v>277</v>
      </c>
      <c r="B196" s="15">
        <v>0</v>
      </c>
      <c r="C196" s="15">
        <f>-2-B196</f>
        <v>-2</v>
      </c>
      <c r="D196" s="15">
        <f>-2-C196-B196</f>
        <v>0</v>
      </c>
      <c r="E196" s="15">
        <f t="shared" si="193"/>
        <v>0</v>
      </c>
      <c r="F196" s="15">
        <v>-2</v>
      </c>
      <c r="G196" s="15">
        <f>-7-F196</f>
        <v>-5</v>
      </c>
      <c r="H196" s="15">
        <f>-38-G196-F196</f>
        <v>-31</v>
      </c>
      <c r="I196" s="15">
        <f t="shared" si="194"/>
        <v>-1</v>
      </c>
      <c r="J196" s="15"/>
      <c r="K196" s="15"/>
      <c r="L196" s="18" t="s">
        <v>442</v>
      </c>
      <c r="M196" s="15">
        <v>-1</v>
      </c>
      <c r="N196" s="15">
        <v>-3</v>
      </c>
      <c r="O196" s="15">
        <v>-2</v>
      </c>
      <c r="P196" s="15">
        <v>-39</v>
      </c>
      <c r="Q196" s="15"/>
      <c r="R196" s="15"/>
      <c r="S196" s="15"/>
      <c r="T196" s="15"/>
    </row>
    <row r="197" spans="1:20" s="10" customFormat="1">
      <c r="A197" s="18" t="s">
        <v>278</v>
      </c>
      <c r="B197" s="18">
        <f t="shared" ref="B197" si="195">+SUM(B189:B196)</f>
        <v>-1511</v>
      </c>
      <c r="C197" s="18">
        <f t="shared" ref="C197" si="196">+SUM(C189:C196)</f>
        <v>-33</v>
      </c>
      <c r="D197" s="18">
        <f t="shared" ref="D197" si="197">+SUM(D189:D196)</f>
        <v>-229</v>
      </c>
      <c r="E197" s="18">
        <f t="shared" ref="E197" si="198">+SUM(E189:E196)</f>
        <v>-214</v>
      </c>
      <c r="F197" s="18">
        <f t="shared" ref="F197" si="199">+SUM(F189:F196)</f>
        <v>-270</v>
      </c>
      <c r="G197" s="18">
        <f t="shared" ref="G197:H197" si="200">+SUM(G189:G196)</f>
        <v>-35</v>
      </c>
      <c r="H197" s="18">
        <f t="shared" si="200"/>
        <v>-161</v>
      </c>
      <c r="I197" s="18">
        <f t="shared" ref="I197:J197" si="201">+SUM(I189:I196)</f>
        <v>-123</v>
      </c>
      <c r="J197" s="18">
        <f t="shared" si="201"/>
        <v>0</v>
      </c>
      <c r="K197" s="18">
        <f t="shared" ref="K197" si="202">+SUM(K189:K196)</f>
        <v>0</v>
      </c>
      <c r="L197" s="18" t="s">
        <v>442</v>
      </c>
      <c r="M197" s="18">
        <f>+SUM(M189:M196)</f>
        <v>-362</v>
      </c>
      <c r="N197" s="18">
        <f t="shared" ref="N197:P197" si="203">+SUM(N189:N196)</f>
        <v>-632</v>
      </c>
      <c r="O197" s="18">
        <f t="shared" si="203"/>
        <v>-1987</v>
      </c>
      <c r="P197" s="18">
        <f t="shared" si="203"/>
        <v>-589</v>
      </c>
      <c r="Q197" s="18"/>
      <c r="R197" s="18"/>
      <c r="S197" s="18"/>
      <c r="T197" s="18"/>
    </row>
    <row r="198" spans="1:20" s="10" customFormat="1">
      <c r="A198" s="15"/>
      <c r="B198" s="15"/>
      <c r="C198" s="15"/>
      <c r="D198" s="15"/>
      <c r="E198" s="15"/>
      <c r="F198" s="15"/>
      <c r="G198" s="15"/>
      <c r="H198" s="15"/>
      <c r="I198" s="15"/>
      <c r="J198" s="15"/>
      <c r="K198" s="15"/>
      <c r="L198" s="18" t="s">
        <v>442</v>
      </c>
      <c r="M198" s="15"/>
      <c r="N198" s="15"/>
      <c r="O198" s="15"/>
      <c r="P198" s="15"/>
      <c r="Q198" s="15"/>
      <c r="R198" s="15"/>
      <c r="S198" s="15"/>
      <c r="T198" s="15"/>
    </row>
    <row r="199" spans="1:20" s="10" customFormat="1">
      <c r="A199" s="15" t="s">
        <v>279</v>
      </c>
      <c r="B199" s="15">
        <v>3084</v>
      </c>
      <c r="C199" s="15">
        <f>885-B199</f>
        <v>-2199</v>
      </c>
      <c r="D199" s="15">
        <f>2419-C199-B199</f>
        <v>1534</v>
      </c>
      <c r="E199" s="15">
        <f t="shared" ref="E199:E205" si="204">+O199-D199-C199-B199</f>
        <v>-2425</v>
      </c>
      <c r="F199" s="15">
        <v>656</v>
      </c>
      <c r="G199" s="15">
        <f>628-F199</f>
        <v>-28</v>
      </c>
      <c r="H199" s="15">
        <f>1715-G199-F199</f>
        <v>1087</v>
      </c>
      <c r="I199" s="15">
        <f t="shared" ref="I199:I205" si="205">+P199-SUM(F199:H199)</f>
        <v>-1662</v>
      </c>
      <c r="J199" s="15"/>
      <c r="K199" s="15"/>
      <c r="L199" s="18" t="s">
        <v>442</v>
      </c>
      <c r="M199" s="15">
        <v>13</v>
      </c>
      <c r="N199" s="15">
        <v>-13</v>
      </c>
      <c r="O199" s="15">
        <v>-6</v>
      </c>
      <c r="P199" s="15">
        <v>53</v>
      </c>
      <c r="Q199" s="15"/>
      <c r="R199" s="15"/>
      <c r="S199" s="15"/>
      <c r="T199" s="15"/>
    </row>
    <row r="200" spans="1:20" s="10" customFormat="1">
      <c r="A200" s="15" t="s">
        <v>280</v>
      </c>
      <c r="B200" s="15">
        <v>626</v>
      </c>
      <c r="C200" s="15">
        <f>3427-B200</f>
        <v>2801</v>
      </c>
      <c r="D200" s="15">
        <f>3427-C200-B200</f>
        <v>0</v>
      </c>
      <c r="E200" s="15">
        <f t="shared" si="204"/>
        <v>2</v>
      </c>
      <c r="F200" s="15">
        <v>1675</v>
      </c>
      <c r="G200" s="15">
        <f>2559-F200</f>
        <v>884</v>
      </c>
      <c r="H200" s="15">
        <f>3047-G200-F200</f>
        <v>488</v>
      </c>
      <c r="I200" s="15">
        <f t="shared" si="205"/>
        <v>25</v>
      </c>
      <c r="J200" s="15"/>
      <c r="K200" s="15"/>
      <c r="L200" s="18" t="s">
        <v>442</v>
      </c>
      <c r="M200" s="15">
        <v>419</v>
      </c>
      <c r="N200" s="15">
        <v>1358</v>
      </c>
      <c r="O200" s="15">
        <v>3429</v>
      </c>
      <c r="P200" s="15">
        <v>3072</v>
      </c>
      <c r="Q200" s="15"/>
      <c r="R200" s="15"/>
      <c r="S200" s="15"/>
      <c r="T200" s="15"/>
    </row>
    <row r="201" spans="1:20" s="10" customFormat="1">
      <c r="A201" s="15" t="s">
        <v>281</v>
      </c>
      <c r="B201" s="15">
        <v>-56</v>
      </c>
      <c r="C201" s="15">
        <f>-372-B201</f>
        <v>-316</v>
      </c>
      <c r="D201" s="15">
        <f>-1314-C201-B201</f>
        <v>-942</v>
      </c>
      <c r="E201" s="15">
        <f t="shared" si="204"/>
        <v>-995</v>
      </c>
      <c r="F201" s="15">
        <v>-190</v>
      </c>
      <c r="G201" s="15">
        <f>-943-F201</f>
        <v>-753</v>
      </c>
      <c r="H201" s="15">
        <f>-1529-G201-F201</f>
        <v>-586</v>
      </c>
      <c r="I201" s="15">
        <f t="shared" si="205"/>
        <v>-1356</v>
      </c>
      <c r="J201" s="15"/>
      <c r="K201" s="15"/>
      <c r="L201" s="18" t="s">
        <v>442</v>
      </c>
      <c r="M201" s="15">
        <v>-421</v>
      </c>
      <c r="N201" s="15">
        <v>-1140</v>
      </c>
      <c r="O201" s="15">
        <v>-2309</v>
      </c>
      <c r="P201" s="15">
        <v>-2885</v>
      </c>
      <c r="Q201" s="15"/>
      <c r="R201" s="15"/>
      <c r="S201" s="15"/>
      <c r="T201" s="15"/>
    </row>
    <row r="202" spans="1:20" s="10" customFormat="1">
      <c r="A202" s="15" t="s">
        <v>282</v>
      </c>
      <c r="B202" s="15">
        <v>-252</v>
      </c>
      <c r="C202" s="15">
        <f>-332-B202</f>
        <v>-80</v>
      </c>
      <c r="D202" s="15">
        <f>-585-C202-B202</f>
        <v>-253</v>
      </c>
      <c r="E202" s="15">
        <f t="shared" si="204"/>
        <v>-171</v>
      </c>
      <c r="F202" s="15">
        <v>-252</v>
      </c>
      <c r="G202" s="15">
        <f>-504-F202</f>
        <v>-252</v>
      </c>
      <c r="H202" s="15">
        <f>-757-G202-F202</f>
        <v>-253</v>
      </c>
      <c r="I202" s="15">
        <f t="shared" si="205"/>
        <v>-252</v>
      </c>
      <c r="J202" s="15"/>
      <c r="K202" s="15"/>
      <c r="L202" s="18" t="s">
        <v>442</v>
      </c>
      <c r="M202" s="15">
        <v>-950</v>
      </c>
      <c r="N202" s="15">
        <v>-1000</v>
      </c>
      <c r="O202" s="15">
        <v>-756</v>
      </c>
      <c r="P202" s="15">
        <v>-1009</v>
      </c>
      <c r="Q202" s="15"/>
      <c r="R202" s="15"/>
      <c r="S202" s="15"/>
      <c r="T202" s="15"/>
    </row>
    <row r="203" spans="1:20" s="10" customFormat="1">
      <c r="A203" s="15" t="s">
        <v>283</v>
      </c>
      <c r="B203" s="15">
        <v>7</v>
      </c>
      <c r="C203" s="15">
        <f>26-B203</f>
        <v>19</v>
      </c>
      <c r="D203" s="15">
        <f>28-C203-B203</f>
        <v>2</v>
      </c>
      <c r="E203" s="15">
        <f t="shared" si="204"/>
        <v>3</v>
      </c>
      <c r="F203" s="15">
        <v>8</v>
      </c>
      <c r="G203" s="15">
        <f>28-F203</f>
        <v>20</v>
      </c>
      <c r="H203" s="15">
        <f>30-G203-F203</f>
        <v>2</v>
      </c>
      <c r="I203" s="15">
        <f t="shared" si="205"/>
        <v>30</v>
      </c>
      <c r="J203" s="15"/>
      <c r="K203" s="15"/>
      <c r="L203" s="18" t="s">
        <v>442</v>
      </c>
      <c r="M203" s="15">
        <v>100</v>
      </c>
      <c r="N203" s="15">
        <v>88</v>
      </c>
      <c r="O203" s="15">
        <v>31</v>
      </c>
      <c r="P203" s="15">
        <v>60</v>
      </c>
      <c r="Q203" s="15"/>
      <c r="R203" s="15"/>
      <c r="S203" s="15"/>
      <c r="T203" s="15"/>
    </row>
    <row r="204" spans="1:20" s="10" customFormat="1">
      <c r="A204" s="15" t="s">
        <v>284</v>
      </c>
      <c r="B204" s="15">
        <v>-107</v>
      </c>
      <c r="C204" s="15">
        <f>-213-B204</f>
        <v>-106</v>
      </c>
      <c r="D204" s="15">
        <f>-327-C204-B204</f>
        <v>-114</v>
      </c>
      <c r="E204" s="15">
        <f t="shared" si="204"/>
        <v>-112</v>
      </c>
      <c r="F204" s="15">
        <v>-112</v>
      </c>
      <c r="G204" s="15">
        <f>-223-F204</f>
        <v>-111</v>
      </c>
      <c r="H204" s="15">
        <f>-340-G204-F204</f>
        <v>-117</v>
      </c>
      <c r="I204" s="15">
        <f t="shared" si="205"/>
        <v>-118</v>
      </c>
      <c r="J204" s="15"/>
      <c r="K204" s="15"/>
      <c r="L204" s="18" t="s">
        <v>442</v>
      </c>
      <c r="M204" s="15">
        <v>-397</v>
      </c>
      <c r="N204" s="15">
        <v>-418</v>
      </c>
      <c r="O204" s="15">
        <v>-439</v>
      </c>
      <c r="P204" s="15">
        <v>-458</v>
      </c>
      <c r="Q204" s="15"/>
      <c r="R204" s="15"/>
      <c r="S204" s="15"/>
      <c r="T204" s="15"/>
    </row>
    <row r="205" spans="1:20" s="10" customFormat="1">
      <c r="A205" s="15" t="s">
        <v>77</v>
      </c>
      <c r="B205" s="15">
        <v>-28</v>
      </c>
      <c r="C205" s="15">
        <f>-42-B205</f>
        <v>-14</v>
      </c>
      <c r="D205" s="15">
        <f>-45-C205-B205</f>
        <v>-3</v>
      </c>
      <c r="E205" s="15">
        <f t="shared" si="204"/>
        <v>-4</v>
      </c>
      <c r="F205" s="15">
        <v>-19</v>
      </c>
      <c r="G205" s="15">
        <f>-27-F205</f>
        <v>-8</v>
      </c>
      <c r="H205" s="15">
        <f>-29-G205-F205</f>
        <v>-2</v>
      </c>
      <c r="I205" s="15">
        <f t="shared" si="205"/>
        <v>-3</v>
      </c>
      <c r="J205" s="15"/>
      <c r="K205" s="15"/>
      <c r="L205" s="18" t="s">
        <v>442</v>
      </c>
      <c r="M205" s="15">
        <v>-30</v>
      </c>
      <c r="N205" s="15">
        <v>-55</v>
      </c>
      <c r="O205" s="15">
        <v>-49</v>
      </c>
      <c r="P205" s="15">
        <v>-32</v>
      </c>
      <c r="Q205" s="15"/>
      <c r="R205" s="15"/>
      <c r="S205" s="15"/>
      <c r="T205" s="15"/>
    </row>
    <row r="206" spans="1:20" s="10" customFormat="1">
      <c r="A206" s="18" t="s">
        <v>285</v>
      </c>
      <c r="B206" s="18">
        <f t="shared" ref="B206" si="206">+SUM(B199:B205)</f>
        <v>3274</v>
      </c>
      <c r="C206" s="18">
        <f t="shared" ref="C206" si="207">+SUM(C199:C205)</f>
        <v>105</v>
      </c>
      <c r="D206" s="18">
        <f t="shared" ref="D206" si="208">+SUM(D199:D205)</f>
        <v>224</v>
      </c>
      <c r="E206" s="18">
        <f t="shared" ref="E206" si="209">+SUM(E199:E205)</f>
        <v>-3702</v>
      </c>
      <c r="F206" s="18">
        <f t="shared" ref="F206" si="210">+SUM(F199:F205)</f>
        <v>1766</v>
      </c>
      <c r="G206" s="18">
        <f t="shared" ref="G206:H206" si="211">+SUM(G199:G205)</f>
        <v>-248</v>
      </c>
      <c r="H206" s="18">
        <f t="shared" si="211"/>
        <v>619</v>
      </c>
      <c r="I206" s="18">
        <f t="shared" ref="I206:J206" si="212">+SUM(I199:I205)</f>
        <v>-3336</v>
      </c>
      <c r="J206" s="18">
        <f t="shared" si="212"/>
        <v>0</v>
      </c>
      <c r="K206" s="18">
        <f t="shared" ref="K206" si="213">+SUM(K199:K205)</f>
        <v>0</v>
      </c>
      <c r="L206" s="18" t="s">
        <v>442</v>
      </c>
      <c r="M206" s="18">
        <f>+SUM(M199:M205)</f>
        <v>-1266</v>
      </c>
      <c r="N206" s="18">
        <f t="shared" ref="N206:P206" si="214">+SUM(N199:N205)</f>
        <v>-1180</v>
      </c>
      <c r="O206" s="18">
        <f t="shared" si="214"/>
        <v>-99</v>
      </c>
      <c r="P206" s="18">
        <f t="shared" si="214"/>
        <v>-1199</v>
      </c>
      <c r="Q206" s="18"/>
      <c r="R206" s="18"/>
      <c r="S206" s="18"/>
      <c r="T206" s="18"/>
    </row>
    <row r="207" spans="1:20" s="10" customFormat="1">
      <c r="A207" s="18"/>
      <c r="B207" s="18"/>
      <c r="C207" s="18"/>
      <c r="D207" s="18"/>
      <c r="E207" s="18"/>
      <c r="F207" s="18"/>
      <c r="G207" s="18"/>
      <c r="H207" s="18"/>
      <c r="I207" s="18"/>
      <c r="J207" s="18"/>
      <c r="K207" s="18"/>
      <c r="L207" s="18" t="s">
        <v>442</v>
      </c>
      <c r="M207" s="18"/>
      <c r="N207" s="18"/>
      <c r="O207" s="18"/>
      <c r="P207" s="18"/>
      <c r="Q207" s="18"/>
      <c r="R207" s="18"/>
      <c r="S207" s="18"/>
      <c r="T207" s="18"/>
    </row>
    <row r="208" spans="1:20" s="10" customFormat="1">
      <c r="A208" s="18" t="s">
        <v>291</v>
      </c>
      <c r="B208" s="18">
        <f t="shared" ref="B208:E208" si="215">+B206+B197+B187</f>
        <v>-1548</v>
      </c>
      <c r="C208" s="18">
        <f t="shared" si="215"/>
        <v>884</v>
      </c>
      <c r="D208" s="18">
        <f t="shared" si="215"/>
        <v>-110</v>
      </c>
      <c r="E208" s="18">
        <f t="shared" si="215"/>
        <v>457</v>
      </c>
      <c r="F208" s="18">
        <f>+F206+F197+F187</f>
        <v>-1113</v>
      </c>
      <c r="G208" s="18">
        <f>+G206+G197+G187</f>
        <v>168</v>
      </c>
      <c r="H208" s="18">
        <f t="shared" ref="H208:I208" si="216">+H206+H197+H187</f>
        <v>588</v>
      </c>
      <c r="I208" s="18">
        <f t="shared" si="216"/>
        <v>714</v>
      </c>
      <c r="J208" s="18">
        <f t="shared" ref="J208:K208" si="217">+J206+J197+J187</f>
        <v>0</v>
      </c>
      <c r="K208" s="18">
        <f t="shared" si="217"/>
        <v>0</v>
      </c>
      <c r="L208" s="18" t="s">
        <v>442</v>
      </c>
      <c r="M208" s="18">
        <f t="shared" ref="M208:P208" si="218">+M206+M197+M187</f>
        <v>1079</v>
      </c>
      <c r="N208" s="18">
        <f t="shared" si="218"/>
        <v>-940</v>
      </c>
      <c r="O208" s="18">
        <f t="shared" si="218"/>
        <v>-317</v>
      </c>
      <c r="P208" s="18">
        <f t="shared" si="218"/>
        <v>357</v>
      </c>
      <c r="Q208" s="18"/>
      <c r="R208" s="18"/>
      <c r="S208" s="18"/>
      <c r="T208" s="18"/>
    </row>
    <row r="209" spans="1:20" s="10" customFormat="1">
      <c r="A209" s="18" t="s">
        <v>327</v>
      </c>
      <c r="B209" s="18">
        <f t="shared" ref="B209:E209" si="219">+B208+B174-B175</f>
        <v>-1392</v>
      </c>
      <c r="C209" s="18">
        <f t="shared" si="219"/>
        <v>1055</v>
      </c>
      <c r="D209" s="18">
        <f t="shared" si="219"/>
        <v>61</v>
      </c>
      <c r="E209" s="18">
        <f t="shared" si="219"/>
        <v>630</v>
      </c>
      <c r="F209" s="18">
        <f>+F208+F174-F175</f>
        <v>-940</v>
      </c>
      <c r="G209" s="18">
        <f t="shared" ref="G209:I209" si="220">+G208+G174-G175</f>
        <v>339</v>
      </c>
      <c r="H209" s="18">
        <f t="shared" si="220"/>
        <v>755</v>
      </c>
      <c r="I209" s="18">
        <f t="shared" si="220"/>
        <v>876</v>
      </c>
      <c r="J209" s="18">
        <f t="shared" ref="J209:K209" si="221">+J208+J174-J175</f>
        <v>0</v>
      </c>
      <c r="K209" s="18">
        <f t="shared" si="221"/>
        <v>0</v>
      </c>
      <c r="L209" s="18" t="s">
        <v>442</v>
      </c>
      <c r="M209" s="18">
        <f t="shared" ref="M209:P209" si="222">+M208+M174-M175</f>
        <v>1791</v>
      </c>
      <c r="N209" s="18">
        <f t="shared" si="222"/>
        <v>-249</v>
      </c>
      <c r="O209" s="18">
        <f t="shared" si="222"/>
        <v>354</v>
      </c>
      <c r="P209" s="18">
        <f t="shared" si="222"/>
        <v>1030</v>
      </c>
      <c r="Q209" s="18"/>
      <c r="R209" s="18"/>
      <c r="S209" s="18"/>
      <c r="T209" s="18"/>
    </row>
    <row r="210" spans="1:20" s="10" customFormat="1">
      <c r="A210" s="15" t="s">
        <v>286</v>
      </c>
      <c r="B210" s="15">
        <v>-2</v>
      </c>
      <c r="C210" s="15">
        <f>9-B210</f>
        <v>11</v>
      </c>
      <c r="D210" s="15">
        <f>-68-C210-B210</f>
        <v>-77</v>
      </c>
      <c r="E210" s="15">
        <f t="shared" ref="E210" si="223">+O210-D210-C210-B210</f>
        <v>-75</v>
      </c>
      <c r="F210" s="15">
        <v>-31</v>
      </c>
      <c r="G210" s="15">
        <f>-72-F210</f>
        <v>-41</v>
      </c>
      <c r="H210" s="15">
        <v>-45</v>
      </c>
      <c r="I210" s="15">
        <f t="shared" ref="I210" si="224">+P210-SUM(F210:H210)</f>
        <v>24</v>
      </c>
      <c r="J210" s="15"/>
      <c r="K210" s="15"/>
      <c r="L210" s="18" t="s">
        <v>442</v>
      </c>
      <c r="M210" s="15">
        <v>-136</v>
      </c>
      <c r="N210" s="15">
        <v>-278</v>
      </c>
      <c r="O210" s="15">
        <v>-143</v>
      </c>
      <c r="P210" s="15">
        <v>-93</v>
      </c>
      <c r="Q210" s="15"/>
      <c r="R210" s="15"/>
      <c r="S210" s="15"/>
      <c r="T210" s="15"/>
    </row>
    <row r="211" spans="1:20" s="10" customFormat="1">
      <c r="A211" s="18" t="s">
        <v>292</v>
      </c>
      <c r="B211" s="18">
        <f t="shared" ref="B211:F211" si="225">+B208+B210</f>
        <v>-1550</v>
      </c>
      <c r="C211" s="18">
        <f t="shared" si="225"/>
        <v>895</v>
      </c>
      <c r="D211" s="18">
        <f t="shared" si="225"/>
        <v>-187</v>
      </c>
      <c r="E211" s="18">
        <f t="shared" si="225"/>
        <v>382</v>
      </c>
      <c r="F211" s="18">
        <f t="shared" si="225"/>
        <v>-1144</v>
      </c>
      <c r="G211" s="18">
        <f>+G208+G210</f>
        <v>127</v>
      </c>
      <c r="H211" s="18">
        <f t="shared" ref="H211:I211" si="226">+H208+H210</f>
        <v>543</v>
      </c>
      <c r="I211" s="18">
        <f t="shared" si="226"/>
        <v>738</v>
      </c>
      <c r="J211" s="18">
        <f t="shared" ref="J211:K211" si="227">+J208+J210</f>
        <v>0</v>
      </c>
      <c r="K211" s="18">
        <f t="shared" si="227"/>
        <v>0</v>
      </c>
      <c r="L211" s="18" t="s">
        <v>442</v>
      </c>
      <c r="M211" s="18">
        <f t="shared" ref="M211:P211" si="228">+M209+M210</f>
        <v>1655</v>
      </c>
      <c r="N211" s="18">
        <f t="shared" si="228"/>
        <v>-527</v>
      </c>
      <c r="O211" s="18">
        <f t="shared" si="228"/>
        <v>211</v>
      </c>
      <c r="P211" s="18">
        <f t="shared" si="228"/>
        <v>937</v>
      </c>
      <c r="Q211" s="18"/>
      <c r="R211" s="18"/>
      <c r="S211" s="18"/>
      <c r="T211" s="18"/>
    </row>
    <row r="212" spans="1:20" s="10" customFormat="1">
      <c r="A212" s="15" t="s">
        <v>287</v>
      </c>
      <c r="B212" s="15">
        <v>3618</v>
      </c>
      <c r="C212" s="15">
        <v>3618</v>
      </c>
      <c r="D212" s="15">
        <v>3618</v>
      </c>
      <c r="E212" s="15">
        <v>3618</v>
      </c>
      <c r="F212" s="15">
        <v>3158</v>
      </c>
      <c r="G212" s="15">
        <v>3158</v>
      </c>
      <c r="H212" s="15">
        <v>3158</v>
      </c>
      <c r="I212" s="15">
        <v>3158</v>
      </c>
      <c r="J212" s="15"/>
      <c r="K212" s="15"/>
      <c r="L212" s="18" t="s">
        <v>442</v>
      </c>
      <c r="M212" s="15">
        <v>3873</v>
      </c>
      <c r="N212" s="15">
        <v>4836</v>
      </c>
      <c r="O212" s="15">
        <v>3618</v>
      </c>
      <c r="P212" s="15">
        <v>3158</v>
      </c>
      <c r="Q212" s="15"/>
      <c r="R212" s="15"/>
      <c r="S212" s="15"/>
      <c r="T212" s="15"/>
    </row>
    <row r="213" spans="1:20" s="10" customFormat="1">
      <c r="A213" s="18" t="s">
        <v>288</v>
      </c>
      <c r="B213" s="18">
        <f t="shared" ref="B213:E213" si="229">+B212+B211</f>
        <v>2068</v>
      </c>
      <c r="C213" s="18">
        <f>+C212+C211+B211</f>
        <v>2963</v>
      </c>
      <c r="D213" s="18">
        <f t="shared" si="229"/>
        <v>3431</v>
      </c>
      <c r="E213" s="18">
        <f t="shared" si="229"/>
        <v>4000</v>
      </c>
      <c r="F213" s="18">
        <f>+F212+F211</f>
        <v>2014</v>
      </c>
      <c r="G213" s="18">
        <f>+G212+G211+F211</f>
        <v>2141</v>
      </c>
      <c r="H213" s="18">
        <f t="shared" ref="H213:I213" si="230">+H212+H211</f>
        <v>3701</v>
      </c>
      <c r="I213" s="18">
        <f t="shared" si="230"/>
        <v>3896</v>
      </c>
      <c r="J213" s="18">
        <f t="shared" ref="J213:K213" si="231">+J212+J211</f>
        <v>0</v>
      </c>
      <c r="K213" s="18">
        <f t="shared" si="231"/>
        <v>0</v>
      </c>
      <c r="L213" s="18" t="s">
        <v>442</v>
      </c>
      <c r="M213" s="18">
        <f t="shared" ref="M213:P213" si="232">+M212+M211</f>
        <v>5528</v>
      </c>
      <c r="N213" s="18">
        <f t="shared" si="232"/>
        <v>4309</v>
      </c>
      <c r="O213" s="18">
        <f t="shared" si="232"/>
        <v>3829</v>
      </c>
      <c r="P213" s="18">
        <f t="shared" si="232"/>
        <v>4095</v>
      </c>
      <c r="Q213" s="18"/>
      <c r="R213" s="18"/>
      <c r="S213" s="18"/>
      <c r="T213" s="18"/>
    </row>
    <row r="214" spans="1:20" s="10" customFormat="1">
      <c r="A214" s="12"/>
      <c r="B214" s="12"/>
      <c r="C214" s="12"/>
      <c r="D214" s="12"/>
      <c r="E214" s="12"/>
      <c r="F214" s="12"/>
      <c r="G214" s="12"/>
      <c r="H214" s="12"/>
      <c r="I214" s="12"/>
      <c r="J214" s="12"/>
      <c r="K214" s="12"/>
      <c r="L214" s="12" t="s">
        <v>442</v>
      </c>
      <c r="M214" s="12"/>
      <c r="N214" s="12"/>
      <c r="O214" s="12"/>
      <c r="P214" s="12"/>
      <c r="Q214" s="12"/>
      <c r="R214" s="12"/>
      <c r="S214" s="12"/>
      <c r="T214" s="12"/>
    </row>
    <row r="215" spans="1:20">
      <c r="A215" s="3"/>
      <c r="B215" s="3" t="str">
        <f t="shared" ref="B215:I215" si="233">B147</f>
        <v>Q123</v>
      </c>
      <c r="C215" s="3" t="str">
        <f t="shared" si="233"/>
        <v>Q223</v>
      </c>
      <c r="D215" s="3" t="str">
        <f t="shared" si="233"/>
        <v>Q323</v>
      </c>
      <c r="E215" s="3" t="str">
        <f t="shared" si="233"/>
        <v>Q423</v>
      </c>
      <c r="F215" s="3" t="str">
        <f t="shared" si="233"/>
        <v>Q124</v>
      </c>
      <c r="G215" s="3" t="str">
        <f t="shared" si="233"/>
        <v>Q224</v>
      </c>
      <c r="H215" s="3" t="str">
        <f t="shared" si="233"/>
        <v>Q324</v>
      </c>
      <c r="I215" s="3" t="str">
        <f t="shared" si="233"/>
        <v>Q424</v>
      </c>
      <c r="J215" s="3" t="str">
        <f t="shared" ref="J215:K215" si="234">J147</f>
        <v>Q125</v>
      </c>
      <c r="K215" s="3" t="str">
        <f t="shared" si="234"/>
        <v>Q225</v>
      </c>
      <c r="L215" s="3" t="s">
        <v>442</v>
      </c>
      <c r="M215" s="3">
        <v>2021</v>
      </c>
      <c r="N215" s="3">
        <v>2022</v>
      </c>
      <c r="O215" s="3">
        <f>O147</f>
        <v>2023</v>
      </c>
      <c r="P215" s="3">
        <f>P147</f>
        <v>2024</v>
      </c>
      <c r="Q215" s="3"/>
      <c r="R215" s="3"/>
      <c r="S215" s="3"/>
      <c r="T215" s="3"/>
    </row>
    <row r="216" spans="1:20" s="10" customFormat="1">
      <c r="A216" s="15" t="s">
        <v>3</v>
      </c>
      <c r="B216" s="15">
        <v>1646</v>
      </c>
      <c r="C216" s="15">
        <v>2563</v>
      </c>
      <c r="D216" s="15">
        <v>2254</v>
      </c>
      <c r="E216" s="15">
        <v>2644</v>
      </c>
      <c r="F216" s="15">
        <v>1505</v>
      </c>
      <c r="G216" s="15">
        <v>1839</v>
      </c>
      <c r="H216" s="15">
        <v>2421</v>
      </c>
      <c r="I216" s="15">
        <v>3106</v>
      </c>
      <c r="J216" s="15"/>
      <c r="K216" s="15"/>
      <c r="L216" s="18" t="s">
        <v>442</v>
      </c>
      <c r="M216" s="15"/>
      <c r="N216" s="15">
        <v>3191</v>
      </c>
      <c r="O216" s="15">
        <v>2644</v>
      </c>
      <c r="P216" s="15">
        <f>+I216</f>
        <v>3106</v>
      </c>
      <c r="Q216" s="15"/>
      <c r="R216" s="15"/>
      <c r="S216" s="15"/>
      <c r="T216" s="15"/>
    </row>
    <row r="217" spans="1:20" s="10" customFormat="1">
      <c r="A217" s="15" t="s">
        <v>293</v>
      </c>
      <c r="B217" s="15">
        <v>85</v>
      </c>
      <c r="C217" s="15">
        <v>53</v>
      </c>
      <c r="D217" s="15">
        <v>108</v>
      </c>
      <c r="E217" s="15">
        <v>98</v>
      </c>
      <c r="F217" s="15">
        <v>153</v>
      </c>
      <c r="G217" s="15">
        <v>120</v>
      </c>
      <c r="H217" s="15">
        <v>72</v>
      </c>
      <c r="I217" s="15">
        <v>63</v>
      </c>
      <c r="J217" s="15"/>
      <c r="K217" s="15"/>
      <c r="L217" s="18" t="s">
        <v>442</v>
      </c>
      <c r="M217" s="15"/>
      <c r="N217" s="15">
        <v>124</v>
      </c>
      <c r="O217" s="15">
        <v>98</v>
      </c>
      <c r="P217" s="15">
        <f t="shared" ref="P217:P220" si="235">+I217</f>
        <v>63</v>
      </c>
      <c r="Q217" s="15"/>
      <c r="R217" s="15"/>
      <c r="S217" s="15"/>
      <c r="T217" s="15"/>
    </row>
    <row r="218" spans="1:20" s="10" customFormat="1">
      <c r="A218" s="15" t="s">
        <v>294</v>
      </c>
      <c r="B218" s="15">
        <v>8678</v>
      </c>
      <c r="C218" s="15">
        <v>7955</v>
      </c>
      <c r="D218" s="15">
        <v>6581</v>
      </c>
      <c r="E218" s="15">
        <v>5488</v>
      </c>
      <c r="F218" s="15">
        <v>7906</v>
      </c>
      <c r="G218" s="15">
        <v>7615</v>
      </c>
      <c r="H218" s="15">
        <v>6651</v>
      </c>
      <c r="I218" s="15">
        <v>5676</v>
      </c>
      <c r="J218" s="15"/>
      <c r="K218" s="15"/>
      <c r="L218" s="18" t="s">
        <v>442</v>
      </c>
      <c r="M218" s="15"/>
      <c r="N218" s="15">
        <v>5701</v>
      </c>
      <c r="O218" s="15">
        <v>5488</v>
      </c>
      <c r="P218" s="15">
        <f t="shared" si="235"/>
        <v>5676</v>
      </c>
      <c r="Q218" s="15"/>
      <c r="R218" s="15"/>
      <c r="S218" s="15"/>
      <c r="T218" s="15"/>
    </row>
    <row r="219" spans="1:20" s="10" customFormat="1">
      <c r="A219" s="15" t="s">
        <v>295</v>
      </c>
      <c r="B219" s="15">
        <v>6585</v>
      </c>
      <c r="C219" s="15">
        <v>5628</v>
      </c>
      <c r="D219" s="15">
        <v>6320</v>
      </c>
      <c r="E219" s="15">
        <v>6899</v>
      </c>
      <c r="F219" s="15">
        <v>6183</v>
      </c>
      <c r="G219" s="15">
        <v>4893</v>
      </c>
      <c r="H219" s="15">
        <v>5674</v>
      </c>
      <c r="I219" s="15">
        <v>5432</v>
      </c>
      <c r="J219" s="15"/>
      <c r="K219" s="15"/>
      <c r="L219" s="18" t="s">
        <v>442</v>
      </c>
      <c r="M219" s="15"/>
      <c r="N219" s="15">
        <v>6811</v>
      </c>
      <c r="O219" s="15">
        <v>6899</v>
      </c>
      <c r="P219" s="15">
        <f t="shared" si="235"/>
        <v>5432</v>
      </c>
      <c r="Q219" s="15"/>
      <c r="R219" s="15"/>
      <c r="S219" s="15"/>
      <c r="T219" s="15"/>
    </row>
    <row r="220" spans="1:20" s="10" customFormat="1">
      <c r="A220" s="15" t="s">
        <v>77</v>
      </c>
      <c r="B220" s="15">
        <v>1335</v>
      </c>
      <c r="C220" s="15">
        <v>1008</v>
      </c>
      <c r="D220" s="15">
        <v>1070</v>
      </c>
      <c r="E220" s="15">
        <v>1131</v>
      </c>
      <c r="F220" s="15">
        <v>1416</v>
      </c>
      <c r="G220" s="15">
        <v>892</v>
      </c>
      <c r="H220" s="15">
        <v>831</v>
      </c>
      <c r="I220" s="15">
        <v>820</v>
      </c>
      <c r="J220" s="15"/>
      <c r="K220" s="15"/>
      <c r="L220" s="18" t="s">
        <v>442</v>
      </c>
      <c r="M220" s="15"/>
      <c r="N220" s="15">
        <v>968</v>
      </c>
      <c r="O220" s="15">
        <v>1131</v>
      </c>
      <c r="P220" s="15">
        <f t="shared" si="235"/>
        <v>820</v>
      </c>
      <c r="Q220" s="15"/>
      <c r="R220" s="15"/>
      <c r="S220" s="15"/>
      <c r="T220" s="15"/>
    </row>
    <row r="221" spans="1:20" s="10" customFormat="1">
      <c r="A221" s="18" t="s">
        <v>296</v>
      </c>
      <c r="B221" s="18">
        <f t="shared" ref="B221" si="236">+SUM(B216:B220)</f>
        <v>18329</v>
      </c>
      <c r="C221" s="18">
        <f t="shared" ref="C221" si="237">+SUM(C216:C220)</f>
        <v>17207</v>
      </c>
      <c r="D221" s="18">
        <f t="shared" ref="D221" si="238">+SUM(D216:D220)</f>
        <v>16333</v>
      </c>
      <c r="E221" s="18">
        <f t="shared" ref="E221" si="239">+SUM(E216:E220)</f>
        <v>16260</v>
      </c>
      <c r="F221" s="18">
        <f t="shared" ref="F221" si="240">+SUM(F216:F220)</f>
        <v>17163</v>
      </c>
      <c r="G221" s="18">
        <f t="shared" ref="G221:H221" si="241">+SUM(G216:G220)</f>
        <v>15359</v>
      </c>
      <c r="H221" s="18">
        <f t="shared" si="241"/>
        <v>15649</v>
      </c>
      <c r="I221" s="18">
        <f t="shared" ref="I221:J221" si="242">+SUM(I216:I220)</f>
        <v>15097</v>
      </c>
      <c r="J221" s="18">
        <f t="shared" si="242"/>
        <v>0</v>
      </c>
      <c r="K221" s="18">
        <f t="shared" ref="K221" si="243">+SUM(K216:K220)</f>
        <v>0</v>
      </c>
      <c r="L221" s="18" t="s">
        <v>442</v>
      </c>
      <c r="M221" s="18">
        <f t="shared" ref="M221:N221" si="244">+SUM(M216:M220)</f>
        <v>0</v>
      </c>
      <c r="N221" s="18">
        <f t="shared" si="244"/>
        <v>16795</v>
      </c>
      <c r="O221" s="18">
        <f>+SUM(O216:O220)</f>
        <v>16260</v>
      </c>
      <c r="P221" s="18">
        <f t="shared" ref="P221" si="245">+SUM(P216:P220)</f>
        <v>15097</v>
      </c>
      <c r="Q221" s="18"/>
      <c r="R221" s="18"/>
      <c r="S221" s="18"/>
      <c r="T221" s="18"/>
    </row>
    <row r="222" spans="1:20" s="10" customFormat="1">
      <c r="A222" s="15" t="s">
        <v>297</v>
      </c>
      <c r="B222" s="15">
        <v>87</v>
      </c>
      <c r="C222" s="15">
        <v>83</v>
      </c>
      <c r="D222" s="15">
        <v>106</v>
      </c>
      <c r="E222" s="15">
        <v>115</v>
      </c>
      <c r="F222" s="15">
        <v>123</v>
      </c>
      <c r="G222" s="15">
        <v>113</v>
      </c>
      <c r="H222" s="15">
        <v>128</v>
      </c>
      <c r="I222" s="15">
        <v>134</v>
      </c>
      <c r="J222" s="15"/>
      <c r="K222" s="15"/>
      <c r="L222" s="18" t="s">
        <v>442</v>
      </c>
      <c r="M222" s="15"/>
      <c r="N222" s="15">
        <v>102</v>
      </c>
      <c r="O222" s="15">
        <v>115</v>
      </c>
      <c r="P222" s="15">
        <f t="shared" ref="P222:P224" si="246">+I222</f>
        <v>134</v>
      </c>
      <c r="Q222" s="15"/>
      <c r="R222" s="15"/>
      <c r="S222" s="15"/>
      <c r="T222" s="15"/>
    </row>
    <row r="223" spans="1:20" s="10" customFormat="1">
      <c r="A223" s="15" t="s">
        <v>298</v>
      </c>
      <c r="B223" s="15">
        <v>8633</v>
      </c>
      <c r="C223" s="15">
        <v>8797</v>
      </c>
      <c r="D223" s="15">
        <v>8892</v>
      </c>
      <c r="E223" s="15">
        <v>8956</v>
      </c>
      <c r="F223" s="15">
        <v>9013</v>
      </c>
      <c r="G223" s="15">
        <v>9088</v>
      </c>
      <c r="H223" s="15">
        <v>9235</v>
      </c>
      <c r="I223" s="15">
        <v>9074</v>
      </c>
      <c r="J223" s="15"/>
      <c r="K223" s="15"/>
      <c r="L223" s="18" t="s">
        <v>442</v>
      </c>
      <c r="M223" s="15"/>
      <c r="N223" s="15">
        <v>8551</v>
      </c>
      <c r="O223" s="15">
        <v>8956</v>
      </c>
      <c r="P223" s="15">
        <f t="shared" si="246"/>
        <v>9074</v>
      </c>
      <c r="Q223" s="15"/>
      <c r="R223" s="15"/>
      <c r="S223" s="15"/>
      <c r="T223" s="15"/>
    </row>
    <row r="224" spans="1:20" s="10" customFormat="1">
      <c r="A224" s="15" t="s">
        <v>299</v>
      </c>
      <c r="B224" s="15">
        <v>4362</v>
      </c>
      <c r="C224" s="15">
        <v>4491</v>
      </c>
      <c r="D224" s="15">
        <v>4572</v>
      </c>
      <c r="E224" s="15">
        <v>4669</v>
      </c>
      <c r="F224" s="15">
        <v>4807</v>
      </c>
      <c r="G224" s="15">
        <v>4933</v>
      </c>
      <c r="H224" s="15">
        <v>5025</v>
      </c>
      <c r="I224" s="15">
        <v>4975</v>
      </c>
      <c r="J224" s="15"/>
      <c r="K224" s="15"/>
      <c r="L224" s="18" t="s">
        <v>442</v>
      </c>
      <c r="M224" s="15"/>
      <c r="N224" s="15">
        <v>4297</v>
      </c>
      <c r="O224" s="15">
        <v>4669</v>
      </c>
      <c r="P224" s="15">
        <f t="shared" si="246"/>
        <v>4975</v>
      </c>
      <c r="Q224" s="15"/>
      <c r="R224" s="15"/>
      <c r="S224" s="15"/>
      <c r="T224" s="15"/>
    </row>
    <row r="225" spans="1:20" s="10" customFormat="1">
      <c r="A225" s="18" t="s">
        <v>300</v>
      </c>
      <c r="B225" s="18">
        <f t="shared" ref="B225" si="247">+B223-B224</f>
        <v>4271</v>
      </c>
      <c r="C225" s="18">
        <f t="shared" ref="C225" si="248">+C223-C224</f>
        <v>4306</v>
      </c>
      <c r="D225" s="18">
        <f t="shared" ref="D225" si="249">+D223-D224</f>
        <v>4320</v>
      </c>
      <c r="E225" s="18">
        <f t="shared" ref="E225" si="250">+E223-E224</f>
        <v>4287</v>
      </c>
      <c r="F225" s="18">
        <f t="shared" ref="F225" si="251">+F223-F224</f>
        <v>4206</v>
      </c>
      <c r="G225" s="18">
        <f t="shared" ref="G225:H225" si="252">+G223-G224</f>
        <v>4155</v>
      </c>
      <c r="H225" s="18">
        <f t="shared" si="252"/>
        <v>4210</v>
      </c>
      <c r="I225" s="18">
        <f t="shared" ref="I225:J225" si="253">+I223-I224</f>
        <v>4099</v>
      </c>
      <c r="J225" s="18">
        <f t="shared" si="253"/>
        <v>0</v>
      </c>
      <c r="K225" s="18">
        <f t="shared" ref="K225" si="254">+K223-K224</f>
        <v>0</v>
      </c>
      <c r="L225" s="18" t="s">
        <v>442</v>
      </c>
      <c r="M225" s="18">
        <f t="shared" ref="M225:N225" si="255">+M223-M224</f>
        <v>0</v>
      </c>
      <c r="N225" s="18">
        <f t="shared" si="255"/>
        <v>4254</v>
      </c>
      <c r="O225" s="18">
        <f>+O223-O224</f>
        <v>4287</v>
      </c>
      <c r="P225" s="18">
        <f t="shared" ref="P225" si="256">+P223-P224</f>
        <v>4099</v>
      </c>
      <c r="Q225" s="18"/>
      <c r="R225" s="18"/>
      <c r="S225" s="18"/>
      <c r="T225" s="18"/>
    </row>
    <row r="226" spans="1:20" s="10" customFormat="1">
      <c r="A226" s="15" t="s">
        <v>301</v>
      </c>
      <c r="B226" s="15">
        <v>10508</v>
      </c>
      <c r="C226" s="15">
        <v>10539</v>
      </c>
      <c r="D226" s="15">
        <v>10441</v>
      </c>
      <c r="E226" s="15">
        <v>10605</v>
      </c>
      <c r="F226" s="15">
        <v>10553</v>
      </c>
      <c r="G226" s="15">
        <v>10490</v>
      </c>
      <c r="H226" s="15">
        <v>10629</v>
      </c>
      <c r="I226" s="15">
        <v>10408</v>
      </c>
      <c r="J226" s="15"/>
      <c r="K226" s="15"/>
      <c r="L226" s="18" t="s">
        <v>442</v>
      </c>
      <c r="M226" s="15"/>
      <c r="N226" s="15">
        <v>9962</v>
      </c>
      <c r="O226" s="15">
        <v>10605</v>
      </c>
      <c r="P226" s="15">
        <f t="shared" ref="P226:P229" si="257">+I226</f>
        <v>10408</v>
      </c>
      <c r="Q226" s="15"/>
      <c r="R226" s="15"/>
      <c r="S226" s="15"/>
      <c r="T226" s="15"/>
    </row>
    <row r="227" spans="1:20" s="10" customFormat="1">
      <c r="A227" s="15" t="s">
        <v>302</v>
      </c>
      <c r="B227" s="15">
        <v>10137</v>
      </c>
      <c r="C227" s="15">
        <v>9985</v>
      </c>
      <c r="D227" s="15">
        <v>9795</v>
      </c>
      <c r="E227" s="15">
        <v>9626</v>
      </c>
      <c r="F227" s="15">
        <v>9446</v>
      </c>
      <c r="G227" s="15">
        <v>9238</v>
      </c>
      <c r="H227" s="15">
        <v>9084</v>
      </c>
      <c r="I227" s="15">
        <v>8876</v>
      </c>
      <c r="J227" s="15"/>
      <c r="K227" s="15"/>
      <c r="L227" s="18" t="s">
        <v>442</v>
      </c>
      <c r="M227" s="15"/>
      <c r="N227" s="15">
        <v>9339</v>
      </c>
      <c r="O227" s="15">
        <v>9626</v>
      </c>
      <c r="P227" s="15">
        <f t="shared" si="257"/>
        <v>8876</v>
      </c>
      <c r="Q227" s="15"/>
      <c r="R227" s="15"/>
      <c r="S227" s="15"/>
      <c r="T227" s="15"/>
    </row>
    <row r="228" spans="1:20" s="10" customFormat="1">
      <c r="A228" s="15" t="s">
        <v>313</v>
      </c>
      <c r="B228" s="15">
        <v>508</v>
      </c>
      <c r="C228" s="15">
        <v>524</v>
      </c>
      <c r="D228" s="15">
        <v>554</v>
      </c>
      <c r="E228" s="15">
        <v>584</v>
      </c>
      <c r="F228" s="15">
        <v>551</v>
      </c>
      <c r="G228" s="15">
        <v>538</v>
      </c>
      <c r="H228" s="15">
        <v>564</v>
      </c>
      <c r="I228" s="15">
        <v>401</v>
      </c>
      <c r="J228" s="15"/>
      <c r="K228" s="15"/>
      <c r="L228" s="18" t="s">
        <v>442</v>
      </c>
      <c r="M228" s="15"/>
      <c r="N228" s="15">
        <v>479</v>
      </c>
      <c r="O228" s="15">
        <v>584</v>
      </c>
      <c r="P228" s="15">
        <f t="shared" si="257"/>
        <v>401</v>
      </c>
      <c r="Q228" s="15"/>
      <c r="R228" s="15"/>
      <c r="S228" s="15"/>
      <c r="T228" s="15"/>
    </row>
    <row r="229" spans="1:20" s="10" customFormat="1">
      <c r="A229" s="15" t="s">
        <v>303</v>
      </c>
      <c r="B229" s="15">
        <v>1660</v>
      </c>
      <c r="C229" s="15">
        <v>1545</v>
      </c>
      <c r="D229" s="15">
        <v>1561</v>
      </c>
      <c r="E229" s="15">
        <v>1519</v>
      </c>
      <c r="F229" s="15">
        <v>1583</v>
      </c>
      <c r="G229" s="15">
        <v>1571</v>
      </c>
      <c r="H229" s="15">
        <v>1644</v>
      </c>
      <c r="I229" s="15">
        <v>1810</v>
      </c>
      <c r="J229" s="15"/>
      <c r="K229" s="15"/>
      <c r="L229" s="18" t="s">
        <v>442</v>
      </c>
      <c r="M229" s="15"/>
      <c r="N229" s="15">
        <v>1687</v>
      </c>
      <c r="O229" s="15">
        <v>1519</v>
      </c>
      <c r="P229" s="15">
        <f t="shared" si="257"/>
        <v>1810</v>
      </c>
      <c r="Q229" s="15"/>
      <c r="R229" s="15"/>
      <c r="S229" s="15"/>
      <c r="T229" s="15"/>
    </row>
    <row r="230" spans="1:20" s="10" customFormat="1">
      <c r="A230" s="18" t="s">
        <v>318</v>
      </c>
      <c r="B230" s="18">
        <f t="shared" ref="B230" si="258">+SUM(B225:B229)</f>
        <v>27084</v>
      </c>
      <c r="C230" s="18">
        <f t="shared" ref="C230" si="259">+SUM(C225:C229)</f>
        <v>26899</v>
      </c>
      <c r="D230" s="18">
        <f t="shared" ref="D230" si="260">+SUM(D225:D229)</f>
        <v>26671</v>
      </c>
      <c r="E230" s="18">
        <f t="shared" ref="E230" si="261">+SUM(E225:E229)</f>
        <v>26621</v>
      </c>
      <c r="F230" s="18">
        <f t="shared" ref="F230" si="262">+SUM(F225:F229)</f>
        <v>26339</v>
      </c>
      <c r="G230" s="18">
        <f t="shared" ref="G230:H230" si="263">+SUM(G225:G229)</f>
        <v>25992</v>
      </c>
      <c r="H230" s="18">
        <f t="shared" si="263"/>
        <v>26131</v>
      </c>
      <c r="I230" s="18">
        <f t="shared" ref="I230:J230" si="264">+SUM(I225:I229)</f>
        <v>25594</v>
      </c>
      <c r="J230" s="18">
        <f t="shared" si="264"/>
        <v>0</v>
      </c>
      <c r="K230" s="18">
        <f t="shared" ref="K230" si="265">+SUM(K225:K229)</f>
        <v>0</v>
      </c>
      <c r="L230" s="18" t="s">
        <v>442</v>
      </c>
      <c r="M230" s="18">
        <f t="shared" ref="M230" si="266">+SUM(M225:M229)</f>
        <v>0</v>
      </c>
      <c r="N230" s="18">
        <f>+SUM(N225:N229)</f>
        <v>25721</v>
      </c>
      <c r="O230" s="18">
        <f t="shared" ref="O230:P230" si="267">+SUM(O225:O229)</f>
        <v>26621</v>
      </c>
      <c r="P230" s="18">
        <f t="shared" si="267"/>
        <v>25594</v>
      </c>
      <c r="Q230" s="18"/>
      <c r="R230" s="18"/>
      <c r="S230" s="18"/>
      <c r="T230" s="18"/>
    </row>
    <row r="231" spans="1:20" s="10" customFormat="1">
      <c r="A231" s="18" t="s">
        <v>304</v>
      </c>
      <c r="B231" s="18">
        <f t="shared" ref="B231" si="268">+B230+B222+B221</f>
        <v>45500</v>
      </c>
      <c r="C231" s="18">
        <f t="shared" ref="C231" si="269">+C230+C222+C221</f>
        <v>44189</v>
      </c>
      <c r="D231" s="18">
        <f t="shared" ref="D231" si="270">+D230+D222+D221</f>
        <v>43110</v>
      </c>
      <c r="E231" s="18">
        <f t="shared" ref="E231" si="271">+E230+E222+E221</f>
        <v>42996</v>
      </c>
      <c r="F231" s="18">
        <f t="shared" ref="F231" si="272">+F230+F222+F221</f>
        <v>43625</v>
      </c>
      <c r="G231" s="18">
        <f t="shared" ref="G231:H231" si="273">+G230+G222+G221</f>
        <v>41464</v>
      </c>
      <c r="H231" s="18">
        <f t="shared" si="273"/>
        <v>41908</v>
      </c>
      <c r="I231" s="18">
        <f t="shared" ref="I231:J231" si="274">+I230+I222+I221</f>
        <v>40825</v>
      </c>
      <c r="J231" s="18">
        <f t="shared" si="274"/>
        <v>0</v>
      </c>
      <c r="K231" s="18">
        <f t="shared" ref="K231" si="275">+K230+K222+K221</f>
        <v>0</v>
      </c>
      <c r="L231" s="18" t="s">
        <v>442</v>
      </c>
      <c r="M231" s="18">
        <f t="shared" ref="M231:N231" si="276">+M230+M222+M221</f>
        <v>0</v>
      </c>
      <c r="N231" s="18">
        <f t="shared" si="276"/>
        <v>42618</v>
      </c>
      <c r="O231" s="18">
        <f>+O230+O222+O221</f>
        <v>42996</v>
      </c>
      <c r="P231" s="18">
        <f t="shared" ref="P231" si="277">+P230+P222+P221</f>
        <v>40825</v>
      </c>
      <c r="Q231" s="18"/>
      <c r="R231" s="18"/>
      <c r="S231" s="18"/>
      <c r="T231" s="18"/>
    </row>
    <row r="232" spans="1:20" s="10" customFormat="1">
      <c r="A232" s="15" t="s">
        <v>305</v>
      </c>
      <c r="B232" s="15">
        <v>3787</v>
      </c>
      <c r="C232" s="15">
        <v>3023</v>
      </c>
      <c r="D232" s="15">
        <v>3609</v>
      </c>
      <c r="E232" s="15">
        <v>198</v>
      </c>
      <c r="F232" s="15">
        <v>2148</v>
      </c>
      <c r="G232" s="15">
        <v>2253</v>
      </c>
      <c r="H232" s="15">
        <v>3741</v>
      </c>
      <c r="I232" s="15">
        <v>750</v>
      </c>
      <c r="J232" s="15"/>
      <c r="K232" s="15"/>
      <c r="L232" s="18" t="s">
        <v>442</v>
      </c>
      <c r="M232" s="15"/>
      <c r="N232" s="15">
        <v>24</v>
      </c>
      <c r="O232" s="15">
        <v>198</v>
      </c>
      <c r="P232" s="15">
        <f t="shared" ref="P232:P236" si="278">+I232</f>
        <v>750</v>
      </c>
      <c r="Q232" s="15"/>
      <c r="R232" s="15"/>
      <c r="S232" s="15"/>
      <c r="T232" s="15"/>
    </row>
    <row r="233" spans="1:20" s="10" customFormat="1">
      <c r="A233" s="15" t="s">
        <v>306</v>
      </c>
      <c r="B233" s="15">
        <v>3957</v>
      </c>
      <c r="C233" s="15">
        <v>3379</v>
      </c>
      <c r="D233" s="15">
        <v>3678</v>
      </c>
      <c r="E233" s="15">
        <v>4280</v>
      </c>
      <c r="F233" s="15">
        <v>3606</v>
      </c>
      <c r="G233" s="15">
        <v>3300</v>
      </c>
      <c r="H233" s="15">
        <v>3753</v>
      </c>
      <c r="I233" s="15">
        <v>4039</v>
      </c>
      <c r="J233" s="15"/>
      <c r="K233" s="15"/>
      <c r="L233" s="18" t="s">
        <v>442</v>
      </c>
      <c r="M233" s="15"/>
      <c r="N233" s="15">
        <v>4895</v>
      </c>
      <c r="O233" s="15">
        <v>4280</v>
      </c>
      <c r="P233" s="15">
        <f t="shared" si="278"/>
        <v>4039</v>
      </c>
      <c r="Q233" s="15"/>
      <c r="R233" s="15"/>
      <c r="S233" s="15"/>
      <c r="T233" s="15"/>
    </row>
    <row r="234" spans="1:20" s="10" customFormat="1">
      <c r="A234" s="15" t="s">
        <v>307</v>
      </c>
      <c r="B234" s="15">
        <v>298</v>
      </c>
      <c r="C234" s="15">
        <v>396</v>
      </c>
      <c r="D234" s="15">
        <v>236</v>
      </c>
      <c r="E234" s="15">
        <v>174</v>
      </c>
      <c r="F234" s="15">
        <v>311</v>
      </c>
      <c r="G234" s="15">
        <v>488</v>
      </c>
      <c r="H234" s="15">
        <v>313</v>
      </c>
      <c r="I234" s="15">
        <v>207</v>
      </c>
      <c r="J234" s="15"/>
      <c r="K234" s="15"/>
      <c r="L234" s="18" t="s">
        <v>442</v>
      </c>
      <c r="M234" s="15"/>
      <c r="N234" s="15">
        <v>183</v>
      </c>
      <c r="O234" s="15">
        <v>174</v>
      </c>
      <c r="P234" s="15">
        <f t="shared" si="278"/>
        <v>207</v>
      </c>
      <c r="Q234" s="15"/>
      <c r="R234" s="15"/>
      <c r="S234" s="15"/>
      <c r="T234" s="15"/>
    </row>
    <row r="235" spans="1:20" s="10" customFormat="1">
      <c r="A235" s="15" t="s">
        <v>308</v>
      </c>
      <c r="B235" s="15">
        <v>2712</v>
      </c>
      <c r="C235" s="15">
        <v>656</v>
      </c>
      <c r="D235" s="15">
        <v>552</v>
      </c>
      <c r="E235" s="15">
        <v>3406</v>
      </c>
      <c r="F235" s="15">
        <v>2694</v>
      </c>
      <c r="G235" s="15">
        <v>413</v>
      </c>
      <c r="H235" s="15">
        <v>429</v>
      </c>
      <c r="I235" s="15">
        <v>3287</v>
      </c>
      <c r="J235" s="15"/>
      <c r="K235" s="15"/>
      <c r="L235" s="18" t="s">
        <v>442</v>
      </c>
      <c r="M235" s="15"/>
      <c r="N235" s="15">
        <v>3388</v>
      </c>
      <c r="O235" s="15">
        <v>3406</v>
      </c>
      <c r="P235" s="15">
        <f t="shared" si="278"/>
        <v>3287</v>
      </c>
      <c r="Q235" s="15"/>
      <c r="R235" s="15"/>
      <c r="S235" s="15"/>
      <c r="T235" s="15"/>
    </row>
    <row r="236" spans="1:20" s="10" customFormat="1">
      <c r="A236" s="15" t="s">
        <v>309</v>
      </c>
      <c r="B236" s="15">
        <v>2477</v>
      </c>
      <c r="C236" s="15">
        <v>2892</v>
      </c>
      <c r="D236" s="15">
        <v>2273</v>
      </c>
      <c r="E236" s="15">
        <v>2351</v>
      </c>
      <c r="F236" s="15">
        <v>2573</v>
      </c>
      <c r="G236" s="15">
        <v>2499</v>
      </c>
      <c r="H236" s="15">
        <v>2188</v>
      </c>
      <c r="I236" s="15">
        <v>2103</v>
      </c>
      <c r="J236" s="15"/>
      <c r="K236" s="15"/>
      <c r="L236" s="18" t="s">
        <v>442</v>
      </c>
      <c r="M236" s="15"/>
      <c r="N236" s="15">
        <v>2254</v>
      </c>
      <c r="O236" s="15">
        <v>2351</v>
      </c>
      <c r="P236" s="15">
        <f t="shared" si="278"/>
        <v>2103</v>
      </c>
      <c r="Q236" s="15"/>
      <c r="R236" s="15"/>
      <c r="S236" s="15"/>
      <c r="T236" s="15"/>
    </row>
    <row r="237" spans="1:20" s="10" customFormat="1">
      <c r="A237" s="18" t="s">
        <v>310</v>
      </c>
      <c r="B237" s="18">
        <f t="shared" ref="B237" si="279">+SUM(B232:B236)</f>
        <v>13231</v>
      </c>
      <c r="C237" s="18">
        <f t="shared" ref="C237" si="280">+SUM(C232:C236)</f>
        <v>10346</v>
      </c>
      <c r="D237" s="18">
        <f t="shared" ref="D237" si="281">+SUM(D232:D236)</f>
        <v>10348</v>
      </c>
      <c r="E237" s="18">
        <f t="shared" ref="E237" si="282">+SUM(E232:E236)</f>
        <v>10409</v>
      </c>
      <c r="F237" s="18">
        <f t="shared" ref="F237" si="283">+SUM(F232:F236)</f>
        <v>11332</v>
      </c>
      <c r="G237" s="18">
        <f t="shared" ref="G237:H237" si="284">+SUM(G232:G236)</f>
        <v>8953</v>
      </c>
      <c r="H237" s="18">
        <f t="shared" si="284"/>
        <v>10424</v>
      </c>
      <c r="I237" s="18">
        <f t="shared" ref="I237:J237" si="285">+SUM(I232:I236)</f>
        <v>10386</v>
      </c>
      <c r="J237" s="18">
        <f t="shared" si="285"/>
        <v>0</v>
      </c>
      <c r="K237" s="18">
        <f t="shared" ref="K237" si="286">+SUM(K232:K236)</f>
        <v>0</v>
      </c>
      <c r="L237" s="18" t="s">
        <v>442</v>
      </c>
      <c r="M237" s="18">
        <f t="shared" ref="M237:N237" si="287">+SUM(M232:M236)</f>
        <v>0</v>
      </c>
      <c r="N237" s="18">
        <f t="shared" si="287"/>
        <v>10744</v>
      </c>
      <c r="O237" s="18">
        <f>+SUM(O232:O236)</f>
        <v>10409</v>
      </c>
      <c r="P237" s="18">
        <f t="shared" ref="P237" si="288">+SUM(P232:P236)</f>
        <v>10386</v>
      </c>
      <c r="Q237" s="18"/>
      <c r="R237" s="18"/>
      <c r="S237" s="18"/>
      <c r="T237" s="18"/>
    </row>
    <row r="238" spans="1:20" s="10" customFormat="1">
      <c r="A238" s="15" t="s">
        <v>311</v>
      </c>
      <c r="B238" s="15">
        <v>1241</v>
      </c>
      <c r="C238" s="15">
        <v>2290</v>
      </c>
      <c r="D238" s="15">
        <v>2290</v>
      </c>
      <c r="E238" s="15">
        <v>2291</v>
      </c>
      <c r="F238" s="15">
        <v>2492</v>
      </c>
      <c r="G238" s="15">
        <v>2471</v>
      </c>
      <c r="H238" s="15">
        <v>1975</v>
      </c>
      <c r="I238" s="15">
        <v>1953</v>
      </c>
      <c r="J238" s="15"/>
      <c r="K238" s="15"/>
      <c r="L238" s="18" t="s">
        <v>442</v>
      </c>
      <c r="M238" s="15"/>
      <c r="N238" s="15">
        <v>1283</v>
      </c>
      <c r="O238" s="15">
        <v>2291</v>
      </c>
      <c r="P238" s="15">
        <f t="shared" ref="P238:P241" si="289">+I238</f>
        <v>1953</v>
      </c>
      <c r="Q238" s="15"/>
      <c r="R238" s="15"/>
      <c r="S238" s="15"/>
      <c r="T238" s="15"/>
    </row>
    <row r="239" spans="1:20" s="10" customFormat="1">
      <c r="A239" s="15" t="s">
        <v>312</v>
      </c>
      <c r="B239" s="15">
        <v>1255</v>
      </c>
      <c r="C239" s="15">
        <v>1134</v>
      </c>
      <c r="D239" s="15">
        <v>1070</v>
      </c>
      <c r="E239" s="15">
        <v>899</v>
      </c>
      <c r="F239" s="15">
        <v>753</v>
      </c>
      <c r="G239" s="15">
        <v>607</v>
      </c>
      <c r="H239" s="15">
        <v>496</v>
      </c>
      <c r="I239" s="15">
        <v>478</v>
      </c>
      <c r="J239" s="15"/>
      <c r="K239" s="15"/>
      <c r="L239" s="18" t="s">
        <v>442</v>
      </c>
      <c r="M239" s="15"/>
      <c r="N239" s="15">
        <v>1119</v>
      </c>
      <c r="O239" s="15">
        <v>899</v>
      </c>
      <c r="P239" s="15">
        <f t="shared" si="289"/>
        <v>478</v>
      </c>
      <c r="Q239" s="15"/>
      <c r="R239" s="15"/>
      <c r="S239" s="15"/>
      <c r="T239" s="15"/>
    </row>
    <row r="240" spans="1:20" s="10" customFormat="1">
      <c r="A240" s="15" t="s">
        <v>314</v>
      </c>
      <c r="B240" s="15">
        <v>2242</v>
      </c>
      <c r="C240" s="15">
        <v>2236</v>
      </c>
      <c r="D240" s="15">
        <v>2228</v>
      </c>
      <c r="E240" s="15">
        <v>2467</v>
      </c>
      <c r="F240" s="15">
        <v>2453</v>
      </c>
      <c r="G240" s="15">
        <v>2452</v>
      </c>
      <c r="H240" s="15">
        <v>2473</v>
      </c>
      <c r="I240" s="15">
        <v>2271</v>
      </c>
      <c r="J240" s="15"/>
      <c r="K240" s="15"/>
      <c r="L240" s="18" t="s">
        <v>442</v>
      </c>
      <c r="M240" s="15"/>
      <c r="N240" s="15">
        <v>2255</v>
      </c>
      <c r="O240" s="15">
        <v>2467</v>
      </c>
      <c r="P240" s="15">
        <f t="shared" si="289"/>
        <v>2271</v>
      </c>
      <c r="Q240" s="15"/>
      <c r="R240" s="15"/>
      <c r="S240" s="15"/>
      <c r="T240" s="15"/>
    </row>
    <row r="241" spans="1:20" s="10" customFormat="1">
      <c r="A241" s="15" t="s">
        <v>315</v>
      </c>
      <c r="B241" s="15">
        <v>1692</v>
      </c>
      <c r="C241" s="15">
        <v>1722</v>
      </c>
      <c r="D241" s="15">
        <v>1707</v>
      </c>
      <c r="E241" s="15">
        <v>1651</v>
      </c>
      <c r="F241" s="15">
        <v>1587</v>
      </c>
      <c r="G241" s="15">
        <v>1560</v>
      </c>
      <c r="H241" s="15">
        <v>1561</v>
      </c>
      <c r="I241" s="15">
        <v>1707</v>
      </c>
      <c r="J241" s="15"/>
      <c r="K241" s="15"/>
      <c r="L241" s="18" t="s">
        <v>442</v>
      </c>
      <c r="M241" s="15"/>
      <c r="N241" s="15">
        <v>1676</v>
      </c>
      <c r="O241" s="15">
        <v>1651</v>
      </c>
      <c r="P241" s="15">
        <f t="shared" si="289"/>
        <v>1707</v>
      </c>
      <c r="Q241" s="15"/>
      <c r="R241" s="15"/>
      <c r="S241" s="15"/>
      <c r="T241" s="15"/>
    </row>
    <row r="242" spans="1:20" s="10" customFormat="1">
      <c r="A242" s="18" t="s">
        <v>317</v>
      </c>
      <c r="B242" s="18">
        <f t="shared" ref="B242" si="290">+SUM(B237:B241)</f>
        <v>19661</v>
      </c>
      <c r="C242" s="18">
        <f t="shared" ref="C242" si="291">+SUM(C237:C241)</f>
        <v>17728</v>
      </c>
      <c r="D242" s="18">
        <f t="shared" ref="D242" si="292">+SUM(D237:D241)</f>
        <v>17643</v>
      </c>
      <c r="E242" s="18">
        <f t="shared" ref="E242" si="293">+SUM(E237:E241)</f>
        <v>17717</v>
      </c>
      <c r="F242" s="18">
        <f t="shared" ref="F242" si="294">+SUM(F237:F241)</f>
        <v>18617</v>
      </c>
      <c r="G242" s="18">
        <f t="shared" ref="G242:H242" si="295">+SUM(G237:G241)</f>
        <v>16043</v>
      </c>
      <c r="H242" s="18">
        <f t="shared" si="295"/>
        <v>16929</v>
      </c>
      <c r="I242" s="18">
        <f t="shared" ref="I242:J242" si="296">+SUM(I237:I241)</f>
        <v>16795</v>
      </c>
      <c r="J242" s="18">
        <f t="shared" si="296"/>
        <v>0</v>
      </c>
      <c r="K242" s="18">
        <f t="shared" ref="K242" si="297">+SUM(K237:K241)</f>
        <v>0</v>
      </c>
      <c r="L242" s="18" t="s">
        <v>442</v>
      </c>
      <c r="M242" s="18">
        <f t="shared" ref="M242:N242" si="298">+SUM(M237:M241)</f>
        <v>0</v>
      </c>
      <c r="N242" s="18">
        <f t="shared" si="298"/>
        <v>17077</v>
      </c>
      <c r="O242" s="18">
        <f>+SUM(O237:O241)</f>
        <v>17717</v>
      </c>
      <c r="P242" s="18">
        <f t="shared" ref="P242" si="299">+SUM(P237:P241)</f>
        <v>16795</v>
      </c>
      <c r="Q242" s="18"/>
      <c r="R242" s="18"/>
      <c r="S242" s="18"/>
      <c r="T242" s="18"/>
    </row>
    <row r="243" spans="1:20" s="10" customFormat="1">
      <c r="A243" s="18" t="s">
        <v>316</v>
      </c>
      <c r="B243" s="18">
        <f t="shared" ref="B243" si="300">+B231-B242</f>
        <v>25839</v>
      </c>
      <c r="C243" s="18">
        <f t="shared" ref="C243" si="301">+C231-C242</f>
        <v>26461</v>
      </c>
      <c r="D243" s="18">
        <f t="shared" ref="D243" si="302">+D231-D242</f>
        <v>25467</v>
      </c>
      <c r="E243" s="18">
        <f t="shared" ref="E243" si="303">+E231-E242</f>
        <v>25279</v>
      </c>
      <c r="F243" s="18">
        <f t="shared" ref="F243" si="304">+F231-F242</f>
        <v>25008</v>
      </c>
      <c r="G243" s="18">
        <f t="shared" ref="G243:H243" si="305">+G231-G242</f>
        <v>25421</v>
      </c>
      <c r="H243" s="18">
        <f t="shared" si="305"/>
        <v>24979</v>
      </c>
      <c r="I243" s="18">
        <f t="shared" ref="I243:J243" si="306">+I231-I242</f>
        <v>24030</v>
      </c>
      <c r="J243" s="18">
        <f t="shared" si="306"/>
        <v>0</v>
      </c>
      <c r="K243" s="18">
        <f t="shared" ref="K243" si="307">+K231-K242</f>
        <v>0</v>
      </c>
      <c r="L243" s="18" t="s">
        <v>442</v>
      </c>
      <c r="M243" s="18">
        <f t="shared" ref="M243:N243" si="308">+M231-M242</f>
        <v>0</v>
      </c>
      <c r="N243" s="18">
        <f t="shared" si="308"/>
        <v>25541</v>
      </c>
      <c r="O243" s="18">
        <f>+O231-O242</f>
        <v>25279</v>
      </c>
      <c r="P243" s="18">
        <f t="shared" ref="P243" si="309">+P231-P242</f>
        <v>24030</v>
      </c>
      <c r="Q243" s="18"/>
      <c r="R243" s="18"/>
      <c r="S243" s="18"/>
      <c r="T243" s="18"/>
    </row>
    <row r="244" spans="1:20" s="10" customFormat="1">
      <c r="A244" s="15" t="s">
        <v>319</v>
      </c>
      <c r="B244" s="15">
        <v>7</v>
      </c>
      <c r="C244" s="15">
        <v>7</v>
      </c>
      <c r="D244" s="15">
        <v>7</v>
      </c>
      <c r="E244" s="15">
        <v>7</v>
      </c>
      <c r="F244" s="15">
        <v>7</v>
      </c>
      <c r="G244" s="15">
        <v>7</v>
      </c>
      <c r="H244" s="15">
        <v>7</v>
      </c>
      <c r="I244" s="15">
        <v>7</v>
      </c>
      <c r="J244" s="15"/>
      <c r="K244" s="15"/>
      <c r="L244" s="18" t="s">
        <v>442</v>
      </c>
      <c r="M244" s="15"/>
      <c r="N244" s="15">
        <v>7</v>
      </c>
      <c r="O244" s="15">
        <v>7</v>
      </c>
      <c r="P244" s="15">
        <f t="shared" ref="P244:P247" si="310">+I244</f>
        <v>7</v>
      </c>
      <c r="Q244" s="15"/>
      <c r="R244" s="15"/>
      <c r="S244" s="15"/>
      <c r="T244" s="15"/>
    </row>
    <row r="245" spans="1:20" s="10" customFormat="1">
      <c r="A245" s="15" t="s">
        <v>320</v>
      </c>
      <c r="B245" s="15">
        <v>27844</v>
      </c>
      <c r="C245" s="15">
        <v>27877</v>
      </c>
      <c r="D245" s="15">
        <v>27895</v>
      </c>
      <c r="E245" s="15">
        <v>27748</v>
      </c>
      <c r="F245" s="15">
        <v>27468</v>
      </c>
      <c r="G245" s="15">
        <v>27504</v>
      </c>
      <c r="H245" s="15">
        <v>27518</v>
      </c>
      <c r="I245" s="15">
        <v>27196</v>
      </c>
      <c r="J245" s="15"/>
      <c r="K245" s="15"/>
      <c r="L245" s="18" t="s">
        <v>442</v>
      </c>
      <c r="M245" s="15"/>
      <c r="N245" s="15">
        <v>27851</v>
      </c>
      <c r="O245" s="15">
        <v>27748</v>
      </c>
      <c r="P245" s="15">
        <f t="shared" si="310"/>
        <v>27196</v>
      </c>
      <c r="Q245" s="15"/>
      <c r="R245" s="15"/>
      <c r="S245" s="15"/>
      <c r="T245" s="15"/>
    </row>
    <row r="246" spans="1:20" s="10" customFormat="1">
      <c r="A246" s="15" t="s">
        <v>321</v>
      </c>
      <c r="B246" s="15">
        <v>487</v>
      </c>
      <c r="C246" s="15">
        <v>1013</v>
      </c>
      <c r="D246" s="15">
        <v>325</v>
      </c>
      <c r="E246" s="15">
        <v>-41</v>
      </c>
      <c r="F246" s="15">
        <v>302</v>
      </c>
      <c r="G246" s="15">
        <v>992</v>
      </c>
      <c r="H246" s="15">
        <v>98</v>
      </c>
      <c r="I246" s="15">
        <v>55</v>
      </c>
      <c r="J246" s="15"/>
      <c r="K246" s="15"/>
      <c r="L246" s="18" t="s">
        <v>442</v>
      </c>
      <c r="M246" s="15"/>
      <c r="N246" s="15">
        <v>250</v>
      </c>
      <c r="O246" s="15">
        <v>-41</v>
      </c>
      <c r="P246" s="15">
        <f t="shared" si="310"/>
        <v>55</v>
      </c>
      <c r="Q246" s="15"/>
      <c r="R246" s="15"/>
      <c r="S246" s="15"/>
      <c r="T246" s="15"/>
    </row>
    <row r="247" spans="1:20" s="10" customFormat="1">
      <c r="A247" s="15" t="s">
        <v>322</v>
      </c>
      <c r="B247" s="15">
        <v>-2739</v>
      </c>
      <c r="C247" s="15">
        <v>-2677</v>
      </c>
      <c r="D247" s="15">
        <v>-3001</v>
      </c>
      <c r="E247" s="15">
        <v>-2677</v>
      </c>
      <c r="F247" s="15">
        <v>-3010</v>
      </c>
      <c r="G247" s="15">
        <v>-3324</v>
      </c>
      <c r="H247" s="15">
        <v>-2886</v>
      </c>
      <c r="I247" s="15">
        <v>-3469</v>
      </c>
      <c r="J247" s="15"/>
      <c r="K247" s="15"/>
      <c r="L247" s="18" t="s">
        <v>442</v>
      </c>
      <c r="M247" s="15"/>
      <c r="N247" s="15">
        <v>-2806</v>
      </c>
      <c r="O247" s="15">
        <v>-2677</v>
      </c>
      <c r="P247" s="15">
        <f t="shared" si="310"/>
        <v>-3469</v>
      </c>
      <c r="Q247" s="15"/>
      <c r="R247" s="15"/>
      <c r="S247" s="15"/>
      <c r="T247" s="15"/>
    </row>
    <row r="248" spans="1:20" s="10" customFormat="1">
      <c r="A248" s="18" t="s">
        <v>323</v>
      </c>
      <c r="B248" s="18">
        <f t="shared" ref="B248" si="311">+SUM(B244:B247)</f>
        <v>25599</v>
      </c>
      <c r="C248" s="18">
        <f t="shared" ref="C248" si="312">+SUM(C244:C247)</f>
        <v>26220</v>
      </c>
      <c r="D248" s="18">
        <f t="shared" ref="D248" si="313">+SUM(D244:D247)</f>
        <v>25226</v>
      </c>
      <c r="E248" s="18">
        <f t="shared" ref="E248" si="314">+SUM(E244:E247)</f>
        <v>25037</v>
      </c>
      <c r="F248" s="18">
        <f t="shared" ref="F248" si="315">+SUM(F244:F247)</f>
        <v>24767</v>
      </c>
      <c r="G248" s="18">
        <f t="shared" ref="G248:H248" si="316">+SUM(G244:G247)</f>
        <v>25179</v>
      </c>
      <c r="H248" s="18">
        <f t="shared" si="316"/>
        <v>24737</v>
      </c>
      <c r="I248" s="18">
        <f t="shared" ref="I248:J248" si="317">+SUM(I244:I247)</f>
        <v>23789</v>
      </c>
      <c r="J248" s="18">
        <f t="shared" si="317"/>
        <v>0</v>
      </c>
      <c r="K248" s="18">
        <f t="shared" ref="K248" si="318">+SUM(K244:K247)</f>
        <v>0</v>
      </c>
      <c r="L248" s="18" t="s">
        <v>442</v>
      </c>
      <c r="M248" s="18">
        <f t="shared" ref="M248:N248" si="319">+SUM(M244:M247)</f>
        <v>0</v>
      </c>
      <c r="N248" s="18">
        <f t="shared" si="319"/>
        <v>25302</v>
      </c>
      <c r="O248" s="18">
        <f>+SUM(O244:O247)</f>
        <v>25037</v>
      </c>
      <c r="P248" s="18">
        <f t="shared" ref="P248" si="320">+SUM(P244:P247)</f>
        <v>23789</v>
      </c>
      <c r="Q248" s="18"/>
      <c r="R248" s="18"/>
      <c r="S248" s="18"/>
      <c r="T248" s="18"/>
    </row>
    <row r="249" spans="1:20" s="10" customFormat="1">
      <c r="A249" s="15" t="s">
        <v>324</v>
      </c>
      <c r="B249" s="15">
        <v>240</v>
      </c>
      <c r="C249" s="15">
        <v>241</v>
      </c>
      <c r="D249" s="15">
        <v>241</v>
      </c>
      <c r="E249" s="15">
        <v>242</v>
      </c>
      <c r="F249" s="15">
        <v>241</v>
      </c>
      <c r="G249" s="15">
        <v>242</v>
      </c>
      <c r="H249" s="15">
        <v>242</v>
      </c>
      <c r="I249" s="15">
        <v>241</v>
      </c>
      <c r="J249" s="15"/>
      <c r="K249" s="15"/>
      <c r="L249" s="18" t="s">
        <v>442</v>
      </c>
      <c r="M249" s="15"/>
      <c r="N249" s="15">
        <v>239</v>
      </c>
      <c r="O249" s="15">
        <v>242</v>
      </c>
      <c r="P249" s="15">
        <f>+I249</f>
        <v>241</v>
      </c>
      <c r="Q249" s="15"/>
      <c r="R249" s="15"/>
      <c r="S249" s="15"/>
      <c r="T249" s="15"/>
    </row>
    <row r="250" spans="1:20" s="10" customFormat="1">
      <c r="A250" s="18" t="s">
        <v>325</v>
      </c>
      <c r="B250" s="18">
        <f t="shared" ref="B250" si="321">+B249+B248</f>
        <v>25839</v>
      </c>
      <c r="C250" s="18">
        <f t="shared" ref="C250" si="322">+C249+C248</f>
        <v>26461</v>
      </c>
      <c r="D250" s="18">
        <f t="shared" ref="D250" si="323">+D249+D248</f>
        <v>25467</v>
      </c>
      <c r="E250" s="18">
        <f t="shared" ref="E250" si="324">+E249+E248</f>
        <v>25279</v>
      </c>
      <c r="F250" s="18">
        <f t="shared" ref="F250" si="325">+F249+F248</f>
        <v>25008</v>
      </c>
      <c r="G250" s="18">
        <f t="shared" ref="G250:H250" si="326">+G249+G248</f>
        <v>25421</v>
      </c>
      <c r="H250" s="18">
        <f t="shared" si="326"/>
        <v>24979</v>
      </c>
      <c r="I250" s="18">
        <f t="shared" ref="I250:J250" si="327">+I249+I248</f>
        <v>24030</v>
      </c>
      <c r="J250" s="18">
        <f t="shared" si="327"/>
        <v>0</v>
      </c>
      <c r="K250" s="18">
        <f t="shared" ref="K250" si="328">+K249+K248</f>
        <v>0</v>
      </c>
      <c r="L250" s="18" t="s">
        <v>442</v>
      </c>
      <c r="M250" s="18">
        <f t="shared" ref="M250:N250" si="329">+M249+M248</f>
        <v>0</v>
      </c>
      <c r="N250" s="18">
        <f t="shared" si="329"/>
        <v>25541</v>
      </c>
      <c r="O250" s="18">
        <f>+O249+O248</f>
        <v>25279</v>
      </c>
      <c r="P250" s="18">
        <f t="shared" ref="P250" si="330">+P249+P248</f>
        <v>24030</v>
      </c>
      <c r="Q250" s="18"/>
      <c r="R250" s="18"/>
      <c r="S250" s="18"/>
      <c r="T250" s="18"/>
    </row>
    <row r="251" spans="1:20" s="10" customFormat="1">
      <c r="A251" s="18" t="s">
        <v>326</v>
      </c>
      <c r="B251" s="18">
        <f t="shared" ref="B251:I251" si="331">+B250+B242</f>
        <v>45500</v>
      </c>
      <c r="C251" s="18">
        <f t="shared" si="331"/>
        <v>44189</v>
      </c>
      <c r="D251" s="18">
        <f t="shared" si="331"/>
        <v>43110</v>
      </c>
      <c r="E251" s="18">
        <f t="shared" si="331"/>
        <v>42996</v>
      </c>
      <c r="F251" s="18">
        <f t="shared" si="331"/>
        <v>43625</v>
      </c>
      <c r="G251" s="18">
        <f t="shared" si="331"/>
        <v>41464</v>
      </c>
      <c r="H251" s="18">
        <f t="shared" si="331"/>
        <v>41908</v>
      </c>
      <c r="I251" s="18">
        <f t="shared" si="331"/>
        <v>40825</v>
      </c>
      <c r="J251" s="18">
        <f t="shared" ref="J251:K251" si="332">+J250+J242</f>
        <v>0</v>
      </c>
      <c r="K251" s="18">
        <f t="shared" si="332"/>
        <v>0</v>
      </c>
      <c r="L251" s="18" t="s">
        <v>442</v>
      </c>
      <c r="M251" s="18">
        <f>+M250+M242</f>
        <v>0</v>
      </c>
      <c r="N251" s="18">
        <f>+N250+N242</f>
        <v>42618</v>
      </c>
      <c r="O251" s="18">
        <f>+O250+O242</f>
        <v>42996</v>
      </c>
      <c r="P251" s="18">
        <f>+P250+P242</f>
        <v>40825</v>
      </c>
      <c r="Q251" s="18"/>
      <c r="R251" s="18"/>
      <c r="S251" s="18"/>
      <c r="T251" s="18"/>
    </row>
    <row r="252" spans="1:20" s="10" customFormat="1">
      <c r="A252" s="12"/>
      <c r="B252" s="12"/>
      <c r="C252" s="12"/>
      <c r="D252" s="12"/>
      <c r="E252" s="12"/>
      <c r="F252" s="12"/>
      <c r="G252" s="12"/>
      <c r="H252" s="12"/>
      <c r="I252" s="12"/>
      <c r="J252" s="12"/>
      <c r="K252" s="12"/>
      <c r="L252" s="12" t="s">
        <v>442</v>
      </c>
      <c r="M252" s="12"/>
      <c r="N252" s="12"/>
      <c r="O252" s="12"/>
      <c r="P252" s="12"/>
      <c r="Q252" s="12"/>
      <c r="R252" s="12"/>
      <c r="S252" s="12"/>
      <c r="T252" s="12"/>
    </row>
    <row r="253" spans="1:20">
      <c r="B253" t="str">
        <f t="shared" ref="B253:I253" si="333">+B215</f>
        <v>Q123</v>
      </c>
      <c r="C253" t="str">
        <f t="shared" si="333"/>
        <v>Q223</v>
      </c>
      <c r="D253" t="str">
        <f t="shared" si="333"/>
        <v>Q323</v>
      </c>
      <c r="E253" t="str">
        <f t="shared" si="333"/>
        <v>Q423</v>
      </c>
      <c r="F253" t="str">
        <f t="shared" si="333"/>
        <v>Q124</v>
      </c>
      <c r="G253" t="str">
        <f t="shared" si="333"/>
        <v>Q224</v>
      </c>
      <c r="H253" t="str">
        <f t="shared" si="333"/>
        <v>Q324</v>
      </c>
      <c r="I253" t="str">
        <f t="shared" si="333"/>
        <v>Q424</v>
      </c>
      <c r="J253" t="str">
        <f t="shared" ref="J253:K253" si="334">+J215</f>
        <v>Q125</v>
      </c>
      <c r="K253" t="str">
        <f t="shared" si="334"/>
        <v>Q225</v>
      </c>
      <c r="L253" s="3" t="s">
        <v>442</v>
      </c>
      <c r="M253">
        <f t="shared" ref="M253:N253" si="335">+M215</f>
        <v>2021</v>
      </c>
      <c r="N253">
        <f t="shared" si="335"/>
        <v>2022</v>
      </c>
      <c r="O253">
        <f>+O215</f>
        <v>2023</v>
      </c>
      <c r="P253">
        <f>+P215</f>
        <v>2024</v>
      </c>
    </row>
    <row r="254" spans="1:20" s="10" customFormat="1">
      <c r="A254" s="23" t="s">
        <v>295</v>
      </c>
      <c r="B254" s="23">
        <f t="shared" ref="B254" si="336">+SUM(B255:B257)</f>
        <v>6585</v>
      </c>
      <c r="C254" s="23">
        <f t="shared" ref="C254" si="337">+SUM(C255:C257)</f>
        <v>5628</v>
      </c>
      <c r="D254" s="23">
        <f t="shared" ref="D254" si="338">+SUM(D255:D257)</f>
        <v>6320</v>
      </c>
      <c r="E254" s="23">
        <f t="shared" ref="E254" si="339">+SUM(E255:E257)</f>
        <v>6899</v>
      </c>
      <c r="F254" s="23">
        <f t="shared" ref="F254" si="340">+SUM(F255:F257)</f>
        <v>6183</v>
      </c>
      <c r="G254" s="23">
        <f t="shared" ref="G254:H254" si="341">+SUM(G255:G257)</f>
        <v>4893</v>
      </c>
      <c r="H254" s="23">
        <f t="shared" si="341"/>
        <v>5674</v>
      </c>
      <c r="I254" s="23">
        <f t="shared" ref="I254:J254" si="342">+SUM(I255:I257)</f>
        <v>5432</v>
      </c>
      <c r="J254" s="23">
        <f t="shared" si="342"/>
        <v>0</v>
      </c>
      <c r="K254" s="23">
        <f t="shared" ref="K254" si="343">+SUM(K255:K257)</f>
        <v>0</v>
      </c>
      <c r="L254" s="23" t="s">
        <v>442</v>
      </c>
      <c r="M254" s="23">
        <f>+SUM(M255:M257)</f>
        <v>0</v>
      </c>
      <c r="N254" s="23">
        <f t="shared" ref="N254:P254" si="344">+SUM(N255:N257)</f>
        <v>6811</v>
      </c>
      <c r="O254" s="23">
        <f t="shared" si="344"/>
        <v>6899</v>
      </c>
      <c r="P254" s="23">
        <f t="shared" si="344"/>
        <v>5432</v>
      </c>
      <c r="Q254" s="23"/>
      <c r="R254" s="23"/>
      <c r="S254" s="23"/>
      <c r="T254" s="23"/>
    </row>
    <row r="255" spans="1:20" s="10" customFormat="1">
      <c r="A255" s="20" t="s">
        <v>376</v>
      </c>
      <c r="B255" s="20">
        <v>3650</v>
      </c>
      <c r="C255" s="20">
        <v>2640</v>
      </c>
      <c r="D255" s="20">
        <v>2786</v>
      </c>
      <c r="E255" s="20">
        <v>3273</v>
      </c>
      <c r="F255" s="20">
        <v>3284</v>
      </c>
      <c r="G255" s="20">
        <v>2190</v>
      </c>
      <c r="H255" s="20">
        <v>2399</v>
      </c>
      <c r="I255" s="20">
        <f>+P255</f>
        <v>2649</v>
      </c>
      <c r="J255" s="20"/>
      <c r="K255" s="20"/>
      <c r="L255" s="23" t="s">
        <v>442</v>
      </c>
      <c r="M255" s="20"/>
      <c r="N255" s="20">
        <v>3260</v>
      </c>
      <c r="O255" s="20">
        <v>3273</v>
      </c>
      <c r="P255" s="20">
        <v>2649</v>
      </c>
      <c r="Q255" s="20"/>
      <c r="R255" s="20"/>
      <c r="S255" s="20"/>
      <c r="T255" s="20"/>
    </row>
    <row r="256" spans="1:20" s="10" customFormat="1">
      <c r="A256" s="20" t="s">
        <v>377</v>
      </c>
      <c r="B256" s="20">
        <v>2023</v>
      </c>
      <c r="C256" s="20">
        <v>2127</v>
      </c>
      <c r="D256" s="20">
        <v>2690</v>
      </c>
      <c r="E256" s="20">
        <v>2775</v>
      </c>
      <c r="F256" s="20">
        <v>2206</v>
      </c>
      <c r="G256" s="20">
        <v>2110</v>
      </c>
      <c r="H256" s="20">
        <v>2785</v>
      </c>
      <c r="I256" s="20">
        <f t="shared" ref="I256:I257" si="345">+P256</f>
        <v>2297</v>
      </c>
      <c r="J256" s="20"/>
      <c r="K256" s="20"/>
      <c r="L256" s="23" t="s">
        <v>442</v>
      </c>
      <c r="M256" s="20"/>
      <c r="N256" s="20">
        <v>2689</v>
      </c>
      <c r="O256" s="20">
        <v>2775</v>
      </c>
      <c r="P256" s="20">
        <v>2297</v>
      </c>
      <c r="Q256" s="20"/>
      <c r="R256" s="20"/>
      <c r="S256" s="20"/>
      <c r="T256" s="20"/>
    </row>
    <row r="257" spans="1:20" s="10" customFormat="1">
      <c r="A257" s="20" t="s">
        <v>378</v>
      </c>
      <c r="B257" s="20">
        <v>912</v>
      </c>
      <c r="C257" s="20">
        <v>861</v>
      </c>
      <c r="D257" s="20">
        <v>844</v>
      </c>
      <c r="E257" s="20">
        <v>851</v>
      </c>
      <c r="F257" s="20">
        <v>693</v>
      </c>
      <c r="G257" s="20">
        <v>593</v>
      </c>
      <c r="H257" s="20">
        <v>490</v>
      </c>
      <c r="I257" s="20">
        <f t="shared" si="345"/>
        <v>486</v>
      </c>
      <c r="J257" s="20"/>
      <c r="K257" s="20"/>
      <c r="L257" s="23" t="s">
        <v>442</v>
      </c>
      <c r="M257" s="20"/>
      <c r="N257" s="20">
        <v>862</v>
      </c>
      <c r="O257" s="20">
        <v>851</v>
      </c>
      <c r="P257" s="20">
        <v>486</v>
      </c>
      <c r="Q257" s="20"/>
      <c r="R257" s="20"/>
      <c r="S257" s="20"/>
      <c r="T257" s="20"/>
    </row>
    <row r="258" spans="1:20" s="10" customFormat="1">
      <c r="L258" s="12" t="s">
        <v>442</v>
      </c>
    </row>
    <row r="259" spans="1:20">
      <c r="B259" t="str">
        <f t="shared" ref="B259:I259" si="346">+B253</f>
        <v>Q123</v>
      </c>
      <c r="C259" t="str">
        <f t="shared" si="346"/>
        <v>Q223</v>
      </c>
      <c r="D259" t="str">
        <f t="shared" si="346"/>
        <v>Q323</v>
      </c>
      <c r="E259" t="str">
        <f t="shared" si="346"/>
        <v>Q423</v>
      </c>
      <c r="F259" t="str">
        <f t="shared" si="346"/>
        <v>Q124</v>
      </c>
      <c r="G259" t="str">
        <f t="shared" si="346"/>
        <v>Q224</v>
      </c>
      <c r="H259" t="str">
        <f t="shared" si="346"/>
        <v>Q324</v>
      </c>
      <c r="I259" t="str">
        <f t="shared" si="346"/>
        <v>Q424</v>
      </c>
      <c r="J259" t="str">
        <f t="shared" ref="J259:K259" si="347">+J253</f>
        <v>Q125</v>
      </c>
      <c r="K259" t="str">
        <f t="shared" si="347"/>
        <v>Q225</v>
      </c>
      <c r="L259" s="3" t="s">
        <v>442</v>
      </c>
      <c r="M259">
        <f t="shared" ref="M259:O259" si="348">+M253</f>
        <v>2021</v>
      </c>
      <c r="N259">
        <f t="shared" si="348"/>
        <v>2022</v>
      </c>
      <c r="O259">
        <f t="shared" si="348"/>
        <v>2023</v>
      </c>
      <c r="P259">
        <f>+P253</f>
        <v>2024</v>
      </c>
    </row>
    <row r="260" spans="1:20" s="10" customFormat="1">
      <c r="A260" s="23" t="s">
        <v>298</v>
      </c>
      <c r="B260" s="23">
        <f t="shared" ref="B260" si="349">+SUM(B261:B265)</f>
        <v>0</v>
      </c>
      <c r="C260" s="23">
        <f t="shared" ref="C260" si="350">+SUM(C261:C265)</f>
        <v>0</v>
      </c>
      <c r="D260" s="23">
        <f t="shared" ref="D260" si="351">+SUM(D261:D265)</f>
        <v>0</v>
      </c>
      <c r="E260" s="23">
        <f t="shared" ref="E260" si="352">+SUM(E261:E265)</f>
        <v>0</v>
      </c>
      <c r="F260" s="23">
        <f t="shared" ref="F260" si="353">+SUM(F261:F265)</f>
        <v>0</v>
      </c>
      <c r="G260" s="23">
        <f t="shared" ref="G260:H260" si="354">+SUM(G261:G265)</f>
        <v>0</v>
      </c>
      <c r="H260" s="23">
        <f t="shared" si="354"/>
        <v>0</v>
      </c>
      <c r="I260" s="23">
        <f t="shared" ref="I260:J260" si="355">+SUM(I261:I265)</f>
        <v>0</v>
      </c>
      <c r="J260" s="23">
        <f t="shared" si="355"/>
        <v>0</v>
      </c>
      <c r="K260" s="23">
        <f t="shared" ref="K260" si="356">+SUM(K261:K265)</f>
        <v>0</v>
      </c>
      <c r="L260" s="23" t="s">
        <v>442</v>
      </c>
      <c r="M260" s="23">
        <f>+SUM(M261:M265)</f>
        <v>0</v>
      </c>
      <c r="N260" s="23">
        <f t="shared" ref="N260:P260" si="357">+SUM(N261:N265)</f>
        <v>4254</v>
      </c>
      <c r="O260" s="23">
        <f t="shared" si="357"/>
        <v>4287</v>
      </c>
      <c r="P260" s="23">
        <f t="shared" si="357"/>
        <v>4099</v>
      </c>
      <c r="Q260" s="23"/>
      <c r="R260" s="23"/>
      <c r="S260" s="23"/>
      <c r="T260" s="23"/>
    </row>
    <row r="261" spans="1:20" s="10" customFormat="1">
      <c r="A261" s="20" t="s">
        <v>379</v>
      </c>
      <c r="B261" s="20"/>
      <c r="C261" s="20"/>
      <c r="D261" s="20"/>
      <c r="E261" s="20"/>
      <c r="F261" s="20"/>
      <c r="G261" s="20"/>
      <c r="H261" s="20"/>
      <c r="I261" s="20"/>
      <c r="J261" s="20"/>
      <c r="K261" s="20"/>
      <c r="L261" s="23" t="s">
        <v>442</v>
      </c>
      <c r="M261" s="20"/>
      <c r="N261" s="20">
        <v>416</v>
      </c>
      <c r="O261" s="20">
        <v>440</v>
      </c>
      <c r="P261" s="20">
        <v>425</v>
      </c>
      <c r="Q261" s="20"/>
      <c r="R261" s="20"/>
      <c r="S261" s="20"/>
      <c r="T261" s="20"/>
    </row>
    <row r="262" spans="1:20" s="10" customFormat="1">
      <c r="A262" s="20" t="s">
        <v>380</v>
      </c>
      <c r="B262" s="20"/>
      <c r="C262" s="20"/>
      <c r="D262" s="20"/>
      <c r="E262" s="20"/>
      <c r="F262" s="20"/>
      <c r="G262" s="20"/>
      <c r="H262" s="20"/>
      <c r="I262" s="20"/>
      <c r="J262" s="20"/>
      <c r="K262" s="20"/>
      <c r="L262" s="23" t="s">
        <v>442</v>
      </c>
      <c r="M262" s="20"/>
      <c r="N262" s="20">
        <v>1541</v>
      </c>
      <c r="O262" s="20">
        <v>1671</v>
      </c>
      <c r="P262" s="20">
        <v>1715</v>
      </c>
      <c r="Q262" s="20"/>
      <c r="R262" s="20"/>
      <c r="S262" s="20"/>
      <c r="T262" s="20"/>
    </row>
    <row r="263" spans="1:20" s="10" customFormat="1">
      <c r="A263" s="20" t="s">
        <v>381</v>
      </c>
      <c r="B263" s="20"/>
      <c r="C263" s="20"/>
      <c r="D263" s="20"/>
      <c r="E263" s="20"/>
      <c r="F263" s="20"/>
      <c r="G263" s="20"/>
      <c r="H263" s="20"/>
      <c r="I263" s="20"/>
      <c r="J263" s="20"/>
      <c r="K263" s="20"/>
      <c r="L263" s="23" t="s">
        <v>442</v>
      </c>
      <c r="M263" s="20"/>
      <c r="N263" s="20">
        <v>6077</v>
      </c>
      <c r="O263" s="20">
        <v>6315</v>
      </c>
      <c r="P263" s="20">
        <v>6472</v>
      </c>
      <c r="Q263" s="20"/>
      <c r="R263" s="20"/>
      <c r="S263" s="20"/>
      <c r="T263" s="20"/>
    </row>
    <row r="264" spans="1:20" s="10" customFormat="1">
      <c r="A264" s="20" t="s">
        <v>382</v>
      </c>
      <c r="B264" s="20"/>
      <c r="C264" s="20"/>
      <c r="D264" s="20"/>
      <c r="E264" s="20"/>
      <c r="F264" s="20"/>
      <c r="G264" s="20"/>
      <c r="H264" s="20"/>
      <c r="I264" s="20"/>
      <c r="J264" s="20"/>
      <c r="K264" s="20"/>
      <c r="L264" s="23" t="s">
        <v>442</v>
      </c>
      <c r="M264" s="20"/>
      <c r="N264" s="20">
        <v>517</v>
      </c>
      <c r="O264" s="20">
        <v>530</v>
      </c>
      <c r="P264" s="20">
        <v>462</v>
      </c>
      <c r="Q264" s="20"/>
      <c r="R264" s="20"/>
      <c r="S264" s="20"/>
      <c r="T264" s="20"/>
    </row>
    <row r="265" spans="1:20" s="10" customFormat="1">
      <c r="A265" s="20" t="s">
        <v>383</v>
      </c>
      <c r="B265" s="20"/>
      <c r="C265" s="20"/>
      <c r="D265" s="20"/>
      <c r="E265" s="20"/>
      <c r="F265" s="20"/>
      <c r="G265" s="20"/>
      <c r="H265" s="20"/>
      <c r="I265" s="20"/>
      <c r="J265" s="20"/>
      <c r="K265" s="20"/>
      <c r="L265" s="23" t="s">
        <v>442</v>
      </c>
      <c r="M265" s="20"/>
      <c r="N265" s="20">
        <v>-4297</v>
      </c>
      <c r="O265" s="20">
        <v>-4669</v>
      </c>
      <c r="P265" s="20">
        <v>-4975</v>
      </c>
      <c r="Q265" s="20"/>
      <c r="R265" s="20"/>
      <c r="S265" s="20"/>
      <c r="T265" s="20"/>
    </row>
    <row r="266" spans="1:20" s="10" customFormat="1">
      <c r="L266" s="12" t="s">
        <v>442</v>
      </c>
    </row>
    <row r="267" spans="1:20">
      <c r="B267" t="str">
        <f t="shared" ref="B267" si="358">+B259</f>
        <v>Q123</v>
      </c>
      <c r="C267" t="str">
        <f t="shared" ref="C267" si="359">+C259</f>
        <v>Q223</v>
      </c>
      <c r="D267" t="str">
        <f t="shared" ref="D267" si="360">+D259</f>
        <v>Q323</v>
      </c>
      <c r="E267" t="str">
        <f t="shared" ref="E267" si="361">+E259</f>
        <v>Q423</v>
      </c>
      <c r="F267" t="str">
        <f t="shared" ref="F267" si="362">+F259</f>
        <v>Q124</v>
      </c>
      <c r="G267" t="str">
        <f t="shared" ref="G267:H267" si="363">+G259</f>
        <v>Q224</v>
      </c>
      <c r="H267" t="str">
        <f t="shared" si="363"/>
        <v>Q324</v>
      </c>
      <c r="I267" t="str">
        <f t="shared" ref="I267:J267" si="364">+I259</f>
        <v>Q424</v>
      </c>
      <c r="J267" t="str">
        <f t="shared" si="364"/>
        <v>Q125</v>
      </c>
      <c r="K267" t="str">
        <f t="shared" ref="K267" si="365">+K259</f>
        <v>Q225</v>
      </c>
      <c r="L267" s="3" t="s">
        <v>442</v>
      </c>
      <c r="M267">
        <f>+M259</f>
        <v>2021</v>
      </c>
      <c r="N267">
        <f t="shared" ref="N267:P267" si="366">+N259</f>
        <v>2022</v>
      </c>
      <c r="O267">
        <f t="shared" si="366"/>
        <v>2023</v>
      </c>
      <c r="P267">
        <f t="shared" si="366"/>
        <v>2024</v>
      </c>
    </row>
    <row r="268" spans="1:20" s="10" customFormat="1">
      <c r="A268" s="23" t="s">
        <v>440</v>
      </c>
      <c r="B268" s="23">
        <f t="shared" ref="B268" si="367">+B270+B272+B274+B276+B278</f>
        <v>13045</v>
      </c>
      <c r="C268" s="23">
        <f t="shared" ref="C268" si="368">+C270+C272+C274+C276+C278</f>
        <v>13068</v>
      </c>
      <c r="D268" s="23">
        <f t="shared" ref="D268" si="369">+D270+D272+D274+D276+D278</f>
        <v>13044</v>
      </c>
      <c r="E268" s="23">
        <f t="shared" ref="E268" si="370">+E270+E272+E274+E276+E278</f>
        <v>13073</v>
      </c>
      <c r="F268" s="23">
        <f t="shared" ref="F268" si="371">+F270+F272+F274+F276+F278</f>
        <v>13064</v>
      </c>
      <c r="G268" s="23">
        <f t="shared" ref="G268:H268" si="372">+G270+G272+G274+G276+G278</f>
        <v>12965</v>
      </c>
      <c r="H268" s="23">
        <f t="shared" si="372"/>
        <v>12986</v>
      </c>
      <c r="I268" s="23">
        <f t="shared" ref="I268:J268" si="373">+I270+I272+I274+I276+I278</f>
        <v>12923</v>
      </c>
      <c r="J268" s="23">
        <f t="shared" si="373"/>
        <v>0</v>
      </c>
      <c r="K268" s="23">
        <f t="shared" ref="K268" si="374">+K270+K272+K274+K276+K278</f>
        <v>0</v>
      </c>
      <c r="L268" s="23" t="s">
        <v>442</v>
      </c>
      <c r="M268" s="23">
        <f>+M270+M272+M274+M276+M278</f>
        <v>0</v>
      </c>
      <c r="N268" s="23">
        <f>+N270+N272+N274+N276+N278</f>
        <v>12092</v>
      </c>
      <c r="O268" s="23">
        <f t="shared" ref="O268:P268" si="375">+O270+O272+O274+O276+O278</f>
        <v>13073</v>
      </c>
      <c r="P268" s="23">
        <f t="shared" si="375"/>
        <v>12923</v>
      </c>
      <c r="Q268" s="23"/>
      <c r="R268" s="23"/>
      <c r="S268" s="23"/>
      <c r="T268" s="23"/>
    </row>
    <row r="269" spans="1:20" s="10" customFormat="1">
      <c r="A269" s="23" t="s">
        <v>441</v>
      </c>
      <c r="B269" s="23">
        <f t="shared" ref="B269" si="376">+B271+B273+B275+B277+B279</f>
        <v>10123</v>
      </c>
      <c r="C269" s="23">
        <f t="shared" ref="C269" si="377">+C271+C273+C275+C277+C279</f>
        <v>9969</v>
      </c>
      <c r="D269" s="23">
        <f t="shared" ref="D269" si="378">+D271+D273+D275+D277+D279</f>
        <v>9779</v>
      </c>
      <c r="E269" s="23">
        <f t="shared" ref="E269" si="379">+E271+E273+E275+E277+E279</f>
        <v>9621</v>
      </c>
      <c r="F269" s="23">
        <f t="shared" ref="F269" si="380">+F271+F273+F275+F277+F279</f>
        <v>9441</v>
      </c>
      <c r="G269" s="23">
        <f t="shared" ref="G269:H269" si="381">+G271+G273+G275+G277+G279</f>
        <v>9233</v>
      </c>
      <c r="H269" s="23">
        <f t="shared" si="381"/>
        <v>9079</v>
      </c>
      <c r="I269" s="23">
        <f t="shared" ref="I269:J269" si="382">+I271+I273+I275+I277+I279</f>
        <v>8871</v>
      </c>
      <c r="J269" s="23">
        <f t="shared" si="382"/>
        <v>0</v>
      </c>
      <c r="K269" s="23">
        <f t="shared" ref="K269" si="383">+K271+K273+K275+K277+K279</f>
        <v>0</v>
      </c>
      <c r="L269" s="23" t="s">
        <v>442</v>
      </c>
      <c r="M269" s="23">
        <f>+M271+M273+M275+M277+M279</f>
        <v>0</v>
      </c>
      <c r="N269" s="23">
        <f>+N271+N273+N275+N277+N279</f>
        <v>9329</v>
      </c>
      <c r="O269" s="23">
        <f t="shared" ref="O269:P269" si="384">+O271+O273+O275+O277+O279</f>
        <v>9621</v>
      </c>
      <c r="P269" s="23">
        <f t="shared" si="384"/>
        <v>8871</v>
      </c>
      <c r="Q269" s="23"/>
      <c r="R269" s="23"/>
      <c r="S269" s="23"/>
      <c r="T269" s="23"/>
    </row>
    <row r="270" spans="1:20" s="10" customFormat="1">
      <c r="A270" s="20" t="s">
        <v>384</v>
      </c>
      <c r="B270" s="20">
        <v>6291</v>
      </c>
      <c r="C270" s="20">
        <v>6291</v>
      </c>
      <c r="D270" s="20">
        <v>6291</v>
      </c>
      <c r="E270" s="20">
        <v>6291</v>
      </c>
      <c r="F270" s="20">
        <v>6291</v>
      </c>
      <c r="G270" s="20">
        <v>6291</v>
      </c>
      <c r="H270" s="20">
        <v>6291</v>
      </c>
      <c r="I270" s="20">
        <v>6291</v>
      </c>
      <c r="J270" s="20"/>
      <c r="K270" s="20"/>
      <c r="L270" s="23" t="s">
        <v>442</v>
      </c>
      <c r="M270" s="20"/>
      <c r="N270" s="20">
        <v>6291</v>
      </c>
      <c r="O270" s="20">
        <v>6291</v>
      </c>
      <c r="P270" s="20">
        <v>6291</v>
      </c>
      <c r="Q270" s="20"/>
      <c r="R270" s="20"/>
      <c r="S270" s="20"/>
      <c r="T270" s="20"/>
    </row>
    <row r="271" spans="1:20" s="10" customFormat="1">
      <c r="A271" s="20" t="s">
        <v>385</v>
      </c>
      <c r="B271" s="20">
        <v>5401</v>
      </c>
      <c r="C271" s="20">
        <v>5338</v>
      </c>
      <c r="D271" s="20">
        <v>5274</v>
      </c>
      <c r="E271" s="20">
        <v>5210</v>
      </c>
      <c r="F271" s="20">
        <v>5146</v>
      </c>
      <c r="G271" s="20">
        <v>5083</v>
      </c>
      <c r="H271" s="20">
        <v>5019</v>
      </c>
      <c r="I271" s="20">
        <v>4955</v>
      </c>
      <c r="J271" s="20"/>
      <c r="K271" s="20"/>
      <c r="L271" s="23" t="s">
        <v>442</v>
      </c>
      <c r="M271" s="20"/>
      <c r="N271" s="20">
        <v>5465</v>
      </c>
      <c r="O271" s="20">
        <v>5210</v>
      </c>
      <c r="P271" s="20">
        <v>4955</v>
      </c>
      <c r="Q271" s="20"/>
      <c r="R271" s="20"/>
      <c r="S271" s="20"/>
      <c r="T271" s="20"/>
    </row>
    <row r="272" spans="1:20" s="10" customFormat="1">
      <c r="A272" s="20" t="s">
        <v>386</v>
      </c>
      <c r="B272" s="20">
        <v>2407</v>
      </c>
      <c r="C272" s="20">
        <v>2429</v>
      </c>
      <c r="D272" s="20">
        <v>2403</v>
      </c>
      <c r="E272" s="20">
        <v>2427</v>
      </c>
      <c r="F272" s="20">
        <v>2421</v>
      </c>
      <c r="G272" s="20">
        <v>2388</v>
      </c>
      <c r="H272" s="20">
        <v>2413</v>
      </c>
      <c r="I272" s="20">
        <v>2350</v>
      </c>
      <c r="J272" s="20"/>
      <c r="K272" s="20"/>
      <c r="L272" s="23" t="s">
        <v>442</v>
      </c>
      <c r="M272" s="20"/>
      <c r="N272" s="20">
        <v>1912</v>
      </c>
      <c r="O272" s="20">
        <v>2427</v>
      </c>
      <c r="P272" s="20">
        <v>2350</v>
      </c>
      <c r="Q272" s="20"/>
      <c r="R272" s="20"/>
      <c r="S272" s="20"/>
      <c r="T272" s="20"/>
    </row>
    <row r="273" spans="1:20" s="10" customFormat="1">
      <c r="A273" s="20" t="s">
        <v>387</v>
      </c>
      <c r="B273" s="20">
        <v>1790</v>
      </c>
      <c r="C273" s="20">
        <v>1772</v>
      </c>
      <c r="D273" s="20">
        <v>1715</v>
      </c>
      <c r="E273" s="20">
        <v>1693</v>
      </c>
      <c r="F273" s="20">
        <v>1655</v>
      </c>
      <c r="G273" s="20">
        <v>1590</v>
      </c>
      <c r="H273" s="20">
        <v>1569</v>
      </c>
      <c r="I273" s="20">
        <v>1487</v>
      </c>
      <c r="J273" s="20"/>
      <c r="K273" s="20"/>
      <c r="L273" s="23" t="s">
        <v>442</v>
      </c>
      <c r="M273" s="20"/>
      <c r="N273" s="20">
        <v>1327</v>
      </c>
      <c r="O273" s="20">
        <v>1693</v>
      </c>
      <c r="P273" s="20">
        <v>1487</v>
      </c>
      <c r="Q273" s="20"/>
      <c r="R273" s="20"/>
      <c r="S273" s="20"/>
      <c r="T273" s="20"/>
    </row>
    <row r="274" spans="1:20" s="10" customFormat="1">
      <c r="A274" s="20" t="s">
        <v>388</v>
      </c>
      <c r="B274" s="20">
        <v>1845</v>
      </c>
      <c r="C274" s="20">
        <v>1843</v>
      </c>
      <c r="D274" s="20">
        <v>1845</v>
      </c>
      <c r="E274" s="20">
        <v>1849</v>
      </c>
      <c r="F274" s="20">
        <v>1846</v>
      </c>
      <c r="G274" s="20">
        <v>1840</v>
      </c>
      <c r="H274" s="20">
        <v>1838</v>
      </c>
      <c r="I274" s="20">
        <v>1838</v>
      </c>
      <c r="J274" s="20"/>
      <c r="K274" s="20"/>
      <c r="L274" s="23" t="s">
        <v>442</v>
      </c>
      <c r="M274" s="20"/>
      <c r="N274" s="20">
        <v>1485</v>
      </c>
      <c r="O274" s="20">
        <v>1849</v>
      </c>
      <c r="P274" s="20">
        <v>1838</v>
      </c>
      <c r="Q274" s="20"/>
      <c r="R274" s="20"/>
      <c r="S274" s="20"/>
      <c r="T274" s="20"/>
    </row>
    <row r="275" spans="1:20" s="10" customFormat="1">
      <c r="A275" s="20" t="s">
        <v>389</v>
      </c>
      <c r="B275" s="20">
        <v>977</v>
      </c>
      <c r="C275" s="20">
        <v>930</v>
      </c>
      <c r="D275" s="20">
        <v>887</v>
      </c>
      <c r="E275" s="20">
        <v>845</v>
      </c>
      <c r="F275" s="20">
        <v>796</v>
      </c>
      <c r="G275" s="20">
        <v>754</v>
      </c>
      <c r="H275" s="20">
        <v>712</v>
      </c>
      <c r="I275" s="20">
        <v>677</v>
      </c>
      <c r="J275" s="20"/>
      <c r="K275" s="20"/>
      <c r="L275" s="23" t="s">
        <v>442</v>
      </c>
      <c r="M275" s="20"/>
      <c r="N275" s="20">
        <v>655</v>
      </c>
      <c r="O275" s="20">
        <v>845</v>
      </c>
      <c r="P275" s="20">
        <v>677</v>
      </c>
      <c r="Q275" s="20"/>
      <c r="R275" s="20"/>
      <c r="S275" s="20"/>
      <c r="T275" s="20"/>
    </row>
    <row r="276" spans="1:20" s="10" customFormat="1">
      <c r="A276" s="20" t="s">
        <v>390</v>
      </c>
      <c r="B276" s="20">
        <v>2107</v>
      </c>
      <c r="C276" s="20">
        <v>2110</v>
      </c>
      <c r="D276" s="20">
        <v>2110</v>
      </c>
      <c r="E276" s="20">
        <v>2111</v>
      </c>
      <c r="F276" s="20">
        <v>2111</v>
      </c>
      <c r="G276" s="20">
        <v>2058</v>
      </c>
      <c r="H276" s="20">
        <v>2056</v>
      </c>
      <c r="I276" s="20">
        <v>2056</v>
      </c>
      <c r="J276" s="20"/>
      <c r="K276" s="20"/>
      <c r="L276" s="23" t="s">
        <v>442</v>
      </c>
      <c r="M276" s="20"/>
      <c r="N276" s="20">
        <v>2009</v>
      </c>
      <c r="O276" s="20">
        <v>2111</v>
      </c>
      <c r="P276" s="20">
        <v>2056</v>
      </c>
      <c r="Q276" s="20"/>
      <c r="R276" s="20"/>
      <c r="S276" s="20"/>
      <c r="T276" s="20"/>
    </row>
    <row r="277" spans="1:20" s="10" customFormat="1">
      <c r="A277" s="20" t="s">
        <v>391</v>
      </c>
      <c r="B277" s="20">
        <v>1836</v>
      </c>
      <c r="C277" s="20">
        <v>1817</v>
      </c>
      <c r="D277" s="20">
        <v>1796</v>
      </c>
      <c r="E277" s="20">
        <v>1772</v>
      </c>
      <c r="F277" s="20">
        <v>1750</v>
      </c>
      <c r="G277" s="20">
        <v>1718</v>
      </c>
      <c r="H277" s="20">
        <v>1697</v>
      </c>
      <c r="I277" s="20">
        <v>1676</v>
      </c>
      <c r="J277" s="20"/>
      <c r="K277" s="20"/>
      <c r="L277" s="23" t="s">
        <v>442</v>
      </c>
      <c r="M277" s="20"/>
      <c r="N277" s="20">
        <v>1758</v>
      </c>
      <c r="O277" s="20">
        <v>1772</v>
      </c>
      <c r="P277" s="20">
        <v>1676</v>
      </c>
      <c r="Q277" s="20"/>
      <c r="R277" s="20"/>
      <c r="S277" s="20"/>
      <c r="T277" s="20"/>
    </row>
    <row r="278" spans="1:20" s="10" customFormat="1">
      <c r="A278" s="20" t="s">
        <v>392</v>
      </c>
      <c r="B278" s="20">
        <v>395</v>
      </c>
      <c r="C278" s="20">
        <v>395</v>
      </c>
      <c r="D278" s="20">
        <v>395</v>
      </c>
      <c r="E278" s="20">
        <v>395</v>
      </c>
      <c r="F278" s="20">
        <v>395</v>
      </c>
      <c r="G278" s="20">
        <v>388</v>
      </c>
      <c r="H278" s="20">
        <v>388</v>
      </c>
      <c r="I278" s="20">
        <v>388</v>
      </c>
      <c r="J278" s="20"/>
      <c r="K278" s="20"/>
      <c r="L278" s="23" t="s">
        <v>442</v>
      </c>
      <c r="M278" s="20"/>
      <c r="N278" s="20">
        <v>395</v>
      </c>
      <c r="O278" s="20">
        <v>395</v>
      </c>
      <c r="P278" s="20">
        <v>388</v>
      </c>
      <c r="Q278" s="20"/>
      <c r="R278" s="20"/>
      <c r="S278" s="20"/>
      <c r="T278" s="20"/>
    </row>
    <row r="279" spans="1:20" s="10" customFormat="1">
      <c r="A279" s="20" t="s">
        <v>393</v>
      </c>
      <c r="B279" s="20">
        <v>119</v>
      </c>
      <c r="C279" s="20">
        <v>112</v>
      </c>
      <c r="D279" s="20">
        <v>107</v>
      </c>
      <c r="E279" s="20">
        <v>101</v>
      </c>
      <c r="F279" s="20">
        <v>94</v>
      </c>
      <c r="G279" s="20">
        <v>88</v>
      </c>
      <c r="H279" s="20">
        <v>82</v>
      </c>
      <c r="I279" s="20">
        <v>76</v>
      </c>
      <c r="J279" s="20"/>
      <c r="K279" s="20"/>
      <c r="L279" s="23" t="s">
        <v>442</v>
      </c>
      <c r="M279" s="20"/>
      <c r="N279" s="20">
        <v>124</v>
      </c>
      <c r="O279" s="20">
        <v>101</v>
      </c>
      <c r="P279" s="20">
        <v>76</v>
      </c>
      <c r="Q279" s="20"/>
      <c r="R279" s="20"/>
      <c r="S279" s="20"/>
      <c r="T279" s="20"/>
    </row>
    <row r="280" spans="1:20">
      <c r="L280" s="3" t="s">
        <v>442</v>
      </c>
    </row>
    <row r="281" spans="1:20">
      <c r="L281" s="3" t="s">
        <v>442</v>
      </c>
    </row>
    <row r="282" spans="1:20">
      <c r="L282" s="3" t="s">
        <v>442</v>
      </c>
    </row>
    <row r="283" spans="1:20">
      <c r="L283" s="3" t="s">
        <v>442</v>
      </c>
    </row>
    <row r="284" spans="1:20">
      <c r="L284" s="3" t="s">
        <v>442</v>
      </c>
    </row>
    <row r="285" spans="1:20">
      <c r="L285" s="3" t="s">
        <v>442</v>
      </c>
    </row>
    <row r="286" spans="1:20">
      <c r="L286" s="3" t="s">
        <v>442</v>
      </c>
    </row>
    <row r="287" spans="1:20">
      <c r="L287" s="3" t="s">
        <v>442</v>
      </c>
    </row>
    <row r="288" spans="1:20">
      <c r="L288" s="3" t="s">
        <v>442</v>
      </c>
    </row>
    <row r="289" spans="12:12">
      <c r="L289" s="3" t="s">
        <v>442</v>
      </c>
    </row>
    <row r="290" spans="12:12">
      <c r="L290" s="3" t="s">
        <v>442</v>
      </c>
    </row>
    <row r="291" spans="12:12">
      <c r="L291" s="3" t="s">
        <v>442</v>
      </c>
    </row>
    <row r="292" spans="12:12">
      <c r="L292" s="3" t="s">
        <v>442</v>
      </c>
    </row>
    <row r="293" spans="12:12">
      <c r="L293" s="3" t="s">
        <v>442</v>
      </c>
    </row>
    <row r="294" spans="12:12">
      <c r="L294" s="3" t="s">
        <v>442</v>
      </c>
    </row>
    <row r="295" spans="12:12">
      <c r="L295" s="3" t="s">
        <v>442</v>
      </c>
    </row>
    <row r="296" spans="12:12">
      <c r="L296" s="3" t="s">
        <v>442</v>
      </c>
    </row>
    <row r="297" spans="12:12">
      <c r="L297" s="3" t="s">
        <v>442</v>
      </c>
    </row>
    <row r="298" spans="12:12">
      <c r="L298" s="3" t="s">
        <v>442</v>
      </c>
    </row>
    <row r="299" spans="12:12">
      <c r="L299" s="3" t="s">
        <v>442</v>
      </c>
    </row>
    <row r="300" spans="12:12">
      <c r="L300" s="3" t="s">
        <v>442</v>
      </c>
    </row>
    <row r="301" spans="12:12">
      <c r="L301" s="3" t="s">
        <v>442</v>
      </c>
    </row>
    <row r="302" spans="12:12">
      <c r="L302" s="3" t="s">
        <v>442</v>
      </c>
    </row>
    <row r="303" spans="12:12">
      <c r="L303" s="3" t="s">
        <v>442</v>
      </c>
    </row>
    <row r="304" spans="12:12">
      <c r="L304" s="3" t="s">
        <v>442</v>
      </c>
    </row>
    <row r="305" spans="12:12">
      <c r="L305" s="3" t="s">
        <v>442</v>
      </c>
    </row>
    <row r="306" spans="12:12">
      <c r="L306" s="3" t="s">
        <v>442</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576</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518</v>
      </c>
      <c r="D3" t="s">
        <v>517</v>
      </c>
    </row>
    <row r="5" spans="1:4">
      <c r="B5" t="s">
        <v>423</v>
      </c>
      <c r="C5" t="s">
        <v>394</v>
      </c>
      <c r="D5" t="s">
        <v>582</v>
      </c>
    </row>
    <row r="7" spans="1:4">
      <c r="C7" t="s">
        <v>422</v>
      </c>
      <c r="D7" t="s">
        <v>574</v>
      </c>
    </row>
    <row r="9" spans="1:4">
      <c r="B9" t="s">
        <v>423</v>
      </c>
      <c r="C9" t="s">
        <v>395</v>
      </c>
      <c r="D9" t="s">
        <v>581</v>
      </c>
    </row>
    <row r="11" spans="1:4">
      <c r="B11" t="s">
        <v>423</v>
      </c>
      <c r="C11" t="s">
        <v>396</v>
      </c>
      <c r="D11" t="s">
        <v>397</v>
      </c>
    </row>
    <row r="13" spans="1:4">
      <c r="C13" t="s">
        <v>196</v>
      </c>
      <c r="D13" t="s">
        <v>575</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519</v>
      </c>
      <c r="C2" s="1" t="s">
        <v>516</v>
      </c>
    </row>
    <row r="4" spans="1:12">
      <c r="B4" s="5" t="s">
        <v>520</v>
      </c>
    </row>
    <row r="5" spans="1:12">
      <c r="B5" s="1" t="s">
        <v>521</v>
      </c>
    </row>
    <row r="6" spans="1:12">
      <c r="B6" s="1" t="s">
        <v>522</v>
      </c>
    </row>
    <row r="7" spans="1:12">
      <c r="B7" s="1" t="s">
        <v>523</v>
      </c>
    </row>
    <row r="8" spans="1:12" ht="15" thickBot="1"/>
    <row r="9" spans="1:12">
      <c r="D9" s="38" t="s">
        <v>525</v>
      </c>
      <c r="E9" s="39"/>
      <c r="F9" s="39"/>
      <c r="G9" s="39"/>
      <c r="H9" s="39"/>
      <c r="I9" s="39"/>
      <c r="J9" s="39"/>
      <c r="K9" s="39"/>
      <c r="L9" s="40"/>
    </row>
    <row r="10" spans="1:12">
      <c r="D10" s="41"/>
      <c r="L10" s="42"/>
    </row>
    <row r="11" spans="1:12">
      <c r="D11" s="43" t="s">
        <v>531</v>
      </c>
      <c r="L11" s="42"/>
    </row>
    <row r="12" spans="1:12">
      <c r="D12" s="41"/>
      <c r="E12" t="s">
        <v>526</v>
      </c>
      <c r="L12" s="42"/>
    </row>
    <row r="13" spans="1:12">
      <c r="D13" s="41"/>
      <c r="E13" t="s">
        <v>527</v>
      </c>
      <c r="L13" s="42"/>
    </row>
    <row r="14" spans="1:12">
      <c r="D14" s="41"/>
      <c r="E14" t="s">
        <v>528</v>
      </c>
      <c r="L14" s="42"/>
    </row>
    <row r="15" spans="1:12">
      <c r="D15" s="41"/>
      <c r="E15" t="s">
        <v>532</v>
      </c>
      <c r="L15" s="42"/>
    </row>
    <row r="16" spans="1:12">
      <c r="D16" s="41"/>
      <c r="E16" t="s">
        <v>529</v>
      </c>
      <c r="L16" s="42"/>
    </row>
    <row r="17" spans="4:12">
      <c r="D17" s="41"/>
      <c r="E17" t="s">
        <v>530</v>
      </c>
      <c r="L17" s="42"/>
    </row>
    <row r="18" spans="4:12">
      <c r="D18" s="41"/>
      <c r="L18" s="42"/>
    </row>
    <row r="19" spans="4:12">
      <c r="D19" s="43" t="s">
        <v>533</v>
      </c>
      <c r="L19" s="42"/>
    </row>
    <row r="20" spans="4:12">
      <c r="D20" s="41"/>
      <c r="E20" t="s">
        <v>536</v>
      </c>
      <c r="L20" s="42"/>
    </row>
    <row r="21" spans="4:12">
      <c r="D21" s="41"/>
      <c r="E21" t="s">
        <v>537</v>
      </c>
      <c r="L21" s="42"/>
    </row>
    <row r="22" spans="4:12">
      <c r="D22" s="41"/>
      <c r="E22" t="s">
        <v>534</v>
      </c>
      <c r="L22" s="42"/>
    </row>
    <row r="23" spans="4:12">
      <c r="D23" s="41"/>
      <c r="E23" t="s">
        <v>535</v>
      </c>
      <c r="L23" s="42"/>
    </row>
    <row r="24" spans="4:12">
      <c r="D24" s="41"/>
      <c r="L24" s="42"/>
    </row>
    <row r="25" spans="4:12">
      <c r="D25" s="43" t="s">
        <v>538</v>
      </c>
      <c r="L25" s="42"/>
    </row>
    <row r="26" spans="4:12">
      <c r="D26" s="41"/>
      <c r="E26" t="s">
        <v>539</v>
      </c>
      <c r="L26" s="42"/>
    </row>
    <row r="27" spans="4:12">
      <c r="D27" s="41"/>
      <c r="E27" t="s">
        <v>540</v>
      </c>
      <c r="L27" s="42"/>
    </row>
    <row r="28" spans="4:12">
      <c r="D28" s="41"/>
      <c r="E28" t="s">
        <v>541</v>
      </c>
      <c r="L28" s="42"/>
    </row>
    <row r="29" spans="4:12" ht="15" thickBot="1">
      <c r="D29" s="44"/>
      <c r="E29" s="45" t="s">
        <v>542</v>
      </c>
      <c r="F29" s="45"/>
      <c r="G29" s="45"/>
      <c r="H29" s="45"/>
      <c r="I29" s="45"/>
      <c r="J29" s="45"/>
      <c r="K29" s="45"/>
      <c r="L29" s="46"/>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str">
        <f>+model!L12</f>
        <v>xxx</v>
      </c>
      <c r="M3">
        <f>+model!M12</f>
        <v>2021</v>
      </c>
      <c r="N3">
        <f>+model!N12</f>
        <v>2022</v>
      </c>
      <c r="O3">
        <f>+model!O12</f>
        <v>2023</v>
      </c>
      <c r="P3">
        <f>+model!P12</f>
        <v>2024</v>
      </c>
    </row>
    <row r="4" spans="1:16">
      <c r="A4" t="str">
        <f>model!A42</f>
        <v>Seeds sales by type</v>
      </c>
      <c r="B4" s="10">
        <f>model!B42</f>
        <v>2695</v>
      </c>
      <c r="C4" s="10">
        <f>model!C42</f>
        <v>4264</v>
      </c>
      <c r="D4" s="10">
        <f>model!D42</f>
        <v>878</v>
      </c>
      <c r="E4" s="10">
        <f>model!E42</f>
        <v>1635</v>
      </c>
      <c r="F4" s="10">
        <f>model!F42</f>
        <v>2751</v>
      </c>
      <c r="G4" s="10">
        <f>model!G42</f>
        <v>4331</v>
      </c>
      <c r="H4" s="10">
        <f>model!H42</f>
        <v>691</v>
      </c>
      <c r="I4" s="10">
        <f>model!I42</f>
        <v>1772</v>
      </c>
      <c r="J4" s="10">
        <f>model!J42</f>
        <v>0</v>
      </c>
      <c r="K4" s="10">
        <f>model!K42</f>
        <v>0</v>
      </c>
      <c r="L4" s="10" t="str">
        <f>model!L42</f>
        <v>xxx</v>
      </c>
      <c r="M4" s="10">
        <f>model!M42</f>
        <v>8402</v>
      </c>
      <c r="N4" s="10">
        <f>model!N42</f>
        <v>8979</v>
      </c>
      <c r="O4" s="10">
        <f>model!O42</f>
        <v>9472</v>
      </c>
      <c r="P4" s="10">
        <f>model!P42</f>
        <v>9545</v>
      </c>
    </row>
    <row r="5" spans="1:16">
      <c r="A5" t="str">
        <f>model!A43</f>
        <v>Corn seed sales</v>
      </c>
      <c r="B5" s="10">
        <f>model!B43</f>
        <v>1979</v>
      </c>
      <c r="C5" s="10">
        <f>model!C43</f>
        <v>2673</v>
      </c>
      <c r="D5" s="10">
        <f>model!D43</f>
        <v>487</v>
      </c>
      <c r="E5" s="10">
        <f>model!E43</f>
        <v>1308</v>
      </c>
      <c r="F5" s="10">
        <f>model!F43</f>
        <v>2087</v>
      </c>
      <c r="G5" s="10">
        <f>model!G43</f>
        <v>2683</v>
      </c>
      <c r="H5" s="10">
        <f>model!H43</f>
        <v>315</v>
      </c>
      <c r="I5" s="10">
        <f>model!I43</f>
        <v>1411</v>
      </c>
      <c r="J5" s="10">
        <f>model!J43</f>
        <v>0</v>
      </c>
      <c r="K5" s="10">
        <f>model!K43</f>
        <v>0</v>
      </c>
      <c r="L5" s="10" t="str">
        <f>model!L43</f>
        <v>xxx</v>
      </c>
      <c r="M5" s="10">
        <f>model!M43</f>
        <v>5618</v>
      </c>
      <c r="N5" s="10">
        <f>model!N43</f>
        <v>5955</v>
      </c>
      <c r="O5" s="10">
        <f>model!O43</f>
        <v>6447</v>
      </c>
      <c r="P5" s="10">
        <f>model!P43</f>
        <v>6496</v>
      </c>
    </row>
    <row r="6" spans="1:16">
      <c r="A6" t="str">
        <f>model!A44</f>
        <v>Soybean seed sales</v>
      </c>
      <c r="B6" s="10">
        <f>model!B44</f>
        <v>269</v>
      </c>
      <c r="C6" s="10">
        <f>model!C44</f>
        <v>1255</v>
      </c>
      <c r="D6" s="10">
        <f>model!D44</f>
        <v>189</v>
      </c>
      <c r="E6" s="10">
        <f>model!E44</f>
        <v>145</v>
      </c>
      <c r="F6" s="10">
        <f>model!F44</f>
        <v>292</v>
      </c>
      <c r="G6" s="10">
        <f>model!G44</f>
        <v>1317</v>
      </c>
      <c r="H6" s="10">
        <f>model!H44</f>
        <v>164</v>
      </c>
      <c r="I6" s="10">
        <f>model!I44</f>
        <v>154</v>
      </c>
      <c r="J6" s="10">
        <f>model!J44</f>
        <v>0</v>
      </c>
      <c r="K6" s="10">
        <f>model!K44</f>
        <v>0</v>
      </c>
      <c r="L6" s="10" t="str">
        <f>model!L44</f>
        <v>xxx</v>
      </c>
      <c r="M6" s="10">
        <f>model!M44</f>
        <v>1568</v>
      </c>
      <c r="N6" s="10">
        <f>model!N44</f>
        <v>1810</v>
      </c>
      <c r="O6" s="10">
        <f>model!O44</f>
        <v>1858</v>
      </c>
      <c r="P6" s="10">
        <f>model!P44</f>
        <v>1927</v>
      </c>
    </row>
    <row r="7" spans="1:16">
      <c r="A7" t="str">
        <f>model!A45</f>
        <v>Other oilseeds sales</v>
      </c>
      <c r="B7" s="10">
        <f>model!B45</f>
        <v>301</v>
      </c>
      <c r="C7" s="10">
        <f>model!C45</f>
        <v>194</v>
      </c>
      <c r="D7" s="10">
        <f>model!D45</f>
        <v>142</v>
      </c>
      <c r="E7" s="10">
        <f>model!E45</f>
        <v>71</v>
      </c>
      <c r="F7" s="10">
        <f>model!F45</f>
        <v>245</v>
      </c>
      <c r="G7" s="10">
        <f>model!G45</f>
        <v>186</v>
      </c>
      <c r="H7" s="10">
        <f>model!H45</f>
        <v>135</v>
      </c>
      <c r="I7" s="10">
        <f>model!I45</f>
        <v>87</v>
      </c>
      <c r="J7" s="10">
        <f>model!J45</f>
        <v>0</v>
      </c>
      <c r="K7" s="10">
        <f>model!K45</f>
        <v>0</v>
      </c>
      <c r="L7" s="10" t="str">
        <f>model!L45</f>
        <v>xxx</v>
      </c>
      <c r="M7" s="10">
        <f>model!M45</f>
        <v>752</v>
      </c>
      <c r="N7" s="10">
        <f>model!N45</f>
        <v>714</v>
      </c>
      <c r="O7" s="10">
        <f>model!O45</f>
        <v>708</v>
      </c>
      <c r="P7" s="10">
        <f>model!P45</f>
        <v>653</v>
      </c>
    </row>
    <row r="8" spans="1:16">
      <c r="A8" t="str">
        <f>model!A46</f>
        <v>Other seed sales</v>
      </c>
      <c r="B8" s="10">
        <f>model!B46</f>
        <v>146</v>
      </c>
      <c r="C8" s="10">
        <f>model!C46</f>
        <v>142</v>
      </c>
      <c r="D8" s="10">
        <f>model!D46</f>
        <v>60</v>
      </c>
      <c r="E8" s="10">
        <f>model!E46</f>
        <v>111</v>
      </c>
      <c r="F8" s="10">
        <f>model!F46</f>
        <v>127</v>
      </c>
      <c r="G8" s="10">
        <f>model!G46</f>
        <v>145</v>
      </c>
      <c r="H8" s="10">
        <f>model!H46</f>
        <v>77</v>
      </c>
      <c r="I8" s="10">
        <f>model!I46</f>
        <v>120</v>
      </c>
      <c r="J8" s="10">
        <f>model!J46</f>
        <v>0</v>
      </c>
      <c r="K8" s="10">
        <f>model!K46</f>
        <v>0</v>
      </c>
      <c r="L8" s="10" t="str">
        <f>model!L46</f>
        <v>xxx</v>
      </c>
      <c r="M8" s="10">
        <f>model!M46</f>
        <v>464</v>
      </c>
      <c r="N8" s="10">
        <f>model!N46</f>
        <v>500</v>
      </c>
      <c r="O8" s="10">
        <f>model!O46</f>
        <v>459</v>
      </c>
      <c r="P8" s="10">
        <f>model!P46</f>
        <v>469</v>
      </c>
    </row>
    <row r="10" spans="1:16">
      <c r="A10" s="10" t="str">
        <f>+model!A60</f>
        <v>Worldwide seed sales</v>
      </c>
      <c r="B10" s="10">
        <f>+model!B60</f>
        <v>2695</v>
      </c>
      <c r="C10" s="10">
        <f>+model!C60</f>
        <v>4264</v>
      </c>
      <c r="D10" s="10">
        <f>+model!D60</f>
        <v>878</v>
      </c>
      <c r="E10" s="10">
        <f>+model!E60</f>
        <v>1635</v>
      </c>
      <c r="F10" s="10">
        <f>+model!F60</f>
        <v>2751</v>
      </c>
      <c r="G10" s="10">
        <f>+model!G60</f>
        <v>4331</v>
      </c>
      <c r="H10" s="10">
        <f>+model!H60</f>
        <v>691</v>
      </c>
      <c r="I10" s="10">
        <f>+model!I60</f>
        <v>1772</v>
      </c>
      <c r="J10" s="10">
        <f>+model!J60</f>
        <v>0</v>
      </c>
      <c r="K10" s="10">
        <f>+model!K60</f>
        <v>0</v>
      </c>
      <c r="L10" s="10" t="str">
        <f>+model!L60</f>
        <v>xxx</v>
      </c>
      <c r="M10" s="10">
        <f>+model!M60</f>
        <v>8402</v>
      </c>
      <c r="N10" s="10">
        <f>+model!N60</f>
        <v>8979</v>
      </c>
      <c r="O10" s="10">
        <f>+model!O60</f>
        <v>9472</v>
      </c>
      <c r="P10" s="10">
        <f>+model!P60</f>
        <v>9545</v>
      </c>
    </row>
    <row r="11" spans="1:16">
      <c r="A11" s="10" t="str">
        <f>+model!A61</f>
        <v>North America seed sales</v>
      </c>
      <c r="B11" s="10">
        <f>+model!B61</f>
        <v>1323</v>
      </c>
      <c r="C11" s="10">
        <f>+model!C61</f>
        <v>3696</v>
      </c>
      <c r="D11" s="10">
        <f>+model!D61</f>
        <v>173</v>
      </c>
      <c r="E11" s="10">
        <f>+model!E61</f>
        <v>576</v>
      </c>
      <c r="F11" s="10">
        <f>+model!F61</f>
        <v>1471</v>
      </c>
      <c r="G11" s="10">
        <f>+model!G61</f>
        <v>3753</v>
      </c>
      <c r="H11" s="10">
        <f>+model!H61</f>
        <v>170</v>
      </c>
      <c r="I11" s="10">
        <f>+model!I61</f>
        <v>639</v>
      </c>
      <c r="J11" s="10">
        <f>+model!J61</f>
        <v>0</v>
      </c>
      <c r="K11" s="10">
        <f>+model!K61</f>
        <v>0</v>
      </c>
      <c r="L11" s="10" t="str">
        <f>+model!L61</f>
        <v>xxx</v>
      </c>
      <c r="M11" s="10">
        <f>+model!M61</f>
        <v>5004</v>
      </c>
      <c r="N11" s="10">
        <f>+model!N61</f>
        <v>5178</v>
      </c>
      <c r="O11" s="10">
        <f>+model!O61</f>
        <v>5768</v>
      </c>
      <c r="P11" s="10">
        <f>+model!P61</f>
        <v>6033</v>
      </c>
    </row>
    <row r="12" spans="1:16">
      <c r="A12" s="10" t="str">
        <f>+model!A62</f>
        <v>EMEA seed sales</v>
      </c>
      <c r="B12" s="10">
        <f>+model!B62</f>
        <v>1012</v>
      </c>
      <c r="C12" s="10">
        <f>+model!C62</f>
        <v>231</v>
      </c>
      <c r="D12" s="10">
        <f>+model!D62</f>
        <v>198</v>
      </c>
      <c r="E12" s="10">
        <f>+model!E62</f>
        <v>181</v>
      </c>
      <c r="F12" s="10">
        <f>+model!F62</f>
        <v>918</v>
      </c>
      <c r="G12" s="10">
        <f>+model!G62</f>
        <v>251</v>
      </c>
      <c r="H12" s="10">
        <f>+model!H62</f>
        <v>196</v>
      </c>
      <c r="I12" s="10">
        <f>+model!I62</f>
        <v>216</v>
      </c>
      <c r="J12" s="10">
        <f>+model!J62</f>
        <v>0</v>
      </c>
      <c r="K12" s="10">
        <f>+model!K62</f>
        <v>0</v>
      </c>
      <c r="L12" s="10" t="str">
        <f>+model!L62</f>
        <v>xxx</v>
      </c>
      <c r="M12" s="10">
        <f>+model!M62</f>
        <v>1599</v>
      </c>
      <c r="N12" s="10">
        <f>+model!N62</f>
        <v>1609</v>
      </c>
      <c r="O12" s="10">
        <f>+model!O62</f>
        <v>1622</v>
      </c>
      <c r="P12" s="10">
        <f>+model!P62</f>
        <v>1581</v>
      </c>
    </row>
    <row r="13" spans="1:16">
      <c r="A13" s="10" t="str">
        <f>+model!A63</f>
        <v>Latin America seed sales</v>
      </c>
      <c r="B13" s="10">
        <f>+model!B63</f>
        <v>259</v>
      </c>
      <c r="C13" s="10">
        <f>+model!C63</f>
        <v>208</v>
      </c>
      <c r="D13" s="10">
        <f>+model!D63</f>
        <v>380</v>
      </c>
      <c r="E13" s="10">
        <f>+model!E63</f>
        <v>790</v>
      </c>
      <c r="F13" s="10">
        <f>+model!F63</f>
        <v>271</v>
      </c>
      <c r="G13" s="10">
        <f>+model!G63</f>
        <v>207</v>
      </c>
      <c r="H13" s="10">
        <f>+model!H63</f>
        <v>218</v>
      </c>
      <c r="I13" s="10">
        <f>+model!I63</f>
        <v>827</v>
      </c>
      <c r="J13" s="10">
        <f>+model!J63</f>
        <v>0</v>
      </c>
      <c r="K13" s="10">
        <f>+model!K63</f>
        <v>0</v>
      </c>
      <c r="L13" s="10" t="str">
        <f>+model!L63</f>
        <v>xxx</v>
      </c>
      <c r="M13" s="10">
        <f>+model!M63</f>
        <v>1420</v>
      </c>
      <c r="N13" s="10">
        <f>+model!N63</f>
        <v>1758</v>
      </c>
      <c r="O13" s="10">
        <f>+model!O63</f>
        <v>1637</v>
      </c>
      <c r="P13" s="10">
        <f>+model!P63</f>
        <v>1523</v>
      </c>
    </row>
    <row r="14" spans="1:16">
      <c r="A14" s="10" t="str">
        <f>+model!A64</f>
        <v>Asia Pacific seed sales</v>
      </c>
      <c r="B14" s="10">
        <f>+model!B64</f>
        <v>101</v>
      </c>
      <c r="C14" s="10">
        <f>+model!C64</f>
        <v>129</v>
      </c>
      <c r="D14" s="10">
        <f>+model!D64</f>
        <v>127</v>
      </c>
      <c r="E14" s="10">
        <f>+model!E64</f>
        <v>88</v>
      </c>
      <c r="F14" s="10">
        <f>+model!F64</f>
        <v>91</v>
      </c>
      <c r="G14" s="10">
        <f>+model!G64</f>
        <v>120</v>
      </c>
      <c r="H14" s="10">
        <f>+model!H64</f>
        <v>107</v>
      </c>
      <c r="I14" s="10">
        <f>+model!I64</f>
        <v>90</v>
      </c>
      <c r="J14" s="10">
        <f>+model!J64</f>
        <v>0</v>
      </c>
      <c r="K14" s="10">
        <f>+model!K64</f>
        <v>0</v>
      </c>
      <c r="L14" s="10" t="str">
        <f>+model!L64</f>
        <v>xxx</v>
      </c>
      <c r="M14" s="10">
        <f>+model!M64</f>
        <v>379</v>
      </c>
      <c r="N14" s="10">
        <f>+model!N64</f>
        <v>434</v>
      </c>
      <c r="O14" s="10">
        <f>+model!O64</f>
        <v>445</v>
      </c>
      <c r="P14" s="10">
        <f>+model!P64</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546</v>
      </c>
      <c r="D2" s="5" t="s">
        <v>545</v>
      </c>
      <c r="E2" s="5" t="s">
        <v>500</v>
      </c>
      <c r="F2" s="5" t="s">
        <v>190</v>
      </c>
    </row>
    <row r="3" spans="1:6">
      <c r="C3" t="s">
        <v>31</v>
      </c>
      <c r="D3" s="34" t="s">
        <v>31</v>
      </c>
      <c r="E3" t="s">
        <v>496</v>
      </c>
      <c r="F3" s="33" t="s">
        <v>497</v>
      </c>
    </row>
    <row r="4" spans="1:6">
      <c r="C4" t="s">
        <v>32</v>
      </c>
      <c r="D4" s="34" t="s">
        <v>32</v>
      </c>
      <c r="E4" s="35" t="s">
        <v>504</v>
      </c>
      <c r="F4" t="s">
        <v>507</v>
      </c>
    </row>
    <row r="5" spans="1:6">
      <c r="C5" t="s">
        <v>33</v>
      </c>
      <c r="D5" s="34" t="s">
        <v>33</v>
      </c>
      <c r="E5" s="33" t="s">
        <v>497</v>
      </c>
      <c r="F5" s="33" t="s">
        <v>497</v>
      </c>
    </row>
    <row r="6" spans="1:6">
      <c r="C6" t="s">
        <v>34</v>
      </c>
      <c r="D6" s="34" t="s">
        <v>34</v>
      </c>
      <c r="E6" s="33" t="s">
        <v>497</v>
      </c>
      <c r="F6" s="33" t="s">
        <v>497</v>
      </c>
    </row>
    <row r="7" spans="1:6">
      <c r="C7" t="s">
        <v>36</v>
      </c>
      <c r="D7" s="34" t="s">
        <v>35</v>
      </c>
      <c r="E7" s="33" t="s">
        <v>497</v>
      </c>
      <c r="F7" s="33" t="s">
        <v>497</v>
      </c>
    </row>
    <row r="8" spans="1:6">
      <c r="C8" t="s">
        <v>37</v>
      </c>
      <c r="D8" s="34" t="s">
        <v>36</v>
      </c>
      <c r="E8" t="s">
        <v>498</v>
      </c>
      <c r="F8" s="33" t="s">
        <v>497</v>
      </c>
    </row>
    <row r="9" spans="1:6">
      <c r="C9" t="s">
        <v>38</v>
      </c>
      <c r="D9" s="34" t="s">
        <v>37</v>
      </c>
      <c r="E9" s="33" t="s">
        <v>497</v>
      </c>
      <c r="F9" s="33" t="s">
        <v>497</v>
      </c>
    </row>
    <row r="10" spans="1:6">
      <c r="C10" t="s">
        <v>39</v>
      </c>
      <c r="D10" s="34" t="s">
        <v>38</v>
      </c>
      <c r="E10" s="34" t="s">
        <v>38</v>
      </c>
      <c r="F10" s="33" t="s">
        <v>497</v>
      </c>
    </row>
    <row r="11" spans="1:6">
      <c r="C11" t="s">
        <v>40</v>
      </c>
      <c r="D11" s="34" t="s">
        <v>39</v>
      </c>
      <c r="E11" s="33" t="s">
        <v>497</v>
      </c>
      <c r="F11" s="33" t="s">
        <v>497</v>
      </c>
    </row>
    <row r="12" spans="1:6">
      <c r="C12" t="s">
        <v>41</v>
      </c>
      <c r="D12" s="34" t="s">
        <v>40</v>
      </c>
      <c r="E12" s="33" t="s">
        <v>497</v>
      </c>
      <c r="F12" s="33" t="s">
        <v>497</v>
      </c>
    </row>
    <row r="13" spans="1:6">
      <c r="C13" t="s">
        <v>42</v>
      </c>
      <c r="D13" s="34" t="s">
        <v>41</v>
      </c>
      <c r="E13" t="s">
        <v>501</v>
      </c>
      <c r="F13" s="33" t="s">
        <v>497</v>
      </c>
    </row>
    <row r="14" spans="1:6">
      <c r="C14" t="s">
        <v>43</v>
      </c>
      <c r="D14" s="34" t="s">
        <v>42</v>
      </c>
      <c r="E14" s="33" t="s">
        <v>497</v>
      </c>
      <c r="F14" s="33" t="s">
        <v>497</v>
      </c>
    </row>
    <row r="15" spans="1:6">
      <c r="C15" t="s">
        <v>44</v>
      </c>
      <c r="D15" s="34" t="s">
        <v>43</v>
      </c>
      <c r="E15" s="33" t="s">
        <v>497</v>
      </c>
      <c r="F15" s="33" t="s">
        <v>497</v>
      </c>
    </row>
    <row r="16" spans="1:6">
      <c r="C16" t="s">
        <v>45</v>
      </c>
      <c r="D16" s="34" t="s">
        <v>44</v>
      </c>
      <c r="E16" t="s">
        <v>499</v>
      </c>
      <c r="F16" s="33" t="s">
        <v>497</v>
      </c>
    </row>
    <row r="17" spans="3:6">
      <c r="C17" t="s">
        <v>46</v>
      </c>
      <c r="D17" s="34" t="s">
        <v>45</v>
      </c>
      <c r="E17" t="s">
        <v>503</v>
      </c>
      <c r="F17" s="33" t="s">
        <v>497</v>
      </c>
    </row>
    <row r="18" spans="3:6">
      <c r="C18" t="s">
        <v>47</v>
      </c>
      <c r="D18" s="34" t="s">
        <v>46</v>
      </c>
      <c r="E18" t="s">
        <v>502</v>
      </c>
      <c r="F18" s="33" t="s">
        <v>497</v>
      </c>
    </row>
    <row r="19" spans="3:6">
      <c r="C19" t="s">
        <v>48</v>
      </c>
      <c r="D19" s="34" t="s">
        <v>47</v>
      </c>
      <c r="E19" s="33" t="s">
        <v>497</v>
      </c>
      <c r="F19" s="33" t="s">
        <v>497</v>
      </c>
    </row>
    <row r="20" spans="3:6">
      <c r="C20" t="s">
        <v>49</v>
      </c>
      <c r="D20" s="34" t="s">
        <v>48</v>
      </c>
      <c r="E20" s="33" t="s">
        <v>497</v>
      </c>
      <c r="F20" s="33" t="s">
        <v>497</v>
      </c>
    </row>
    <row r="21" spans="3:6">
      <c r="C21" t="s">
        <v>50</v>
      </c>
      <c r="D21" s="34" t="s">
        <v>49</v>
      </c>
      <c r="E21" s="33" t="s">
        <v>497</v>
      </c>
      <c r="F21" s="33" t="s">
        <v>497</v>
      </c>
    </row>
    <row r="22" spans="3:6">
      <c r="C22" t="s">
        <v>51</v>
      </c>
      <c r="D22" s="34" t="s">
        <v>50</v>
      </c>
      <c r="E22" s="33" t="s">
        <v>497</v>
      </c>
      <c r="F22" s="33" t="s">
        <v>497</v>
      </c>
    </row>
    <row r="23" spans="3:6">
      <c r="C23" t="s">
        <v>52</v>
      </c>
      <c r="D23" s="34" t="s">
        <v>51</v>
      </c>
      <c r="E23" s="33" t="s">
        <v>497</v>
      </c>
      <c r="F23" s="33" t="s">
        <v>497</v>
      </c>
    </row>
    <row r="24" spans="3:6">
      <c r="C24" t="s">
        <v>53</v>
      </c>
      <c r="D24" s="34" t="s">
        <v>52</v>
      </c>
      <c r="E24" s="33" t="s">
        <v>497</v>
      </c>
      <c r="F24" s="33" t="s">
        <v>497</v>
      </c>
    </row>
    <row r="25" spans="3:6">
      <c r="C25" t="s">
        <v>54</v>
      </c>
      <c r="D25" s="34" t="s">
        <v>53</v>
      </c>
      <c r="E25" s="33" t="s">
        <v>497</v>
      </c>
      <c r="F25" s="33" t="s">
        <v>497</v>
      </c>
    </row>
    <row r="26" spans="3:6">
      <c r="C26" t="s">
        <v>55</v>
      </c>
      <c r="D26" s="34" t="s">
        <v>54</v>
      </c>
      <c r="E26" s="33" t="s">
        <v>497</v>
      </c>
      <c r="F26" s="33" t="s">
        <v>497</v>
      </c>
    </row>
    <row r="27" spans="3:6">
      <c r="C27" t="s">
        <v>56</v>
      </c>
      <c r="D27" s="34" t="s">
        <v>55</v>
      </c>
      <c r="E27" s="33" t="s">
        <v>497</v>
      </c>
      <c r="F27" s="33" t="s">
        <v>497</v>
      </c>
    </row>
    <row r="28" spans="3:6">
      <c r="C28" t="s">
        <v>57</v>
      </c>
      <c r="D28" s="34" t="s">
        <v>56</v>
      </c>
      <c r="E28" s="33" t="s">
        <v>497</v>
      </c>
      <c r="F28" s="33" t="s">
        <v>497</v>
      </c>
    </row>
    <row r="29" spans="3:6">
      <c r="C29" t="s">
        <v>58</v>
      </c>
      <c r="D29" s="34" t="s">
        <v>57</v>
      </c>
      <c r="E29" s="33" t="s">
        <v>497</v>
      </c>
      <c r="F29" s="33" t="s">
        <v>497</v>
      </c>
    </row>
    <row r="30" spans="3:6">
      <c r="C30" t="s">
        <v>59</v>
      </c>
      <c r="D30" s="34" t="s">
        <v>58</v>
      </c>
      <c r="E30" s="33" t="s">
        <v>497</v>
      </c>
      <c r="F30" s="33" t="s">
        <v>497</v>
      </c>
    </row>
    <row r="31" spans="3:6">
      <c r="C31" t="s">
        <v>60</v>
      </c>
      <c r="D31" s="34" t="s">
        <v>59</v>
      </c>
      <c r="E31" s="33" t="s">
        <v>497</v>
      </c>
      <c r="F31" s="33" t="s">
        <v>497</v>
      </c>
    </row>
    <row r="32" spans="3:6">
      <c r="C32" t="s">
        <v>61</v>
      </c>
      <c r="D32" s="34" t="s">
        <v>60</v>
      </c>
      <c r="E32" s="33" t="s">
        <v>497</v>
      </c>
      <c r="F32" s="33" t="s">
        <v>497</v>
      </c>
    </row>
    <row r="33" spans="3:6">
      <c r="C33" t="s">
        <v>62</v>
      </c>
      <c r="D33" s="34" t="s">
        <v>61</v>
      </c>
      <c r="E33" s="33" t="s">
        <v>497</v>
      </c>
      <c r="F33" s="33" t="s">
        <v>497</v>
      </c>
    </row>
    <row r="34" spans="3:6">
      <c r="C34" t="s">
        <v>63</v>
      </c>
      <c r="D34" s="34" t="s">
        <v>62</v>
      </c>
      <c r="E34" s="33" t="s">
        <v>497</v>
      </c>
      <c r="F34" s="33" t="s">
        <v>497</v>
      </c>
    </row>
    <row r="35" spans="3:6">
      <c r="C35" t="s">
        <v>64</v>
      </c>
      <c r="D35" s="34" t="s">
        <v>63</v>
      </c>
      <c r="E35" s="33" t="s">
        <v>497</v>
      </c>
      <c r="F35" s="33" t="s">
        <v>497</v>
      </c>
    </row>
    <row r="36" spans="3:6">
      <c r="C36" t="s">
        <v>65</v>
      </c>
      <c r="D36" s="34" t="s">
        <v>64</v>
      </c>
      <c r="E36" t="s">
        <v>505</v>
      </c>
      <c r="F36" s="33" t="s">
        <v>497</v>
      </c>
    </row>
    <row r="37" spans="3:6">
      <c r="C37" t="s">
        <v>66</v>
      </c>
      <c r="D37" s="34" t="s">
        <v>65</v>
      </c>
      <c r="E37" s="33" t="s">
        <v>497</v>
      </c>
      <c r="F37" s="33" t="s">
        <v>497</v>
      </c>
    </row>
    <row r="38" spans="3:6">
      <c r="C38" t="s">
        <v>67</v>
      </c>
      <c r="D38" s="34" t="s">
        <v>66</v>
      </c>
      <c r="E38" s="33" t="s">
        <v>497</v>
      </c>
      <c r="F38" s="33" t="s">
        <v>497</v>
      </c>
    </row>
    <row r="39" spans="3:6">
      <c r="C39" t="s">
        <v>68</v>
      </c>
      <c r="D39" s="34" t="s">
        <v>67</v>
      </c>
      <c r="E39" s="33" t="s">
        <v>497</v>
      </c>
      <c r="F39" s="33" t="s">
        <v>497</v>
      </c>
    </row>
    <row r="40" spans="3:6">
      <c r="C40" t="s">
        <v>69</v>
      </c>
      <c r="D40" s="34" t="s">
        <v>68</v>
      </c>
      <c r="E40" s="33" t="s">
        <v>497</v>
      </c>
      <c r="F40" s="33" t="s">
        <v>497</v>
      </c>
    </row>
    <row r="41" spans="3:6">
      <c r="C41" t="s">
        <v>70</v>
      </c>
      <c r="D41" s="34" t="s">
        <v>69</v>
      </c>
      <c r="E41" s="33" t="s">
        <v>497</v>
      </c>
      <c r="F41" s="33" t="s">
        <v>497</v>
      </c>
    </row>
    <row r="42" spans="3:6">
      <c r="C42" t="s">
        <v>71</v>
      </c>
      <c r="D42" s="34" t="s">
        <v>70</v>
      </c>
      <c r="E42" s="33" t="s">
        <v>497</v>
      </c>
      <c r="F42" s="33" t="s">
        <v>497</v>
      </c>
    </row>
    <row r="43" spans="3:6">
      <c r="C43" t="s">
        <v>72</v>
      </c>
      <c r="D43" s="34" t="s">
        <v>71</v>
      </c>
      <c r="E43" s="34" t="s">
        <v>38</v>
      </c>
      <c r="F43" s="33" t="s">
        <v>497</v>
      </c>
    </row>
    <row r="44" spans="3:6">
      <c r="C44" t="s">
        <v>73</v>
      </c>
      <c r="D44" s="34" t="s">
        <v>72</v>
      </c>
      <c r="E44" s="33" t="s">
        <v>497</v>
      </c>
      <c r="F44" s="33" t="s">
        <v>497</v>
      </c>
    </row>
    <row r="45" spans="3:6">
      <c r="C45" t="s">
        <v>74</v>
      </c>
      <c r="D45" s="34" t="s">
        <v>73</v>
      </c>
      <c r="E45" s="33" t="s">
        <v>497</v>
      </c>
      <c r="F45" s="33" t="s">
        <v>497</v>
      </c>
    </row>
    <row r="46" spans="3:6">
      <c r="C46" t="s">
        <v>75</v>
      </c>
      <c r="D46" s="34" t="s">
        <v>74</v>
      </c>
      <c r="E46" s="33" t="s">
        <v>497</v>
      </c>
      <c r="F46" s="33" t="s">
        <v>497</v>
      </c>
    </row>
    <row r="47" spans="3:6">
      <c r="C47" t="s">
        <v>76</v>
      </c>
      <c r="D47" s="34" t="s">
        <v>75</v>
      </c>
      <c r="E47" s="33" t="s">
        <v>497</v>
      </c>
      <c r="F47" s="33" t="s">
        <v>497</v>
      </c>
    </row>
    <row r="48" spans="3:6">
      <c r="D48" s="34" t="s">
        <v>76</v>
      </c>
      <c r="E48" s="34" t="s">
        <v>38</v>
      </c>
      <c r="F48" s="33" t="s">
        <v>497</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472</v>
      </c>
      <c r="D2" s="5" t="s">
        <v>488</v>
      </c>
      <c r="E2" s="5" t="s">
        <v>480</v>
      </c>
      <c r="F2" s="5" t="s">
        <v>474</v>
      </c>
      <c r="G2" s="5" t="s">
        <v>482</v>
      </c>
      <c r="J2" s="5"/>
      <c r="K2" s="5"/>
      <c r="L2" s="5"/>
      <c r="M2" s="5"/>
      <c r="N2" s="5"/>
      <c r="O2" s="5"/>
    </row>
    <row r="3" spans="1:15">
      <c r="B3" s="6" t="s">
        <v>17</v>
      </c>
      <c r="C3" t="s">
        <v>506</v>
      </c>
      <c r="E3" t="s">
        <v>476</v>
      </c>
    </row>
    <row r="4" spans="1:15">
      <c r="B4" s="6" t="s">
        <v>18</v>
      </c>
      <c r="C4" t="s">
        <v>473</v>
      </c>
      <c r="E4" t="s">
        <v>477</v>
      </c>
    </row>
    <row r="5" spans="1:15">
      <c r="B5" s="6" t="s">
        <v>19</v>
      </c>
      <c r="C5" t="s">
        <v>475</v>
      </c>
      <c r="D5" t="s">
        <v>492</v>
      </c>
      <c r="E5" t="s">
        <v>481</v>
      </c>
      <c r="F5" t="s">
        <v>483</v>
      </c>
    </row>
    <row r="6" spans="1:15">
      <c r="B6" s="6" t="s">
        <v>20</v>
      </c>
      <c r="C6" t="s">
        <v>475</v>
      </c>
      <c r="D6" t="s">
        <v>491</v>
      </c>
      <c r="E6" t="s">
        <v>478</v>
      </c>
      <c r="F6" t="s">
        <v>479</v>
      </c>
    </row>
    <row r="7" spans="1:15">
      <c r="B7" s="6" t="s">
        <v>21</v>
      </c>
      <c r="C7" t="s">
        <v>475</v>
      </c>
      <c r="D7" t="s">
        <v>489</v>
      </c>
      <c r="E7" t="s">
        <v>484</v>
      </c>
      <c r="F7" t="s">
        <v>485</v>
      </c>
    </row>
    <row r="8" spans="1:15">
      <c r="B8" s="6" t="s">
        <v>22</v>
      </c>
      <c r="C8" t="s">
        <v>475</v>
      </c>
      <c r="D8" t="s">
        <v>490</v>
      </c>
      <c r="E8" t="s">
        <v>486</v>
      </c>
      <c r="F8" t="s">
        <v>487</v>
      </c>
    </row>
    <row r="9" spans="1:15">
      <c r="B9" s="6" t="s">
        <v>23</v>
      </c>
      <c r="C9" t="s">
        <v>475</v>
      </c>
      <c r="D9" t="s">
        <v>493</v>
      </c>
      <c r="E9" t="s">
        <v>495</v>
      </c>
      <c r="F9" t="s">
        <v>494</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2025-05-06T03:09:30Z</dcterms:modified>
</cp:coreProperties>
</file>