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32906c935fa0eb4f/models/TITN/"/>
    </mc:Choice>
  </mc:AlternateContent>
  <xr:revisionPtr revIDLastSave="703" documentId="11_F25DC773A252ABDACC104889191A52245ADE58E6" xr6:coauthVersionLast="47" xr6:coauthVersionMax="47" xr10:uidLastSave="{E9521A47-189F-485D-A0D1-808FFE15CCB1}"/>
  <bookViews>
    <workbookView xWindow="19070" yWindow="5030" windowWidth="17190" windowHeight="15850" activeTab="1" xr2:uid="{00000000-000D-0000-FFFF-FFFF00000000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7" i="2" l="1"/>
  <c r="G22" i="2"/>
  <c r="G81" i="2"/>
  <c r="G80" i="2"/>
  <c r="L80" i="2" s="1"/>
  <c r="G79" i="2"/>
  <c r="G78" i="2"/>
  <c r="G77" i="2"/>
  <c r="L77" i="2" s="1"/>
  <c r="G76" i="2"/>
  <c r="G75" i="2"/>
  <c r="G74" i="2"/>
  <c r="L74" i="2" s="1"/>
  <c r="G73" i="2"/>
  <c r="L73" i="2" s="1"/>
  <c r="G72" i="2"/>
  <c r="G71" i="2"/>
  <c r="L71" i="2" s="1"/>
  <c r="G70" i="2"/>
  <c r="G69" i="2"/>
  <c r="L69" i="2" s="1"/>
  <c r="G68" i="2"/>
  <c r="G67" i="2"/>
  <c r="C77" i="2"/>
  <c r="K77" i="2" s="1"/>
  <c r="C81" i="2"/>
  <c r="C80" i="2"/>
  <c r="K80" i="2" s="1"/>
  <c r="C79" i="2"/>
  <c r="C78" i="2"/>
  <c r="L72" i="2"/>
  <c r="L70" i="2"/>
  <c r="K74" i="2"/>
  <c r="K73" i="2"/>
  <c r="K72" i="2"/>
  <c r="K71" i="2"/>
  <c r="K70" i="2"/>
  <c r="K69" i="2"/>
  <c r="C76" i="2"/>
  <c r="K76" i="2" s="1"/>
  <c r="C75" i="2"/>
  <c r="K75" i="2" s="1"/>
  <c r="C72" i="2"/>
  <c r="C71" i="2"/>
  <c r="C70" i="2"/>
  <c r="C68" i="2"/>
  <c r="K68" i="2" s="1"/>
  <c r="C67" i="2"/>
  <c r="L50" i="2"/>
  <c r="K50" i="2"/>
  <c r="L49" i="2"/>
  <c r="K49" i="2"/>
  <c r="J46" i="2"/>
  <c r="I46" i="2"/>
  <c r="H46" i="2"/>
  <c r="G46" i="2"/>
  <c r="F46" i="2"/>
  <c r="E46" i="2"/>
  <c r="D46" i="2"/>
  <c r="C46" i="2"/>
  <c r="J45" i="2"/>
  <c r="I45" i="2"/>
  <c r="H45" i="2"/>
  <c r="G45" i="2"/>
  <c r="F45" i="2"/>
  <c r="E45" i="2"/>
  <c r="D45" i="2"/>
  <c r="C45" i="2"/>
  <c r="J44" i="2"/>
  <c r="I44" i="2"/>
  <c r="H44" i="2"/>
  <c r="G44" i="2"/>
  <c r="F44" i="2"/>
  <c r="E44" i="2"/>
  <c r="D44" i="2"/>
  <c r="C44" i="2"/>
  <c r="J43" i="2"/>
  <c r="I43" i="2"/>
  <c r="I47" i="2" s="1"/>
  <c r="H43" i="2"/>
  <c r="G43" i="2"/>
  <c r="F43" i="2"/>
  <c r="E43" i="2"/>
  <c r="D43" i="2"/>
  <c r="C43" i="2"/>
  <c r="L30" i="2"/>
  <c r="L65" i="2" s="1"/>
  <c r="L84" i="2" s="1"/>
  <c r="K30" i="2"/>
  <c r="K65" i="2" s="1"/>
  <c r="K84" i="2" s="1"/>
  <c r="L114" i="2"/>
  <c r="L113" i="2"/>
  <c r="L112" i="2"/>
  <c r="L109" i="2"/>
  <c r="L108" i="2"/>
  <c r="L107" i="2"/>
  <c r="L106" i="2"/>
  <c r="L104" i="2"/>
  <c r="L103" i="2"/>
  <c r="L102" i="2"/>
  <c r="L101" i="2"/>
  <c r="L100" i="2"/>
  <c r="L99" i="2"/>
  <c r="L96" i="2"/>
  <c r="L95" i="2"/>
  <c r="L94" i="2"/>
  <c r="L93" i="2"/>
  <c r="L92" i="2"/>
  <c r="L91" i="2"/>
  <c r="L89" i="2"/>
  <c r="L88" i="2"/>
  <c r="L87" i="2"/>
  <c r="L86" i="2"/>
  <c r="L81" i="2"/>
  <c r="L79" i="2"/>
  <c r="L78" i="2"/>
  <c r="L76" i="2"/>
  <c r="L75" i="2"/>
  <c r="L68" i="2"/>
  <c r="L56" i="2"/>
  <c r="L54" i="2"/>
  <c r="L53" i="2"/>
  <c r="L52" i="2"/>
  <c r="L48" i="2"/>
  <c r="L41" i="2"/>
  <c r="L40" i="2"/>
  <c r="L39" i="2"/>
  <c r="L38" i="2"/>
  <c r="L36" i="2"/>
  <c r="L46" i="2" s="1"/>
  <c r="L35" i="2"/>
  <c r="L34" i="2"/>
  <c r="L33" i="2"/>
  <c r="L26" i="2"/>
  <c r="L25" i="2"/>
  <c r="L24" i="2"/>
  <c r="L23" i="2"/>
  <c r="L21" i="2"/>
  <c r="L20" i="2"/>
  <c r="L19" i="2"/>
  <c r="L18" i="2"/>
  <c r="L16" i="2"/>
  <c r="L15" i="2"/>
  <c r="L14" i="2"/>
  <c r="L13" i="2"/>
  <c r="L11" i="2"/>
  <c r="L10" i="2"/>
  <c r="L9" i="2"/>
  <c r="L8" i="2"/>
  <c r="L6" i="2"/>
  <c r="L5" i="2"/>
  <c r="L4" i="2"/>
  <c r="L3" i="2"/>
  <c r="K114" i="2"/>
  <c r="K113" i="2"/>
  <c r="K112" i="2"/>
  <c r="K109" i="2"/>
  <c r="K108" i="2"/>
  <c r="K107" i="2"/>
  <c r="K106" i="2"/>
  <c r="K104" i="2"/>
  <c r="K103" i="2"/>
  <c r="K102" i="2"/>
  <c r="K101" i="2"/>
  <c r="K100" i="2"/>
  <c r="K99" i="2"/>
  <c r="K96" i="2"/>
  <c r="K95" i="2"/>
  <c r="K94" i="2"/>
  <c r="K93" i="2"/>
  <c r="K92" i="2"/>
  <c r="K91" i="2"/>
  <c r="K89" i="2"/>
  <c r="K88" i="2"/>
  <c r="K87" i="2"/>
  <c r="K86" i="2"/>
  <c r="K81" i="2"/>
  <c r="K79" i="2"/>
  <c r="K78" i="2"/>
  <c r="K56" i="2"/>
  <c r="K54" i="2"/>
  <c r="K53" i="2"/>
  <c r="K52" i="2"/>
  <c r="K48" i="2"/>
  <c r="K41" i="2"/>
  <c r="K40" i="2"/>
  <c r="K39" i="2"/>
  <c r="K38" i="2"/>
  <c r="K36" i="2"/>
  <c r="K46" i="2" s="1"/>
  <c r="K35" i="2"/>
  <c r="K45" i="2" s="1"/>
  <c r="K34" i="2"/>
  <c r="K33" i="2"/>
  <c r="K26" i="2"/>
  <c r="K25" i="2"/>
  <c r="K24" i="2"/>
  <c r="K23" i="2"/>
  <c r="K21" i="2"/>
  <c r="K20" i="2"/>
  <c r="K19" i="2"/>
  <c r="K18" i="2"/>
  <c r="K16" i="2"/>
  <c r="K15" i="2"/>
  <c r="K14" i="2"/>
  <c r="K13" i="2"/>
  <c r="K11" i="2"/>
  <c r="K10" i="2"/>
  <c r="K9" i="2"/>
  <c r="K8" i="2"/>
  <c r="K6" i="2"/>
  <c r="K5" i="2"/>
  <c r="K4" i="2"/>
  <c r="K3" i="2"/>
  <c r="I119" i="2"/>
  <c r="H119" i="2"/>
  <c r="G119" i="2"/>
  <c r="I118" i="2"/>
  <c r="H118" i="2"/>
  <c r="G118" i="2"/>
  <c r="I115" i="2"/>
  <c r="H115" i="2"/>
  <c r="G115" i="2"/>
  <c r="I110" i="2"/>
  <c r="H110" i="2"/>
  <c r="G110" i="2"/>
  <c r="I105" i="2"/>
  <c r="H105" i="2"/>
  <c r="G105" i="2"/>
  <c r="I97" i="2"/>
  <c r="H97" i="2"/>
  <c r="G97" i="2"/>
  <c r="I90" i="2"/>
  <c r="H90" i="2"/>
  <c r="G90" i="2"/>
  <c r="I82" i="2"/>
  <c r="H82" i="2"/>
  <c r="I42" i="2"/>
  <c r="H42" i="2"/>
  <c r="G42" i="2"/>
  <c r="I37" i="2"/>
  <c r="H37" i="2"/>
  <c r="G37" i="2"/>
  <c r="I30" i="2"/>
  <c r="I65" i="2" s="1"/>
  <c r="I84" i="2" s="1"/>
  <c r="H30" i="2"/>
  <c r="H65" i="2" s="1"/>
  <c r="H84" i="2" s="1"/>
  <c r="G30" i="2"/>
  <c r="G65" i="2" s="1"/>
  <c r="I27" i="2"/>
  <c r="H27" i="2"/>
  <c r="I22" i="2"/>
  <c r="H22" i="2"/>
  <c r="I17" i="2"/>
  <c r="H17" i="2"/>
  <c r="G17" i="2"/>
  <c r="I12" i="2"/>
  <c r="H12" i="2"/>
  <c r="G12" i="2"/>
  <c r="I7" i="2"/>
  <c r="H7" i="2"/>
  <c r="G7" i="2"/>
  <c r="F119" i="2"/>
  <c r="L119" i="2" s="1"/>
  <c r="E119" i="2"/>
  <c r="D119" i="2"/>
  <c r="C119" i="2"/>
  <c r="B119" i="2"/>
  <c r="K119" i="2" s="1"/>
  <c r="F118" i="2"/>
  <c r="E118" i="2"/>
  <c r="D118" i="2"/>
  <c r="C118" i="2"/>
  <c r="B118" i="2"/>
  <c r="F115" i="2"/>
  <c r="E115" i="2"/>
  <c r="D115" i="2"/>
  <c r="C115" i="2"/>
  <c r="B115" i="2"/>
  <c r="F110" i="2"/>
  <c r="E110" i="2"/>
  <c r="D110" i="2"/>
  <c r="C110" i="2"/>
  <c r="B110" i="2"/>
  <c r="E105" i="2"/>
  <c r="D105" i="2"/>
  <c r="C105" i="2"/>
  <c r="B105" i="2"/>
  <c r="F105" i="2"/>
  <c r="F97" i="2"/>
  <c r="E97" i="2"/>
  <c r="D97" i="2"/>
  <c r="C97" i="2"/>
  <c r="B97" i="2"/>
  <c r="F90" i="2"/>
  <c r="E90" i="2"/>
  <c r="D90" i="2"/>
  <c r="C90" i="2"/>
  <c r="F82" i="2"/>
  <c r="E82" i="2"/>
  <c r="D82" i="2"/>
  <c r="F42" i="2"/>
  <c r="E42" i="2"/>
  <c r="D42" i="2"/>
  <c r="C42" i="2"/>
  <c r="F37" i="2"/>
  <c r="E37" i="2"/>
  <c r="D37" i="2"/>
  <c r="C37" i="2"/>
  <c r="F27" i="2"/>
  <c r="E27" i="2"/>
  <c r="D27" i="2"/>
  <c r="C27" i="2"/>
  <c r="F22" i="2"/>
  <c r="E22" i="2"/>
  <c r="D22" i="2"/>
  <c r="C22" i="2"/>
  <c r="F17" i="2"/>
  <c r="E17" i="2"/>
  <c r="D17" i="2"/>
  <c r="C17" i="2"/>
  <c r="F12" i="2"/>
  <c r="E12" i="2"/>
  <c r="D12" i="2"/>
  <c r="C12" i="2"/>
  <c r="F7" i="2"/>
  <c r="E7" i="2"/>
  <c r="D7" i="2"/>
  <c r="C7" i="2"/>
  <c r="E30" i="2"/>
  <c r="E65" i="2" s="1"/>
  <c r="E84" i="2" s="1"/>
  <c r="D30" i="2"/>
  <c r="D65" i="2" s="1"/>
  <c r="D84" i="2" s="1"/>
  <c r="C30" i="2"/>
  <c r="C65" i="2" s="1"/>
  <c r="C84" i="2" s="1"/>
  <c r="B90" i="2"/>
  <c r="B98" i="2" s="1"/>
  <c r="B82" i="2"/>
  <c r="B27" i="2"/>
  <c r="B22" i="2"/>
  <c r="B17" i="2"/>
  <c r="B12" i="2"/>
  <c r="B7" i="2"/>
  <c r="F30" i="2"/>
  <c r="F65" i="2" s="1"/>
  <c r="F84" i="2" s="1"/>
  <c r="B30" i="2"/>
  <c r="B65" i="2" s="1"/>
  <c r="B84" i="2" s="1"/>
  <c r="B46" i="2"/>
  <c r="B45" i="2"/>
  <c r="B44" i="2"/>
  <c r="B43" i="2"/>
  <c r="B37" i="2"/>
  <c r="B42" i="2"/>
  <c r="G82" i="2" l="1"/>
  <c r="L82" i="2" s="1"/>
  <c r="L67" i="2"/>
  <c r="L44" i="2"/>
  <c r="L43" i="2"/>
  <c r="K43" i="2"/>
  <c r="L45" i="2"/>
  <c r="C47" i="2"/>
  <c r="C51" i="2" s="1"/>
  <c r="K44" i="2"/>
  <c r="E47" i="2"/>
  <c r="L118" i="2"/>
  <c r="G84" i="2"/>
  <c r="K27" i="2"/>
  <c r="K12" i="2"/>
  <c r="H47" i="2"/>
  <c r="H51" i="2" s="1"/>
  <c r="H55" i="2" s="1"/>
  <c r="H57" i="2" s="1"/>
  <c r="D47" i="2"/>
  <c r="C82" i="2"/>
  <c r="K82" i="2" s="1"/>
  <c r="K67" i="2"/>
  <c r="E51" i="2"/>
  <c r="E55" i="2" s="1"/>
  <c r="E57" i="2" s="1"/>
  <c r="I51" i="2"/>
  <c r="I55" i="2" s="1"/>
  <c r="I57" i="2" s="1"/>
  <c r="D51" i="2"/>
  <c r="D55" i="2" s="1"/>
  <c r="D57" i="2" s="1"/>
  <c r="C55" i="2"/>
  <c r="C57" i="2" s="1"/>
  <c r="C59" i="2" s="1"/>
  <c r="K42" i="2"/>
  <c r="I98" i="2"/>
  <c r="L90" i="2"/>
  <c r="I28" i="2"/>
  <c r="K22" i="2"/>
  <c r="K110" i="2"/>
  <c r="G28" i="2"/>
  <c r="K37" i="2"/>
  <c r="L17" i="2"/>
  <c r="D111" i="2"/>
  <c r="D116" i="2" s="1"/>
  <c r="L7" i="2"/>
  <c r="L27" i="2"/>
  <c r="C98" i="2"/>
  <c r="L97" i="2"/>
  <c r="L115" i="2"/>
  <c r="L105" i="2"/>
  <c r="D98" i="2"/>
  <c r="E111" i="2"/>
  <c r="K118" i="2"/>
  <c r="E116" i="2"/>
  <c r="K105" i="2"/>
  <c r="H28" i="2"/>
  <c r="H98" i="2"/>
  <c r="C111" i="2"/>
  <c r="B111" i="2"/>
  <c r="B116" i="2" s="1"/>
  <c r="K7" i="2"/>
  <c r="K17" i="2"/>
  <c r="L12" i="2"/>
  <c r="L22" i="2"/>
  <c r="K97" i="2"/>
  <c r="K115" i="2"/>
  <c r="L42" i="2"/>
  <c r="F111" i="2"/>
  <c r="H111" i="2"/>
  <c r="H116" i="2" s="1"/>
  <c r="K90" i="2"/>
  <c r="I111" i="2"/>
  <c r="I116" i="2" s="1"/>
  <c r="L110" i="2"/>
  <c r="L37" i="2"/>
  <c r="G47" i="2"/>
  <c r="G111" i="2"/>
  <c r="G116" i="2" s="1"/>
  <c r="G98" i="2"/>
  <c r="C28" i="2"/>
  <c r="D28" i="2"/>
  <c r="E28" i="2"/>
  <c r="F28" i="2"/>
  <c r="E98" i="2"/>
  <c r="F47" i="2"/>
  <c r="F51" i="2" s="1"/>
  <c r="F98" i="2"/>
  <c r="B28" i="2"/>
  <c r="B47" i="2"/>
  <c r="B51" i="2" s="1"/>
  <c r="K98" i="2" l="1"/>
  <c r="D60" i="2"/>
  <c r="D59" i="2"/>
  <c r="H60" i="2"/>
  <c r="H59" i="2"/>
  <c r="I60" i="2"/>
  <c r="I59" i="2"/>
  <c r="E59" i="2"/>
  <c r="E60" i="2"/>
  <c r="C60" i="2"/>
  <c r="G51" i="2"/>
  <c r="G55" i="2" s="1"/>
  <c r="G57" i="2" s="1"/>
  <c r="K111" i="2"/>
  <c r="K28" i="2"/>
  <c r="L98" i="2"/>
  <c r="L28" i="2"/>
  <c r="C116" i="2"/>
  <c r="K116" i="2" s="1"/>
  <c r="K47" i="2"/>
  <c r="K51" i="2" s="1"/>
  <c r="F116" i="2"/>
  <c r="L116" i="2" s="1"/>
  <c r="L111" i="2"/>
  <c r="L47" i="2"/>
  <c r="L51" i="2" s="1"/>
  <c r="G59" i="2" l="1"/>
  <c r="G60" i="2"/>
  <c r="B55" i="2"/>
  <c r="F55" i="2"/>
  <c r="B57" i="2" l="1"/>
  <c r="K55" i="2"/>
  <c r="F57" i="2"/>
  <c r="L55" i="2"/>
  <c r="K57" i="2" l="1"/>
  <c r="B59" i="2"/>
  <c r="K59" i="2" s="1"/>
  <c r="B60" i="2"/>
  <c r="K60" i="2" s="1"/>
  <c r="F59" i="2"/>
  <c r="L59" i="2" s="1"/>
  <c r="L57" i="2"/>
  <c r="F60" i="2"/>
  <c r="L60" i="2" s="1"/>
</calcChain>
</file>

<file path=xl/sharedStrings.xml><?xml version="1.0" encoding="utf-8"?>
<sst xmlns="http://schemas.openxmlformats.org/spreadsheetml/2006/main" count="119" uniqueCount="115">
  <si>
    <t>Headquarters: West Fargo, ND</t>
  </si>
  <si>
    <t># of Dealerships: 151 (2024)</t>
  </si>
  <si>
    <t>One of the largest dealers of agricultural and construction equipment, largest dealer for CNH in the world.</t>
  </si>
  <si>
    <t>Revenue</t>
  </si>
  <si>
    <t>Equipment</t>
  </si>
  <si>
    <t>Parts</t>
  </si>
  <si>
    <t>Service</t>
  </si>
  <si>
    <t>Rental and other</t>
  </si>
  <si>
    <t>Total Rev</t>
  </si>
  <si>
    <t>Q123</t>
  </si>
  <si>
    <t>Q124</t>
  </si>
  <si>
    <t>Equip COGS</t>
  </si>
  <si>
    <t>Parts COGS</t>
  </si>
  <si>
    <t>Service COGS</t>
  </si>
  <si>
    <t>Rental COGS</t>
  </si>
  <si>
    <t>Total COGS</t>
  </si>
  <si>
    <t>Equip GM</t>
  </si>
  <si>
    <t>Parts GM</t>
  </si>
  <si>
    <t>Service GM</t>
  </si>
  <si>
    <t>Rental GM</t>
  </si>
  <si>
    <t>Total GM</t>
  </si>
  <si>
    <t>OpEx</t>
  </si>
  <si>
    <t>OpInc</t>
  </si>
  <si>
    <t>Int and other income</t>
  </si>
  <si>
    <t>Other int exp</t>
  </si>
  <si>
    <t>Floorplan int exp</t>
  </si>
  <si>
    <t>PreTax Inc</t>
  </si>
  <si>
    <t>Ag Equip Rev</t>
  </si>
  <si>
    <t>Const Equip Rev</t>
  </si>
  <si>
    <t>Ag Service Rev</t>
  </si>
  <si>
    <t>Europe Equip Rev</t>
  </si>
  <si>
    <t>Austrailia Equip Rev</t>
  </si>
  <si>
    <t>Total Equip</t>
  </si>
  <si>
    <t>Europe Service Rev</t>
  </si>
  <si>
    <t>Austrailia Service Rev</t>
  </si>
  <si>
    <t>Total Service</t>
  </si>
  <si>
    <t>Ag Parts Rev</t>
  </si>
  <si>
    <t>Const Parts Rev</t>
  </si>
  <si>
    <t>Europe Parts Rev</t>
  </si>
  <si>
    <t>Australia Parts Rev</t>
  </si>
  <si>
    <t>Total Parts</t>
  </si>
  <si>
    <t>Ag Other Rev</t>
  </si>
  <si>
    <t>Const Other Rev</t>
  </si>
  <si>
    <t>Const Service Rev</t>
  </si>
  <si>
    <t>Total Other</t>
  </si>
  <si>
    <t>Europe Other Rev</t>
  </si>
  <si>
    <t>Australia Other Rev</t>
  </si>
  <si>
    <t>Ag Rental</t>
  </si>
  <si>
    <t>Const Rental</t>
  </si>
  <si>
    <t>Europe Rental</t>
  </si>
  <si>
    <t>Australia Rental</t>
  </si>
  <si>
    <t>Total Rental</t>
  </si>
  <si>
    <t>NI</t>
  </si>
  <si>
    <t>D&amp;A</t>
  </si>
  <si>
    <t>Def IncTax</t>
  </si>
  <si>
    <t>Stock-based comp</t>
  </si>
  <si>
    <t>Non-cash int</t>
  </si>
  <si>
    <t>Other</t>
  </si>
  <si>
    <t>Delta AR</t>
  </si>
  <si>
    <t>Delta Prepays and other</t>
  </si>
  <si>
    <t>Delta Inventories</t>
  </si>
  <si>
    <t>Delta Floorplan payable</t>
  </si>
  <si>
    <t>Delta def rev</t>
  </si>
  <si>
    <t>Delta AP</t>
  </si>
  <si>
    <t>CFFO</t>
  </si>
  <si>
    <t>Prov for IncTax</t>
  </si>
  <si>
    <t>Net income</t>
  </si>
  <si>
    <t>EPS Basic</t>
  </si>
  <si>
    <t>EPS Diluted</t>
  </si>
  <si>
    <t>Basic Shares</t>
  </si>
  <si>
    <t>Diluted Shares</t>
  </si>
  <si>
    <t>Cash</t>
  </si>
  <si>
    <t>AR</t>
  </si>
  <si>
    <t>Inv</t>
  </si>
  <si>
    <t>Prepays</t>
  </si>
  <si>
    <t>Current Assets</t>
  </si>
  <si>
    <t>Q223</t>
  </si>
  <si>
    <t>Q323</t>
  </si>
  <si>
    <t>Q423</t>
  </si>
  <si>
    <t>PPE</t>
  </si>
  <si>
    <t>OpLease Assets</t>
  </si>
  <si>
    <t>Goodwill</t>
  </si>
  <si>
    <t>Intangibles</t>
  </si>
  <si>
    <t>Total Noncurrent</t>
  </si>
  <si>
    <t>Total Assets</t>
  </si>
  <si>
    <t>Balance Sheet</t>
  </si>
  <si>
    <t>Cash flow</t>
  </si>
  <si>
    <t>Inc Statement</t>
  </si>
  <si>
    <t>AP</t>
  </si>
  <si>
    <t>Floorplan</t>
  </si>
  <si>
    <t>CPLTD</t>
  </si>
  <si>
    <t>Curr OpLease</t>
  </si>
  <si>
    <t>Def Rev</t>
  </si>
  <si>
    <t>Accrued Exp</t>
  </si>
  <si>
    <t>Current Libs</t>
  </si>
  <si>
    <t>LTD</t>
  </si>
  <si>
    <t>OpLease</t>
  </si>
  <si>
    <t>Other LT Libs</t>
  </si>
  <si>
    <t>Total LT Libs</t>
  </si>
  <si>
    <t>Total Libs</t>
  </si>
  <si>
    <t>Capital</t>
  </si>
  <si>
    <t>Ret Earnings</t>
  </si>
  <si>
    <t>Other Inc</t>
  </si>
  <si>
    <t>Total Equity</t>
  </si>
  <si>
    <t>Lib+Equity</t>
  </si>
  <si>
    <t>Floorplan Margin</t>
  </si>
  <si>
    <t>Floorplan Ratio</t>
  </si>
  <si>
    <t>Q424</t>
  </si>
  <si>
    <t>Q324</t>
  </si>
  <si>
    <t>Q224</t>
  </si>
  <si>
    <t>Impairment of Goodwill</t>
  </si>
  <si>
    <t>Impairment of Intangible</t>
  </si>
  <si>
    <t>Impairment</t>
  </si>
  <si>
    <t>Sale-Leaseback finance mod</t>
  </si>
  <si>
    <t>Gain on extinguishment of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</si>
</sst>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  <xf numFmtId="3" fontId="0" fillId="0" borderId="0" xfId="0" applyNumberFormat="1"/>
    <xf numFmtId="165" fontId="1" fillId="0" borderId="0" xfId="0" applyNumberFormat="1" applyFont="1"/>
    <xf numFmtId="0" fontId="0" fillId="0" borderId="0" xfId="0" applyFont="1"/>
    <xf numFmtId="164" fontId="0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4"/>
  <sheetViews>
    <sheetView workbookViewId="0">
      <selection activeCell="B6" sqref="B6"/>
    </sheetView>
  </sheetViews>
  <sheetFormatPr defaultRowHeight="14.5" x14ac:dyDescent="0.35"/>
  <sheetData>
    <row r="2" spans="2:2" x14ac:dyDescent="0.35">
      <c r="B2" t="s">
        <v>2</v>
      </c>
    </row>
    <row r="3" spans="2:2" x14ac:dyDescent="0.35">
      <c r="B3" t="s">
        <v>0</v>
      </c>
    </row>
    <row r="4" spans="2:2" x14ac:dyDescent="0.35">
      <c r="B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C6758-3054-45BD-A746-0979BE500444}">
  <dimension ref="A1:O119"/>
  <sheetViews>
    <sheetView tabSelected="1" workbookViewId="0">
      <selection activeCell="C26" sqref="C26"/>
    </sheetView>
  </sheetViews>
  <sheetFormatPr defaultRowHeight="14.5" x14ac:dyDescent="0.35"/>
  <cols>
    <col min="1" max="1" width="27.36328125" bestFit="1" customWidth="1"/>
    <col min="2" max="3" width="8.90625" bestFit="1" customWidth="1"/>
    <col min="4" max="4" width="7.26953125" bestFit="1" customWidth="1"/>
    <col min="5" max="7" width="9.90625" bestFit="1" customWidth="1"/>
    <col min="8" max="9" width="7.26953125" bestFit="1" customWidth="1"/>
    <col min="11" max="12" width="9.90625" bestFit="1" customWidth="1"/>
  </cols>
  <sheetData>
    <row r="1" spans="1:12" s="1" customFormat="1" x14ac:dyDescent="0.35">
      <c r="B1" s="1" t="s">
        <v>9</v>
      </c>
      <c r="C1" s="1" t="s">
        <v>76</v>
      </c>
      <c r="D1" s="1" t="s">
        <v>77</v>
      </c>
      <c r="E1" s="1" t="s">
        <v>78</v>
      </c>
      <c r="F1" s="1" t="s">
        <v>10</v>
      </c>
      <c r="G1" s="1" t="s">
        <v>109</v>
      </c>
      <c r="H1" s="1" t="s">
        <v>108</v>
      </c>
      <c r="I1" s="1" t="s">
        <v>107</v>
      </c>
      <c r="K1" s="1">
        <v>2023</v>
      </c>
      <c r="L1" s="1">
        <v>2024</v>
      </c>
    </row>
    <row r="3" spans="1:12" x14ac:dyDescent="0.35">
      <c r="A3" t="s">
        <v>27</v>
      </c>
      <c r="B3" s="2">
        <v>325660</v>
      </c>
      <c r="C3" s="2">
        <v>352533</v>
      </c>
      <c r="D3" s="2"/>
      <c r="E3" s="2"/>
      <c r="F3" s="2">
        <v>338713</v>
      </c>
      <c r="G3" s="2">
        <v>312556</v>
      </c>
      <c r="H3" s="2"/>
      <c r="I3" s="2"/>
      <c r="K3" s="2">
        <f>SUM(B3:E3)</f>
        <v>678193</v>
      </c>
      <c r="L3" s="2">
        <f>SUM(F3:I3)</f>
        <v>651269</v>
      </c>
    </row>
    <row r="4" spans="1:12" x14ac:dyDescent="0.35">
      <c r="A4" t="s">
        <v>28</v>
      </c>
      <c r="B4" s="2">
        <v>45458</v>
      </c>
      <c r="C4" s="2">
        <v>53697</v>
      </c>
      <c r="D4" s="2"/>
      <c r="E4" s="2"/>
      <c r="F4" s="2">
        <v>47095</v>
      </c>
      <c r="G4" s="2">
        <v>52844</v>
      </c>
      <c r="H4" s="2"/>
      <c r="I4" s="2"/>
      <c r="K4" s="2">
        <f t="shared" ref="K4:K70" si="0">SUM(B4:E4)</f>
        <v>99155</v>
      </c>
      <c r="L4" s="2">
        <f t="shared" ref="L4:L70" si="1">SUM(F4:I4)</f>
        <v>99939</v>
      </c>
    </row>
    <row r="5" spans="1:12" x14ac:dyDescent="0.35">
      <c r="A5" t="s">
        <v>30</v>
      </c>
      <c r="B5" s="2">
        <v>58258</v>
      </c>
      <c r="C5" s="2">
        <v>73892</v>
      </c>
      <c r="D5" s="2"/>
      <c r="E5" s="2"/>
      <c r="F5" s="2">
        <v>47499</v>
      </c>
      <c r="G5" s="2">
        <v>49146</v>
      </c>
      <c r="H5" s="2"/>
      <c r="I5" s="2"/>
      <c r="K5" s="2">
        <f t="shared" si="0"/>
        <v>132150</v>
      </c>
      <c r="L5" s="2">
        <f t="shared" si="1"/>
        <v>96645</v>
      </c>
    </row>
    <row r="6" spans="1:12" x14ac:dyDescent="0.35">
      <c r="A6" t="s">
        <v>31</v>
      </c>
      <c r="B6" s="2"/>
      <c r="C6" s="2"/>
      <c r="D6" s="2"/>
      <c r="E6" s="2"/>
      <c r="F6" s="2">
        <v>34782</v>
      </c>
      <c r="G6" s="2">
        <v>50687</v>
      </c>
      <c r="H6" s="2"/>
      <c r="I6" s="2"/>
      <c r="K6" s="2">
        <f t="shared" si="0"/>
        <v>0</v>
      </c>
      <c r="L6" s="2">
        <f t="shared" si="1"/>
        <v>85469</v>
      </c>
    </row>
    <row r="7" spans="1:12" s="1" customFormat="1" x14ac:dyDescent="0.35">
      <c r="A7" s="1" t="s">
        <v>32</v>
      </c>
      <c r="B7" s="3">
        <f>SUM(B3:B6)</f>
        <v>429376</v>
      </c>
      <c r="C7" s="3">
        <f t="shared" ref="C7:I7" si="2">SUM(C3:C6)</f>
        <v>480122</v>
      </c>
      <c r="D7" s="3">
        <f t="shared" si="2"/>
        <v>0</v>
      </c>
      <c r="E7" s="3">
        <f t="shared" si="2"/>
        <v>0</v>
      </c>
      <c r="F7" s="3">
        <f t="shared" si="2"/>
        <v>468089</v>
      </c>
      <c r="G7" s="3">
        <f t="shared" si="2"/>
        <v>465233</v>
      </c>
      <c r="H7" s="3">
        <f t="shared" si="2"/>
        <v>0</v>
      </c>
      <c r="I7" s="3">
        <f t="shared" si="2"/>
        <v>0</v>
      </c>
      <c r="K7" s="3">
        <f t="shared" si="0"/>
        <v>909498</v>
      </c>
      <c r="L7" s="3">
        <f t="shared" si="1"/>
        <v>933322</v>
      </c>
    </row>
    <row r="8" spans="1:12" x14ac:dyDescent="0.35">
      <c r="A8" t="s">
        <v>36</v>
      </c>
      <c r="B8" s="2">
        <v>69547</v>
      </c>
      <c r="C8" s="2">
        <v>82246</v>
      </c>
      <c r="D8" s="2"/>
      <c r="E8" s="2"/>
      <c r="F8" s="2">
        <v>74965</v>
      </c>
      <c r="G8" s="2">
        <v>75430</v>
      </c>
      <c r="H8" s="2"/>
      <c r="I8" s="2"/>
      <c r="K8" s="2">
        <f t="shared" si="0"/>
        <v>151793</v>
      </c>
      <c r="L8" s="2">
        <f t="shared" si="1"/>
        <v>150395</v>
      </c>
    </row>
    <row r="9" spans="1:12" x14ac:dyDescent="0.35">
      <c r="A9" t="s">
        <v>37</v>
      </c>
      <c r="B9" s="2">
        <v>13664</v>
      </c>
      <c r="C9" s="2">
        <v>12537</v>
      </c>
      <c r="D9" s="2"/>
      <c r="E9" s="2"/>
      <c r="F9" s="2">
        <v>11830</v>
      </c>
      <c r="G9" s="2">
        <v>11049</v>
      </c>
      <c r="H9" s="2"/>
      <c r="I9" s="2"/>
      <c r="K9" s="2">
        <f t="shared" si="0"/>
        <v>26201</v>
      </c>
      <c r="L9" s="2">
        <f t="shared" si="1"/>
        <v>22879</v>
      </c>
    </row>
    <row r="10" spans="1:12" x14ac:dyDescent="0.35">
      <c r="A10" t="s">
        <v>38</v>
      </c>
      <c r="B10" s="2">
        <v>13395</v>
      </c>
      <c r="C10" s="2">
        <v>13727</v>
      </c>
      <c r="D10" s="2"/>
      <c r="E10" s="2"/>
      <c r="F10" s="2">
        <v>14524</v>
      </c>
      <c r="G10" s="2">
        <v>15407</v>
      </c>
      <c r="H10" s="2"/>
      <c r="I10" s="2"/>
      <c r="K10" s="2">
        <f t="shared" si="0"/>
        <v>27122</v>
      </c>
      <c r="L10" s="2">
        <f t="shared" si="1"/>
        <v>29931</v>
      </c>
    </row>
    <row r="11" spans="1:12" x14ac:dyDescent="0.35">
      <c r="A11" t="s">
        <v>39</v>
      </c>
      <c r="B11" s="2"/>
      <c r="C11" s="2"/>
      <c r="D11" s="2"/>
      <c r="E11" s="2"/>
      <c r="F11" s="2">
        <v>6907</v>
      </c>
      <c r="G11" s="2">
        <v>7919</v>
      </c>
      <c r="H11" s="2"/>
      <c r="I11" s="2"/>
      <c r="K11" s="2">
        <f t="shared" si="0"/>
        <v>0</v>
      </c>
      <c r="L11" s="2">
        <f t="shared" si="1"/>
        <v>14826</v>
      </c>
    </row>
    <row r="12" spans="1:12" s="1" customFormat="1" x14ac:dyDescent="0.35">
      <c r="A12" s="1" t="s">
        <v>40</v>
      </c>
      <c r="B12" s="3">
        <f>SUM(B8:B11)</f>
        <v>96606</v>
      </c>
      <c r="C12" s="3">
        <f t="shared" ref="C12:I12" si="3">SUM(C8:C11)</f>
        <v>108510</v>
      </c>
      <c r="D12" s="3">
        <f t="shared" si="3"/>
        <v>0</v>
      </c>
      <c r="E12" s="3">
        <f t="shared" si="3"/>
        <v>0</v>
      </c>
      <c r="F12" s="3">
        <f t="shared" si="3"/>
        <v>108226</v>
      </c>
      <c r="G12" s="3">
        <f t="shared" si="3"/>
        <v>109805</v>
      </c>
      <c r="H12" s="3">
        <f t="shared" si="3"/>
        <v>0</v>
      </c>
      <c r="I12" s="3">
        <f t="shared" si="3"/>
        <v>0</v>
      </c>
      <c r="K12" s="3">
        <f t="shared" si="0"/>
        <v>205116</v>
      </c>
      <c r="L12" s="3">
        <f t="shared" si="1"/>
        <v>218031</v>
      </c>
    </row>
    <row r="13" spans="1:12" x14ac:dyDescent="0.35">
      <c r="A13" t="s">
        <v>29</v>
      </c>
      <c r="B13" s="2">
        <v>26266</v>
      </c>
      <c r="C13" s="2">
        <v>32526</v>
      </c>
      <c r="D13" s="2"/>
      <c r="E13" s="2"/>
      <c r="F13" s="2">
        <v>32943</v>
      </c>
      <c r="G13" s="2">
        <v>34570</v>
      </c>
      <c r="H13" s="2"/>
      <c r="I13" s="2"/>
      <c r="K13" s="2">
        <f t="shared" si="0"/>
        <v>58792</v>
      </c>
      <c r="L13" s="2">
        <f t="shared" si="1"/>
        <v>67513</v>
      </c>
    </row>
    <row r="14" spans="1:12" x14ac:dyDescent="0.35">
      <c r="A14" t="s">
        <v>43</v>
      </c>
      <c r="B14" s="2">
        <v>6336</v>
      </c>
      <c r="C14" s="2">
        <v>7347</v>
      </c>
      <c r="D14" s="2"/>
      <c r="E14" s="2"/>
      <c r="F14" s="2">
        <v>6800</v>
      </c>
      <c r="G14" s="2">
        <v>7214</v>
      </c>
      <c r="H14" s="2"/>
      <c r="I14" s="2"/>
      <c r="K14" s="2">
        <f t="shared" si="0"/>
        <v>13683</v>
      </c>
      <c r="L14" s="2">
        <f t="shared" si="1"/>
        <v>14014</v>
      </c>
    </row>
    <row r="15" spans="1:12" x14ac:dyDescent="0.35">
      <c r="A15" t="s">
        <v>33</v>
      </c>
      <c r="B15" s="2">
        <v>2331</v>
      </c>
      <c r="C15" s="2">
        <v>2605</v>
      </c>
      <c r="D15" s="2"/>
      <c r="E15" s="2"/>
      <c r="F15" s="2">
        <v>2757</v>
      </c>
      <c r="G15" s="2">
        <v>3076</v>
      </c>
      <c r="H15" s="2"/>
      <c r="I15" s="2"/>
      <c r="K15" s="2">
        <f t="shared" si="0"/>
        <v>4936</v>
      </c>
      <c r="L15" s="2">
        <f t="shared" si="1"/>
        <v>5833</v>
      </c>
    </row>
    <row r="16" spans="1:12" x14ac:dyDescent="0.35">
      <c r="A16" t="s">
        <v>34</v>
      </c>
      <c r="B16" s="2"/>
      <c r="C16" s="2"/>
      <c r="D16" s="2"/>
      <c r="E16" s="2"/>
      <c r="F16" s="2">
        <v>2579</v>
      </c>
      <c r="G16" s="2">
        <v>2408</v>
      </c>
      <c r="H16" s="2"/>
      <c r="I16" s="2"/>
      <c r="K16" s="2">
        <f t="shared" si="0"/>
        <v>0</v>
      </c>
      <c r="L16" s="2">
        <f t="shared" si="1"/>
        <v>4987</v>
      </c>
    </row>
    <row r="17" spans="1:12" s="1" customFormat="1" x14ac:dyDescent="0.35">
      <c r="A17" s="1" t="s">
        <v>35</v>
      </c>
      <c r="B17" s="3">
        <f>SUM(B13:B16)</f>
        <v>34933</v>
      </c>
      <c r="C17" s="3">
        <f t="shared" ref="C17:I17" si="4">SUM(C13:C16)</f>
        <v>42478</v>
      </c>
      <c r="D17" s="3">
        <f t="shared" si="4"/>
        <v>0</v>
      </c>
      <c r="E17" s="3">
        <f t="shared" si="4"/>
        <v>0</v>
      </c>
      <c r="F17" s="3">
        <f t="shared" si="4"/>
        <v>45079</v>
      </c>
      <c r="G17" s="3">
        <f t="shared" si="4"/>
        <v>47268</v>
      </c>
      <c r="H17" s="3">
        <f t="shared" si="4"/>
        <v>0</v>
      </c>
      <c r="I17" s="3">
        <f t="shared" si="4"/>
        <v>0</v>
      </c>
      <c r="K17" s="3">
        <f t="shared" si="0"/>
        <v>77411</v>
      </c>
      <c r="L17" s="3">
        <f t="shared" si="1"/>
        <v>92347</v>
      </c>
    </row>
    <row r="18" spans="1:12" x14ac:dyDescent="0.35">
      <c r="A18" t="s">
        <v>41</v>
      </c>
      <c r="B18" s="2">
        <v>1167</v>
      </c>
      <c r="C18" s="2">
        <v>1235</v>
      </c>
      <c r="D18" s="2"/>
      <c r="E18" s="2"/>
      <c r="F18" s="2">
        <v>875</v>
      </c>
      <c r="G18" s="2">
        <v>1000</v>
      </c>
      <c r="H18" s="2"/>
      <c r="I18" s="2"/>
      <c r="K18" s="2">
        <f t="shared" si="0"/>
        <v>2402</v>
      </c>
      <c r="L18" s="2">
        <f t="shared" si="1"/>
        <v>1875</v>
      </c>
    </row>
    <row r="19" spans="1:12" x14ac:dyDescent="0.35">
      <c r="A19" t="s">
        <v>42</v>
      </c>
      <c r="B19" s="2">
        <v>360</v>
      </c>
      <c r="C19" s="2">
        <v>588</v>
      </c>
      <c r="D19" s="2"/>
      <c r="E19" s="2"/>
      <c r="F19" s="2">
        <v>316</v>
      </c>
      <c r="G19" s="2">
        <v>520</v>
      </c>
      <c r="H19" s="2"/>
      <c r="I19" s="2"/>
      <c r="K19" s="2">
        <f t="shared" si="0"/>
        <v>948</v>
      </c>
      <c r="L19" s="2">
        <f t="shared" si="1"/>
        <v>836</v>
      </c>
    </row>
    <row r="20" spans="1:12" x14ac:dyDescent="0.35">
      <c r="A20" t="s">
        <v>45</v>
      </c>
      <c r="B20" s="2">
        <v>359</v>
      </c>
      <c r="C20" s="2">
        <v>193</v>
      </c>
      <c r="D20" s="2"/>
      <c r="E20" s="2"/>
      <c r="F20" s="2">
        <v>153</v>
      </c>
      <c r="G20" s="2">
        <v>198</v>
      </c>
      <c r="H20" s="2"/>
      <c r="I20" s="2"/>
      <c r="K20" s="2">
        <f t="shared" si="0"/>
        <v>552</v>
      </c>
      <c r="L20" s="2">
        <f t="shared" si="1"/>
        <v>351</v>
      </c>
    </row>
    <row r="21" spans="1:12" x14ac:dyDescent="0.35">
      <c r="A21" t="s">
        <v>46</v>
      </c>
      <c r="B21" s="2"/>
      <c r="C21" s="2"/>
      <c r="D21" s="2"/>
      <c r="E21" s="2"/>
      <c r="F21" s="2">
        <v>151</v>
      </c>
      <c r="G21" s="2">
        <v>284</v>
      </c>
      <c r="H21" s="2"/>
      <c r="I21" s="2"/>
      <c r="K21" s="2">
        <f t="shared" si="0"/>
        <v>0</v>
      </c>
      <c r="L21" s="2">
        <f t="shared" si="1"/>
        <v>435</v>
      </c>
    </row>
    <row r="22" spans="1:12" s="1" customFormat="1" x14ac:dyDescent="0.35">
      <c r="A22" s="1" t="s">
        <v>44</v>
      </c>
      <c r="B22" s="3">
        <f>SUM(B18:B21)</f>
        <v>1886</v>
      </c>
      <c r="C22" s="3">
        <f t="shared" ref="C22:I22" si="5">SUM(C18:C21)</f>
        <v>2016</v>
      </c>
      <c r="D22" s="3">
        <f t="shared" si="5"/>
        <v>0</v>
      </c>
      <c r="E22" s="3">
        <f t="shared" si="5"/>
        <v>0</v>
      </c>
      <c r="F22" s="3">
        <f t="shared" si="5"/>
        <v>1495</v>
      </c>
      <c r="G22" s="3">
        <f t="shared" si="5"/>
        <v>2002</v>
      </c>
      <c r="H22" s="3">
        <f t="shared" si="5"/>
        <v>0</v>
      </c>
      <c r="I22" s="3">
        <f t="shared" si="5"/>
        <v>0</v>
      </c>
      <c r="K22" s="3">
        <f t="shared" si="0"/>
        <v>3902</v>
      </c>
      <c r="L22" s="3">
        <f t="shared" si="1"/>
        <v>3497</v>
      </c>
    </row>
    <row r="23" spans="1:12" x14ac:dyDescent="0.35">
      <c r="A23" t="s">
        <v>47</v>
      </c>
      <c r="B23" s="2">
        <v>555</v>
      </c>
      <c r="C23" s="2">
        <v>529</v>
      </c>
      <c r="D23" s="2"/>
      <c r="E23" s="2"/>
      <c r="F23" s="2">
        <v>191</v>
      </c>
      <c r="G23" s="2">
        <v>480</v>
      </c>
      <c r="H23" s="2"/>
      <c r="I23" s="2"/>
      <c r="K23" s="2">
        <f t="shared" si="0"/>
        <v>1084</v>
      </c>
      <c r="L23" s="2">
        <f t="shared" si="1"/>
        <v>671</v>
      </c>
    </row>
    <row r="24" spans="1:12" x14ac:dyDescent="0.35">
      <c r="A24" t="s">
        <v>48</v>
      </c>
      <c r="B24" s="2">
        <v>6178</v>
      </c>
      <c r="C24" s="2">
        <v>8694</v>
      </c>
      <c r="D24" s="2"/>
      <c r="E24" s="2"/>
      <c r="F24" s="2">
        <v>5451</v>
      </c>
      <c r="G24" s="2">
        <v>8564</v>
      </c>
      <c r="H24" s="2"/>
      <c r="I24" s="2"/>
      <c r="K24" s="2">
        <f t="shared" si="0"/>
        <v>14872</v>
      </c>
      <c r="L24" s="2">
        <f t="shared" si="1"/>
        <v>14015</v>
      </c>
    </row>
    <row r="25" spans="1:12" x14ac:dyDescent="0.35">
      <c r="A25" t="s">
        <v>49</v>
      </c>
      <c r="B25" s="2">
        <v>97</v>
      </c>
      <c r="C25" s="2">
        <v>219</v>
      </c>
      <c r="D25" s="2"/>
      <c r="E25" s="2"/>
      <c r="F25" s="2">
        <v>172</v>
      </c>
      <c r="G25" s="2">
        <v>322</v>
      </c>
      <c r="H25" s="2"/>
      <c r="I25" s="2"/>
      <c r="K25" s="2">
        <f t="shared" si="0"/>
        <v>316</v>
      </c>
      <c r="L25" s="2">
        <f t="shared" si="1"/>
        <v>494</v>
      </c>
    </row>
    <row r="26" spans="1:12" x14ac:dyDescent="0.35">
      <c r="A26" t="s">
        <v>50</v>
      </c>
      <c r="B26" s="2"/>
      <c r="C26" s="2"/>
      <c r="D26" s="2"/>
      <c r="E26" s="2"/>
      <c r="F26" s="2">
        <v>0</v>
      </c>
      <c r="H26" s="2"/>
      <c r="I26" s="2"/>
      <c r="K26" s="2">
        <f t="shared" si="0"/>
        <v>0</v>
      </c>
      <c r="L26" s="2">
        <f t="shared" si="1"/>
        <v>0</v>
      </c>
    </row>
    <row r="27" spans="1:12" x14ac:dyDescent="0.35">
      <c r="A27" s="1" t="s">
        <v>51</v>
      </c>
      <c r="B27" s="3">
        <f>SUM(B23:B26)</f>
        <v>6830</v>
      </c>
      <c r="C27" s="3">
        <f t="shared" ref="C27:F27" si="6">SUM(C23:C26)</f>
        <v>9442</v>
      </c>
      <c r="D27" s="3">
        <f t="shared" si="6"/>
        <v>0</v>
      </c>
      <c r="E27" s="3">
        <f t="shared" si="6"/>
        <v>0</v>
      </c>
      <c r="F27" s="3">
        <f t="shared" si="6"/>
        <v>5814</v>
      </c>
      <c r="G27" s="3">
        <f>SUM(G23:G26)</f>
        <v>9366</v>
      </c>
      <c r="H27" s="3">
        <f t="shared" ref="G27:I27" si="7">SUM(H23:H26)</f>
        <v>0</v>
      </c>
      <c r="I27" s="3">
        <f t="shared" si="7"/>
        <v>0</v>
      </c>
      <c r="K27" s="3">
        <f t="shared" si="0"/>
        <v>16272</v>
      </c>
      <c r="L27" s="3">
        <f t="shared" si="1"/>
        <v>15180</v>
      </c>
    </row>
    <row r="28" spans="1:12" s="1" customFormat="1" x14ac:dyDescent="0.35">
      <c r="A28" s="1" t="s">
        <v>8</v>
      </c>
      <c r="B28" s="3">
        <f>B27+B22+B17+B12+B7</f>
        <v>569631</v>
      </c>
      <c r="C28" s="3">
        <f t="shared" ref="C28:F28" si="8">C27+C22+C17+C12+C7</f>
        <v>642568</v>
      </c>
      <c r="D28" s="3">
        <f t="shared" si="8"/>
        <v>0</v>
      </c>
      <c r="E28" s="3">
        <f t="shared" si="8"/>
        <v>0</v>
      </c>
      <c r="F28" s="3">
        <f t="shared" si="8"/>
        <v>628703</v>
      </c>
      <c r="G28" s="3">
        <f t="shared" ref="G28:I28" si="9">G27+G22+G17+G12+G7</f>
        <v>633674</v>
      </c>
      <c r="H28" s="3">
        <f t="shared" si="9"/>
        <v>0</v>
      </c>
      <c r="I28" s="3">
        <f t="shared" si="9"/>
        <v>0</v>
      </c>
      <c r="K28" s="3">
        <f t="shared" si="0"/>
        <v>1212199</v>
      </c>
      <c r="L28" s="3">
        <f t="shared" si="1"/>
        <v>1262377</v>
      </c>
    </row>
    <row r="30" spans="1:12" s="1" customFormat="1" x14ac:dyDescent="0.35">
      <c r="B30" s="1" t="str">
        <f>B1</f>
        <v>Q123</v>
      </c>
      <c r="C30" s="1" t="str">
        <f t="shared" ref="C30:E30" si="10">C1</f>
        <v>Q223</v>
      </c>
      <c r="D30" s="1" t="str">
        <f t="shared" si="10"/>
        <v>Q323</v>
      </c>
      <c r="E30" s="1" t="str">
        <f t="shared" si="10"/>
        <v>Q423</v>
      </c>
      <c r="F30" s="1" t="str">
        <f>F1</f>
        <v>Q124</v>
      </c>
      <c r="G30" s="1" t="str">
        <f t="shared" ref="G30:L30" si="11">G1</f>
        <v>Q224</v>
      </c>
      <c r="H30" s="1" t="str">
        <f t="shared" si="11"/>
        <v>Q324</v>
      </c>
      <c r="I30" s="1" t="str">
        <f t="shared" si="11"/>
        <v>Q424</v>
      </c>
      <c r="K30" s="1">
        <f t="shared" si="11"/>
        <v>2023</v>
      </c>
      <c r="L30" s="1">
        <f t="shared" si="11"/>
        <v>2024</v>
      </c>
    </row>
    <row r="31" spans="1:12" x14ac:dyDescent="0.35">
      <c r="A31" s="1" t="s">
        <v>87</v>
      </c>
    </row>
    <row r="32" spans="1:12" s="1" customFormat="1" x14ac:dyDescent="0.35">
      <c r="A32" s="1" t="s">
        <v>3</v>
      </c>
    </row>
    <row r="33" spans="1:12" x14ac:dyDescent="0.35">
      <c r="A33" t="s">
        <v>4</v>
      </c>
      <c r="B33" s="2">
        <v>429376</v>
      </c>
      <c r="C33" s="2">
        <v>480122</v>
      </c>
      <c r="D33" s="2"/>
      <c r="E33" s="2"/>
      <c r="F33" s="2">
        <v>468089</v>
      </c>
      <c r="G33" s="2">
        <v>465233</v>
      </c>
      <c r="H33" s="2"/>
      <c r="I33" s="2"/>
      <c r="K33" s="2">
        <f t="shared" si="0"/>
        <v>909498</v>
      </c>
      <c r="L33" s="2">
        <f t="shared" si="1"/>
        <v>933322</v>
      </c>
    </row>
    <row r="34" spans="1:12" x14ac:dyDescent="0.35">
      <c r="A34" t="s">
        <v>5</v>
      </c>
      <c r="B34" s="2">
        <v>96606</v>
      </c>
      <c r="C34" s="2">
        <v>108510</v>
      </c>
      <c r="D34" s="2"/>
      <c r="E34" s="2"/>
      <c r="F34" s="2">
        <v>108226</v>
      </c>
      <c r="G34" s="2">
        <v>109805</v>
      </c>
      <c r="H34" s="2"/>
      <c r="I34" s="2"/>
      <c r="K34" s="2">
        <f t="shared" si="0"/>
        <v>205116</v>
      </c>
      <c r="L34" s="2">
        <f t="shared" si="1"/>
        <v>218031</v>
      </c>
    </row>
    <row r="35" spans="1:12" x14ac:dyDescent="0.35">
      <c r="A35" t="s">
        <v>6</v>
      </c>
      <c r="B35" s="2">
        <v>34933</v>
      </c>
      <c r="C35" s="2">
        <v>42478</v>
      </c>
      <c r="D35" s="2"/>
      <c r="E35" s="2"/>
      <c r="F35" s="2">
        <v>45079</v>
      </c>
      <c r="G35" s="2">
        <v>47268</v>
      </c>
      <c r="H35" s="2"/>
      <c r="I35" s="2"/>
      <c r="K35" s="2">
        <f t="shared" si="0"/>
        <v>77411</v>
      </c>
      <c r="L35" s="2">
        <f t="shared" si="1"/>
        <v>92347</v>
      </c>
    </row>
    <row r="36" spans="1:12" x14ac:dyDescent="0.35">
      <c r="A36" t="s">
        <v>7</v>
      </c>
      <c r="B36" s="2">
        <v>8716</v>
      </c>
      <c r="C36" s="2">
        <v>11458</v>
      </c>
      <c r="D36" s="2"/>
      <c r="E36" s="2"/>
      <c r="F36" s="2">
        <v>7309</v>
      </c>
      <c r="G36" s="2">
        <v>11368</v>
      </c>
      <c r="H36" s="2"/>
      <c r="I36" s="2"/>
      <c r="K36" s="2">
        <f t="shared" si="0"/>
        <v>20174</v>
      </c>
      <c r="L36" s="2">
        <f t="shared" si="1"/>
        <v>18677</v>
      </c>
    </row>
    <row r="37" spans="1:12" s="1" customFormat="1" x14ac:dyDescent="0.35">
      <c r="A37" s="1" t="s">
        <v>8</v>
      </c>
      <c r="B37" s="3">
        <f>SUM(B33:B36)</f>
        <v>569631</v>
      </c>
      <c r="C37" s="3">
        <f t="shared" ref="C37:I37" si="12">SUM(C33:C36)</f>
        <v>642568</v>
      </c>
      <c r="D37" s="3">
        <f t="shared" si="12"/>
        <v>0</v>
      </c>
      <c r="E37" s="3">
        <f t="shared" si="12"/>
        <v>0</v>
      </c>
      <c r="F37" s="3">
        <f t="shared" si="12"/>
        <v>628703</v>
      </c>
      <c r="G37" s="3">
        <f t="shared" si="12"/>
        <v>633674</v>
      </c>
      <c r="H37" s="3">
        <f t="shared" si="12"/>
        <v>0</v>
      </c>
      <c r="I37" s="3">
        <f t="shared" si="12"/>
        <v>0</v>
      </c>
      <c r="K37" s="3">
        <f t="shared" si="0"/>
        <v>1212199</v>
      </c>
      <c r="L37" s="3">
        <f t="shared" si="1"/>
        <v>1262377</v>
      </c>
    </row>
    <row r="38" spans="1:12" x14ac:dyDescent="0.35">
      <c r="A38" t="s">
        <v>11</v>
      </c>
      <c r="B38" s="2">
        <v>368262</v>
      </c>
      <c r="C38" s="2">
        <v>414800</v>
      </c>
      <c r="D38" s="2"/>
      <c r="E38" s="2"/>
      <c r="F38" s="2">
        <v>412239</v>
      </c>
      <c r="G38" s="2">
        <v>422236</v>
      </c>
      <c r="K38" s="2">
        <f t="shared" si="0"/>
        <v>783062</v>
      </c>
      <c r="L38" s="2">
        <f t="shared" si="1"/>
        <v>834475</v>
      </c>
    </row>
    <row r="39" spans="1:12" x14ac:dyDescent="0.35">
      <c r="A39" t="s">
        <v>12</v>
      </c>
      <c r="B39" s="2">
        <v>65103</v>
      </c>
      <c r="C39" s="2">
        <v>73086</v>
      </c>
      <c r="D39" s="2"/>
      <c r="E39" s="2"/>
      <c r="F39" s="2">
        <v>73151</v>
      </c>
      <c r="G39" s="2">
        <v>74239</v>
      </c>
      <c r="K39" s="2">
        <f t="shared" si="0"/>
        <v>138189</v>
      </c>
      <c r="L39" s="2">
        <f t="shared" si="1"/>
        <v>147390</v>
      </c>
    </row>
    <row r="40" spans="1:12" x14ac:dyDescent="0.35">
      <c r="A40" t="s">
        <v>13</v>
      </c>
      <c r="B40" s="2">
        <v>12409</v>
      </c>
      <c r="C40" s="2">
        <v>14208</v>
      </c>
      <c r="D40" s="2"/>
      <c r="E40" s="2"/>
      <c r="F40" s="2">
        <v>16776</v>
      </c>
      <c r="G40" s="2">
        <v>16144</v>
      </c>
      <c r="K40" s="2">
        <f t="shared" si="0"/>
        <v>26617</v>
      </c>
      <c r="L40" s="2">
        <f t="shared" si="1"/>
        <v>32920</v>
      </c>
    </row>
    <row r="41" spans="1:12" x14ac:dyDescent="0.35">
      <c r="A41" t="s">
        <v>14</v>
      </c>
      <c r="B41" s="2">
        <v>5277</v>
      </c>
      <c r="C41" s="2">
        <v>7075</v>
      </c>
      <c r="D41" s="2"/>
      <c r="E41" s="2"/>
      <c r="F41" s="2">
        <v>4782</v>
      </c>
      <c r="G41" s="2">
        <v>8676</v>
      </c>
      <c r="K41" s="2">
        <f t="shared" si="0"/>
        <v>12352</v>
      </c>
      <c r="L41" s="2">
        <f t="shared" si="1"/>
        <v>13458</v>
      </c>
    </row>
    <row r="42" spans="1:12" s="1" customFormat="1" x14ac:dyDescent="0.35">
      <c r="A42" s="1" t="s">
        <v>15</v>
      </c>
      <c r="B42" s="3">
        <f>SUM(B38:B41)</f>
        <v>451051</v>
      </c>
      <c r="C42" s="3">
        <f t="shared" ref="C42:I42" si="13">SUM(C38:C41)</f>
        <v>509169</v>
      </c>
      <c r="D42" s="3">
        <f t="shared" si="13"/>
        <v>0</v>
      </c>
      <c r="E42" s="3">
        <f t="shared" si="13"/>
        <v>0</v>
      </c>
      <c r="F42" s="3">
        <f t="shared" si="13"/>
        <v>506948</v>
      </c>
      <c r="G42" s="3">
        <f t="shared" si="13"/>
        <v>521295</v>
      </c>
      <c r="H42" s="3">
        <f t="shared" si="13"/>
        <v>0</v>
      </c>
      <c r="I42" s="3">
        <f t="shared" si="13"/>
        <v>0</v>
      </c>
      <c r="K42" s="3">
        <f t="shared" si="0"/>
        <v>960220</v>
      </c>
      <c r="L42" s="3">
        <f t="shared" si="1"/>
        <v>1028243</v>
      </c>
    </row>
    <row r="43" spans="1:12" s="1" customFormat="1" x14ac:dyDescent="0.35">
      <c r="A43" s="1" t="s">
        <v>16</v>
      </c>
      <c r="B43" s="3">
        <f>B33-B38</f>
        <v>61114</v>
      </c>
      <c r="C43" s="3">
        <f t="shared" ref="C43:L43" si="14">C33-C38</f>
        <v>65322</v>
      </c>
      <c r="D43" s="3">
        <f t="shared" si="14"/>
        <v>0</v>
      </c>
      <c r="E43" s="3">
        <f t="shared" si="14"/>
        <v>0</v>
      </c>
      <c r="F43" s="3">
        <f t="shared" si="14"/>
        <v>55850</v>
      </c>
      <c r="G43" s="3">
        <f t="shared" si="14"/>
        <v>42997</v>
      </c>
      <c r="H43" s="3">
        <f t="shared" si="14"/>
        <v>0</v>
      </c>
      <c r="I43" s="3">
        <f t="shared" si="14"/>
        <v>0</v>
      </c>
      <c r="J43" s="3">
        <f t="shared" si="14"/>
        <v>0</v>
      </c>
      <c r="K43" s="3">
        <f t="shared" si="14"/>
        <v>126436</v>
      </c>
      <c r="L43" s="3">
        <f t="shared" si="14"/>
        <v>98847</v>
      </c>
    </row>
    <row r="44" spans="1:12" s="1" customFormat="1" x14ac:dyDescent="0.35">
      <c r="A44" s="1" t="s">
        <v>17</v>
      </c>
      <c r="B44" s="3">
        <f t="shared" ref="B44:B46" si="15">B34-B39</f>
        <v>31503</v>
      </c>
      <c r="C44" s="3">
        <f t="shared" ref="C44:L44" si="16">C34-C39</f>
        <v>35424</v>
      </c>
      <c r="D44" s="3">
        <f t="shared" si="16"/>
        <v>0</v>
      </c>
      <c r="E44" s="3">
        <f t="shared" si="16"/>
        <v>0</v>
      </c>
      <c r="F44" s="3">
        <f t="shared" si="16"/>
        <v>35075</v>
      </c>
      <c r="G44" s="3">
        <f t="shared" si="16"/>
        <v>35566</v>
      </c>
      <c r="H44" s="3">
        <f t="shared" si="16"/>
        <v>0</v>
      </c>
      <c r="I44" s="3">
        <f t="shared" si="16"/>
        <v>0</v>
      </c>
      <c r="J44" s="3">
        <f t="shared" si="16"/>
        <v>0</v>
      </c>
      <c r="K44" s="3">
        <f t="shared" si="16"/>
        <v>66927</v>
      </c>
      <c r="L44" s="3">
        <f t="shared" si="16"/>
        <v>70641</v>
      </c>
    </row>
    <row r="45" spans="1:12" s="1" customFormat="1" x14ac:dyDescent="0.35">
      <c r="A45" s="1" t="s">
        <v>18</v>
      </c>
      <c r="B45" s="3">
        <f t="shared" si="15"/>
        <v>22524</v>
      </c>
      <c r="C45" s="3">
        <f t="shared" ref="C45:L45" si="17">C35-C40</f>
        <v>28270</v>
      </c>
      <c r="D45" s="3">
        <f t="shared" si="17"/>
        <v>0</v>
      </c>
      <c r="E45" s="3">
        <f t="shared" si="17"/>
        <v>0</v>
      </c>
      <c r="F45" s="3">
        <f t="shared" si="17"/>
        <v>28303</v>
      </c>
      <c r="G45" s="3">
        <f t="shared" si="17"/>
        <v>31124</v>
      </c>
      <c r="H45" s="3">
        <f t="shared" si="17"/>
        <v>0</v>
      </c>
      <c r="I45" s="3">
        <f t="shared" si="17"/>
        <v>0</v>
      </c>
      <c r="J45" s="3">
        <f t="shared" si="17"/>
        <v>0</v>
      </c>
      <c r="K45" s="3">
        <f t="shared" si="17"/>
        <v>50794</v>
      </c>
      <c r="L45" s="3">
        <f t="shared" si="17"/>
        <v>59427</v>
      </c>
    </row>
    <row r="46" spans="1:12" s="1" customFormat="1" x14ac:dyDescent="0.35">
      <c r="A46" s="1" t="s">
        <v>19</v>
      </c>
      <c r="B46" s="3">
        <f t="shared" si="15"/>
        <v>3439</v>
      </c>
      <c r="C46" s="3">
        <f t="shared" ref="C46:L46" si="18">C36-C41</f>
        <v>4383</v>
      </c>
      <c r="D46" s="3">
        <f t="shared" si="18"/>
        <v>0</v>
      </c>
      <c r="E46" s="3">
        <f t="shared" si="18"/>
        <v>0</v>
      </c>
      <c r="F46" s="3">
        <f t="shared" si="18"/>
        <v>2527</v>
      </c>
      <c r="G46" s="3">
        <f t="shared" si="18"/>
        <v>2692</v>
      </c>
      <c r="H46" s="3">
        <f t="shared" si="18"/>
        <v>0</v>
      </c>
      <c r="I46" s="3">
        <f t="shared" si="18"/>
        <v>0</v>
      </c>
      <c r="J46" s="3">
        <f t="shared" si="18"/>
        <v>0</v>
      </c>
      <c r="K46" s="3">
        <f t="shared" si="18"/>
        <v>7822</v>
      </c>
      <c r="L46" s="3">
        <f t="shared" si="18"/>
        <v>5219</v>
      </c>
    </row>
    <row r="47" spans="1:12" s="1" customFormat="1" x14ac:dyDescent="0.35">
      <c r="A47" s="1" t="s">
        <v>20</v>
      </c>
      <c r="B47" s="3">
        <f>SUM(B43:B46)</f>
        <v>118580</v>
      </c>
      <c r="C47" s="3">
        <f t="shared" ref="C47:I47" si="19">SUM(C43:C46)</f>
        <v>133399</v>
      </c>
      <c r="D47" s="3">
        <f t="shared" si="19"/>
        <v>0</v>
      </c>
      <c r="E47" s="3">
        <f t="shared" si="19"/>
        <v>0</v>
      </c>
      <c r="F47" s="3">
        <f t="shared" si="19"/>
        <v>121755</v>
      </c>
      <c r="G47" s="3">
        <f t="shared" si="19"/>
        <v>112379</v>
      </c>
      <c r="H47" s="3">
        <f t="shared" si="19"/>
        <v>0</v>
      </c>
      <c r="I47" s="3">
        <f t="shared" si="19"/>
        <v>0</v>
      </c>
      <c r="K47" s="3">
        <f t="shared" si="0"/>
        <v>251979</v>
      </c>
      <c r="L47" s="3">
        <f t="shared" si="1"/>
        <v>234134</v>
      </c>
    </row>
    <row r="48" spans="1:12" s="2" customFormat="1" x14ac:dyDescent="0.35">
      <c r="A48" t="s">
        <v>21</v>
      </c>
      <c r="B48" s="2">
        <v>81315</v>
      </c>
      <c r="C48" s="2">
        <v>88751</v>
      </c>
      <c r="F48" s="2">
        <v>99158</v>
      </c>
      <c r="G48" s="2">
        <v>95156</v>
      </c>
      <c r="K48" s="2">
        <f>SUM(B48:E48)</f>
        <v>170066</v>
      </c>
      <c r="L48" s="2">
        <f>SUM(F48:I48)</f>
        <v>194314</v>
      </c>
    </row>
    <row r="49" spans="1:15" s="6" customFormat="1" x14ac:dyDescent="0.35">
      <c r="A49" s="6" t="s">
        <v>110</v>
      </c>
      <c r="B49" s="7"/>
      <c r="C49" s="7"/>
      <c r="D49" s="7"/>
      <c r="E49" s="7"/>
      <c r="F49" s="7"/>
      <c r="G49" s="7">
        <v>531</v>
      </c>
      <c r="H49" s="7"/>
      <c r="I49" s="7"/>
      <c r="K49" s="2">
        <f t="shared" ref="K49:K50" si="20">SUM(B49:E49)</f>
        <v>0</v>
      </c>
      <c r="L49" s="2">
        <f t="shared" ref="L49:L50" si="21">SUM(F49:I49)</f>
        <v>531</v>
      </c>
    </row>
    <row r="50" spans="1:15" s="6" customFormat="1" x14ac:dyDescent="0.35">
      <c r="A50" s="6" t="s">
        <v>111</v>
      </c>
      <c r="G50" s="6">
        <v>942</v>
      </c>
      <c r="K50" s="2">
        <f t="shared" si="20"/>
        <v>0</v>
      </c>
      <c r="L50" s="2">
        <f t="shared" si="21"/>
        <v>942</v>
      </c>
    </row>
    <row r="51" spans="1:15" s="1" customFormat="1" x14ac:dyDescent="0.35">
      <c r="A51" s="1" t="s">
        <v>22</v>
      </c>
      <c r="B51" s="3">
        <f>B47-B48-B49-B50</f>
        <v>37265</v>
      </c>
      <c r="C51" s="3">
        <f t="shared" ref="C51:L51" si="22">C47-C48-C49-C50</f>
        <v>44648</v>
      </c>
      <c r="D51" s="3">
        <f t="shared" si="22"/>
        <v>0</v>
      </c>
      <c r="E51" s="3">
        <f t="shared" si="22"/>
        <v>0</v>
      </c>
      <c r="F51" s="3">
        <f t="shared" si="22"/>
        <v>22597</v>
      </c>
      <c r="G51" s="3">
        <f t="shared" si="22"/>
        <v>15750</v>
      </c>
      <c r="H51" s="3">
        <f t="shared" si="22"/>
        <v>0</v>
      </c>
      <c r="I51" s="3">
        <f t="shared" si="22"/>
        <v>0</v>
      </c>
      <c r="J51" s="3"/>
      <c r="K51" s="3">
        <f t="shared" si="22"/>
        <v>81913</v>
      </c>
      <c r="L51" s="3">
        <f t="shared" si="22"/>
        <v>38347</v>
      </c>
    </row>
    <row r="52" spans="1:15" x14ac:dyDescent="0.35">
      <c r="A52" t="s">
        <v>23</v>
      </c>
      <c r="B52" s="2">
        <v>720</v>
      </c>
      <c r="C52" s="2">
        <v>641</v>
      </c>
      <c r="D52" s="2"/>
      <c r="E52" s="2"/>
      <c r="F52" s="2">
        <v>-288</v>
      </c>
      <c r="G52" s="2">
        <v>-7048</v>
      </c>
      <c r="H52" s="2"/>
      <c r="I52" s="2"/>
      <c r="J52" s="2"/>
      <c r="K52" s="2">
        <f t="shared" si="0"/>
        <v>1361</v>
      </c>
      <c r="L52" s="2">
        <f t="shared" si="1"/>
        <v>-7336</v>
      </c>
      <c r="M52" s="2"/>
      <c r="N52" s="2"/>
      <c r="O52" s="2"/>
    </row>
    <row r="53" spans="1:15" x14ac:dyDescent="0.35">
      <c r="A53" t="s">
        <v>25</v>
      </c>
      <c r="B53" s="2">
        <v>-1272</v>
      </c>
      <c r="C53" s="2">
        <v>-2457</v>
      </c>
      <c r="D53" s="2"/>
      <c r="E53" s="2"/>
      <c r="F53" s="2">
        <v>-7064</v>
      </c>
      <c r="G53" s="2">
        <v>-9218</v>
      </c>
      <c r="H53" s="2"/>
      <c r="I53" s="2"/>
      <c r="J53" s="2"/>
      <c r="K53" s="2">
        <f t="shared" si="0"/>
        <v>-3729</v>
      </c>
      <c r="L53" s="2">
        <f t="shared" si="1"/>
        <v>-16282</v>
      </c>
      <c r="M53" s="2"/>
      <c r="N53" s="2"/>
      <c r="O53" s="2"/>
    </row>
    <row r="54" spans="1:15" x14ac:dyDescent="0.35">
      <c r="A54" t="s">
        <v>24</v>
      </c>
      <c r="B54" s="2">
        <v>-1274</v>
      </c>
      <c r="C54" s="2">
        <v>-1241</v>
      </c>
      <c r="D54" s="2"/>
      <c r="E54" s="2"/>
      <c r="F54" s="2">
        <v>-2459</v>
      </c>
      <c r="G54" s="2">
        <v>-3734</v>
      </c>
      <c r="H54" s="2"/>
      <c r="I54" s="2"/>
      <c r="J54" s="2"/>
      <c r="K54" s="2">
        <f t="shared" si="0"/>
        <v>-2515</v>
      </c>
      <c r="L54" s="2">
        <f t="shared" si="1"/>
        <v>-6193</v>
      </c>
      <c r="M54" s="2"/>
      <c r="N54" s="2"/>
      <c r="O54" s="2"/>
    </row>
    <row r="55" spans="1:15" s="1" customFormat="1" x14ac:dyDescent="0.35">
      <c r="A55" s="1" t="s">
        <v>26</v>
      </c>
      <c r="B55" s="3">
        <f>B51+SUM(B52:B54)</f>
        <v>35439</v>
      </c>
      <c r="C55" s="3">
        <f t="shared" ref="C55:I55" si="23">C51+SUM(C52:C54)</f>
        <v>41591</v>
      </c>
      <c r="D55" s="3">
        <f t="shared" si="23"/>
        <v>0</v>
      </c>
      <c r="E55" s="3">
        <f t="shared" si="23"/>
        <v>0</v>
      </c>
      <c r="F55" s="3">
        <f t="shared" si="23"/>
        <v>12786</v>
      </c>
      <c r="G55" s="3">
        <f t="shared" si="23"/>
        <v>-4250</v>
      </c>
      <c r="H55" s="3">
        <f t="shared" si="23"/>
        <v>0</v>
      </c>
      <c r="I55" s="3">
        <f t="shared" si="23"/>
        <v>0</v>
      </c>
      <c r="K55" s="3">
        <f t="shared" si="0"/>
        <v>77030</v>
      </c>
      <c r="L55" s="3">
        <f t="shared" si="1"/>
        <v>8536</v>
      </c>
    </row>
    <row r="56" spans="1:15" x14ac:dyDescent="0.35">
      <c r="A56" t="s">
        <v>65</v>
      </c>
      <c r="B56" s="2">
        <v>8474</v>
      </c>
      <c r="C56" s="2">
        <v>10270</v>
      </c>
      <c r="D56" s="2"/>
      <c r="E56" s="2"/>
      <c r="F56" s="2">
        <v>3345</v>
      </c>
      <c r="G56" s="2">
        <v>54</v>
      </c>
      <c r="K56" s="2">
        <f t="shared" si="0"/>
        <v>18744</v>
      </c>
      <c r="L56" s="2">
        <f t="shared" si="1"/>
        <v>3399</v>
      </c>
    </row>
    <row r="57" spans="1:15" s="1" customFormat="1" x14ac:dyDescent="0.35">
      <c r="A57" s="1" t="s">
        <v>66</v>
      </c>
      <c r="B57" s="3">
        <f>B55-B56</f>
        <v>26965</v>
      </c>
      <c r="C57" s="3">
        <f t="shared" ref="C57:I57" si="24">C55-C56</f>
        <v>31321</v>
      </c>
      <c r="D57" s="3">
        <f t="shared" si="24"/>
        <v>0</v>
      </c>
      <c r="E57" s="3">
        <f t="shared" si="24"/>
        <v>0</v>
      </c>
      <c r="F57" s="3">
        <f t="shared" si="24"/>
        <v>9441</v>
      </c>
      <c r="G57" s="3">
        <f t="shared" si="24"/>
        <v>-4304</v>
      </c>
      <c r="H57" s="3">
        <f t="shared" si="24"/>
        <v>0</v>
      </c>
      <c r="I57" s="3">
        <f t="shared" si="24"/>
        <v>0</v>
      </c>
      <c r="K57" s="3">
        <f t="shared" si="0"/>
        <v>58286</v>
      </c>
      <c r="L57" s="3">
        <f t="shared" si="1"/>
        <v>5137</v>
      </c>
    </row>
    <row r="58" spans="1:15" s="1" customFormat="1" x14ac:dyDescent="0.35">
      <c r="B58" s="3"/>
      <c r="C58" s="3"/>
      <c r="D58" s="3"/>
      <c r="E58" s="3"/>
      <c r="F58" s="3"/>
      <c r="K58" s="3"/>
      <c r="L58" s="3"/>
    </row>
    <row r="59" spans="1:15" s="5" customFormat="1" x14ac:dyDescent="0.35">
      <c r="A59" s="1" t="s">
        <v>67</v>
      </c>
      <c r="B59" s="5">
        <f>B57/B62</f>
        <v>1.2015952943273474</v>
      </c>
      <c r="C59" s="5">
        <f t="shared" ref="C59:F59" si="25">C57/C62</f>
        <v>1.3935308773803168</v>
      </c>
      <c r="D59" s="5" t="e">
        <f t="shared" si="25"/>
        <v>#DIV/0!</v>
      </c>
      <c r="E59" s="5" t="e">
        <f t="shared" si="25"/>
        <v>#DIV/0!</v>
      </c>
      <c r="F59" s="5">
        <f t="shared" si="25"/>
        <v>0.41881820601543784</v>
      </c>
      <c r="G59" s="5">
        <f t="shared" ref="G59:I59" si="26">G57/G62</f>
        <v>-0.19029933236061369</v>
      </c>
      <c r="H59" s="5" t="e">
        <f t="shared" si="26"/>
        <v>#DIV/0!</v>
      </c>
      <c r="I59" s="5" t="e">
        <f t="shared" si="26"/>
        <v>#DIV/0!</v>
      </c>
      <c r="K59" s="5" t="e">
        <f t="shared" si="0"/>
        <v>#DIV/0!</v>
      </c>
      <c r="L59" s="5" t="e">
        <f t="shared" si="1"/>
        <v>#DIV/0!</v>
      </c>
    </row>
    <row r="60" spans="1:15" s="5" customFormat="1" x14ac:dyDescent="0.35">
      <c r="A60" s="1" t="s">
        <v>68</v>
      </c>
      <c r="B60" s="5">
        <f>B57/B63</f>
        <v>1.201220598717035</v>
      </c>
      <c r="C60" s="5">
        <f t="shared" ref="C60:F60" si="27">C57/C63</f>
        <v>1.3930350471446362</v>
      </c>
      <c r="D60" s="5" t="e">
        <f t="shared" si="27"/>
        <v>#DIV/0!</v>
      </c>
      <c r="E60" s="5" t="e">
        <f t="shared" si="27"/>
        <v>#DIV/0!</v>
      </c>
      <c r="F60" s="5">
        <f t="shared" si="27"/>
        <v>0.41874390135722522</v>
      </c>
      <c r="G60" s="5">
        <f t="shared" ref="G60:I60" si="28">G57/G63</f>
        <v>-0.19029933236061369</v>
      </c>
      <c r="H60" s="5" t="e">
        <f t="shared" si="28"/>
        <v>#DIV/0!</v>
      </c>
      <c r="I60" s="5" t="e">
        <f t="shared" si="28"/>
        <v>#DIV/0!</v>
      </c>
      <c r="K60" s="5" t="e">
        <f t="shared" si="0"/>
        <v>#DIV/0!</v>
      </c>
      <c r="L60" s="5" t="e">
        <f t="shared" si="1"/>
        <v>#DIV/0!</v>
      </c>
    </row>
    <row r="61" spans="1:15" s="1" customFormat="1" x14ac:dyDescent="0.35">
      <c r="B61" s="3"/>
      <c r="C61" s="3"/>
      <c r="D61" s="3"/>
      <c r="E61" s="3"/>
      <c r="F61" s="3"/>
      <c r="K61" s="3"/>
      <c r="L61" s="3"/>
    </row>
    <row r="62" spans="1:15" s="4" customFormat="1" x14ac:dyDescent="0.35">
      <c r="A62" t="s">
        <v>69</v>
      </c>
      <c r="B62" s="4">
        <v>22441</v>
      </c>
      <c r="C62" s="4">
        <v>22476</v>
      </c>
      <c r="F62" s="4">
        <v>22542</v>
      </c>
      <c r="G62" s="4">
        <v>22617</v>
      </c>
    </row>
    <row r="63" spans="1:15" s="4" customFormat="1" x14ac:dyDescent="0.35">
      <c r="A63" t="s">
        <v>70</v>
      </c>
      <c r="B63" s="4">
        <v>22448</v>
      </c>
      <c r="C63" s="4">
        <v>22484</v>
      </c>
      <c r="F63" s="4">
        <v>22546</v>
      </c>
      <c r="G63" s="4">
        <v>22617</v>
      </c>
    </row>
    <row r="64" spans="1:15" s="1" customFormat="1" x14ac:dyDescent="0.35">
      <c r="B64" s="3"/>
      <c r="C64" s="3"/>
      <c r="D64" s="3"/>
      <c r="E64" s="3"/>
      <c r="F64" s="3"/>
      <c r="K64" s="3"/>
      <c r="L64" s="3"/>
    </row>
    <row r="65" spans="1:12" s="1" customFormat="1" x14ac:dyDescent="0.35">
      <c r="B65" s="1" t="str">
        <f>B30</f>
        <v>Q123</v>
      </c>
      <c r="C65" s="1" t="str">
        <f t="shared" ref="C65:L65" si="29">C30</f>
        <v>Q223</v>
      </c>
      <c r="D65" s="1" t="str">
        <f t="shared" si="29"/>
        <v>Q323</v>
      </c>
      <c r="E65" s="1" t="str">
        <f t="shared" si="29"/>
        <v>Q423</v>
      </c>
      <c r="F65" s="1" t="str">
        <f t="shared" si="29"/>
        <v>Q124</v>
      </c>
      <c r="G65" s="1" t="str">
        <f t="shared" si="29"/>
        <v>Q224</v>
      </c>
      <c r="H65" s="1" t="str">
        <f t="shared" si="29"/>
        <v>Q324</v>
      </c>
      <c r="I65" s="1" t="str">
        <f t="shared" si="29"/>
        <v>Q424</v>
      </c>
      <c r="K65" s="1">
        <f t="shared" si="29"/>
        <v>2023</v>
      </c>
      <c r="L65" s="1">
        <f t="shared" si="29"/>
        <v>2024</v>
      </c>
    </row>
    <row r="66" spans="1:12" s="1" customFormat="1" x14ac:dyDescent="0.35">
      <c r="A66" s="1" t="s">
        <v>86</v>
      </c>
    </row>
    <row r="67" spans="1:12" x14ac:dyDescent="0.35">
      <c r="A67" t="s">
        <v>52</v>
      </c>
      <c r="B67" s="2">
        <v>26965</v>
      </c>
      <c r="C67" s="2">
        <f>58287-B67</f>
        <v>31322</v>
      </c>
      <c r="D67" s="2"/>
      <c r="E67" s="2"/>
      <c r="F67" s="2">
        <v>9441</v>
      </c>
      <c r="G67" s="2">
        <f>5136-F67</f>
        <v>-4305</v>
      </c>
      <c r="K67" s="2">
        <f t="shared" si="0"/>
        <v>58287</v>
      </c>
      <c r="L67" s="2">
        <f t="shared" si="1"/>
        <v>5136</v>
      </c>
    </row>
    <row r="68" spans="1:12" x14ac:dyDescent="0.35">
      <c r="A68" t="s">
        <v>53</v>
      </c>
      <c r="B68" s="2">
        <v>6948</v>
      </c>
      <c r="C68" s="2">
        <f>14637-B68</f>
        <v>7689</v>
      </c>
      <c r="D68" s="2"/>
      <c r="E68" s="2"/>
      <c r="F68" s="2">
        <v>8715</v>
      </c>
      <c r="G68" s="2">
        <f>18413-F68</f>
        <v>9698</v>
      </c>
      <c r="K68" s="2">
        <f t="shared" si="0"/>
        <v>14637</v>
      </c>
      <c r="L68" s="2">
        <f t="shared" si="1"/>
        <v>18413</v>
      </c>
    </row>
    <row r="69" spans="1:12" s="6" customFormat="1" x14ac:dyDescent="0.35">
      <c r="A69" s="6" t="s">
        <v>112</v>
      </c>
      <c r="B69" s="7">
        <v>0</v>
      </c>
      <c r="C69" s="7">
        <v>0</v>
      </c>
      <c r="D69" s="7"/>
      <c r="E69" s="7"/>
      <c r="F69" s="7"/>
      <c r="G69" s="7">
        <f>1473-F69</f>
        <v>1473</v>
      </c>
      <c r="K69" s="2">
        <f t="shared" ref="K69:K119" si="30">SUM(B69:E69)</f>
        <v>0</v>
      </c>
      <c r="L69" s="2">
        <f t="shared" ref="L69:L119" si="31">SUM(F69:I69)</f>
        <v>1473</v>
      </c>
    </row>
    <row r="70" spans="1:12" x14ac:dyDescent="0.35">
      <c r="A70" t="s">
        <v>54</v>
      </c>
      <c r="B70" s="2">
        <v>-904</v>
      </c>
      <c r="C70" s="2">
        <f>-2495-B70</f>
        <v>-1591</v>
      </c>
      <c r="D70" s="2"/>
      <c r="E70" s="2"/>
      <c r="F70" s="2">
        <v>-379</v>
      </c>
      <c r="G70" s="2">
        <f>-650-F70</f>
        <v>-271</v>
      </c>
      <c r="K70" s="2">
        <f t="shared" si="30"/>
        <v>-2495</v>
      </c>
      <c r="L70" s="2">
        <f t="shared" si="31"/>
        <v>-650</v>
      </c>
    </row>
    <row r="71" spans="1:12" x14ac:dyDescent="0.35">
      <c r="A71" t="s">
        <v>55</v>
      </c>
      <c r="B71" s="2">
        <v>659</v>
      </c>
      <c r="C71" s="2">
        <f>1443-B71</f>
        <v>784</v>
      </c>
      <c r="D71" s="2"/>
      <c r="E71" s="2"/>
      <c r="F71" s="2">
        <v>837</v>
      </c>
      <c r="G71" s="2">
        <f>2099-F71</f>
        <v>1262</v>
      </c>
      <c r="K71" s="2">
        <f t="shared" si="30"/>
        <v>1443</v>
      </c>
      <c r="L71" s="2">
        <f t="shared" si="31"/>
        <v>2099</v>
      </c>
    </row>
    <row r="72" spans="1:12" x14ac:dyDescent="0.35">
      <c r="A72" t="s">
        <v>56</v>
      </c>
      <c r="B72" s="2">
        <v>64</v>
      </c>
      <c r="C72" s="2">
        <f>129-B72</f>
        <v>65</v>
      </c>
      <c r="D72" s="2"/>
      <c r="E72" s="2"/>
      <c r="F72" s="2">
        <v>88</v>
      </c>
      <c r="G72" s="2">
        <f>493-F72</f>
        <v>405</v>
      </c>
      <c r="K72" s="2">
        <f t="shared" si="30"/>
        <v>129</v>
      </c>
      <c r="L72" s="2">
        <f t="shared" si="31"/>
        <v>493</v>
      </c>
    </row>
    <row r="73" spans="1:12" x14ac:dyDescent="0.35">
      <c r="A73" t="s">
        <v>113</v>
      </c>
      <c r="B73" s="2">
        <v>0</v>
      </c>
      <c r="C73" s="2">
        <v>0</v>
      </c>
      <c r="D73" s="2"/>
      <c r="E73" s="2"/>
      <c r="F73" s="2"/>
      <c r="G73" s="2">
        <f>11159-F73</f>
        <v>11159</v>
      </c>
      <c r="K73" s="2">
        <f t="shared" si="30"/>
        <v>0</v>
      </c>
      <c r="L73" s="2">
        <f t="shared" si="31"/>
        <v>11159</v>
      </c>
    </row>
    <row r="74" spans="1:12" x14ac:dyDescent="0.35">
      <c r="A74" t="s">
        <v>114</v>
      </c>
      <c r="B74" s="2">
        <v>0</v>
      </c>
      <c r="C74" s="2">
        <v>0</v>
      </c>
      <c r="D74" s="2"/>
      <c r="E74" s="2"/>
      <c r="F74" s="2"/>
      <c r="G74" s="2">
        <f>-3585-F74</f>
        <v>-3585</v>
      </c>
      <c r="K74" s="2">
        <f t="shared" si="30"/>
        <v>0</v>
      </c>
      <c r="L74" s="2">
        <f t="shared" si="31"/>
        <v>-3585</v>
      </c>
    </row>
    <row r="75" spans="1:12" x14ac:dyDescent="0.35">
      <c r="A75" t="s">
        <v>57</v>
      </c>
      <c r="B75" s="2">
        <v>1663</v>
      </c>
      <c r="C75" s="2">
        <f>3250-B75</f>
        <v>1587</v>
      </c>
      <c r="D75" s="2"/>
      <c r="E75" s="2"/>
      <c r="F75" s="2">
        <v>3767</v>
      </c>
      <c r="G75" s="2">
        <f>7319-F75</f>
        <v>3552</v>
      </c>
      <c r="K75" s="2">
        <f t="shared" si="30"/>
        <v>3250</v>
      </c>
      <c r="L75" s="2">
        <f t="shared" si="31"/>
        <v>7319</v>
      </c>
    </row>
    <row r="76" spans="1:12" x14ac:dyDescent="0.35">
      <c r="A76" t="s">
        <v>58</v>
      </c>
      <c r="B76" s="2">
        <v>-32307</v>
      </c>
      <c r="C76" s="2">
        <f>-20623-B76</f>
        <v>11684</v>
      </c>
      <c r="D76" s="2"/>
      <c r="E76" s="2"/>
      <c r="F76" s="2">
        <v>20115</v>
      </c>
      <c r="G76" s="2">
        <f>18499-F76</f>
        <v>-1616</v>
      </c>
      <c r="K76" s="2">
        <f t="shared" si="30"/>
        <v>-20623</v>
      </c>
      <c r="L76" s="2">
        <f t="shared" si="31"/>
        <v>18499</v>
      </c>
    </row>
    <row r="77" spans="1:12" x14ac:dyDescent="0.35">
      <c r="A77" t="s">
        <v>59</v>
      </c>
      <c r="B77" s="2">
        <v>1274</v>
      </c>
      <c r="C77" s="2">
        <f>7540-B77</f>
        <v>6266</v>
      </c>
      <c r="D77" s="2"/>
      <c r="E77" s="2"/>
      <c r="F77" s="2">
        <v>6815</v>
      </c>
      <c r="G77" s="2">
        <f>9301-F77</f>
        <v>2486</v>
      </c>
      <c r="K77" s="2">
        <f t="shared" si="30"/>
        <v>7540</v>
      </c>
      <c r="L77" s="2">
        <f t="shared" si="31"/>
        <v>9301</v>
      </c>
    </row>
    <row r="78" spans="1:12" x14ac:dyDescent="0.35">
      <c r="A78" t="s">
        <v>60</v>
      </c>
      <c r="B78" s="2">
        <v>-140107</v>
      </c>
      <c r="C78" s="2">
        <f>-263121-B78</f>
        <v>-123014</v>
      </c>
      <c r="D78" s="2"/>
      <c r="E78" s="2"/>
      <c r="F78" s="2">
        <v>-137760</v>
      </c>
      <c r="G78" s="2">
        <f>-242113-F78</f>
        <v>-104353</v>
      </c>
      <c r="K78" s="2">
        <f t="shared" si="30"/>
        <v>-263121</v>
      </c>
      <c r="L78" s="2">
        <f t="shared" si="31"/>
        <v>-242113</v>
      </c>
    </row>
    <row r="79" spans="1:12" x14ac:dyDescent="0.35">
      <c r="A79" t="s">
        <v>61</v>
      </c>
      <c r="B79" s="2">
        <v>86259</v>
      </c>
      <c r="C79" s="2">
        <f>150906-B79</f>
        <v>64647</v>
      </c>
      <c r="D79" s="2"/>
      <c r="E79" s="2"/>
      <c r="F79" s="2">
        <v>92084</v>
      </c>
      <c r="G79" s="2">
        <f>206103-F79</f>
        <v>114019</v>
      </c>
      <c r="K79" s="2">
        <f t="shared" si="30"/>
        <v>150906</v>
      </c>
      <c r="L79" s="2">
        <f t="shared" si="31"/>
        <v>206103</v>
      </c>
    </row>
    <row r="80" spans="1:12" x14ac:dyDescent="0.35">
      <c r="A80" t="s">
        <v>62</v>
      </c>
      <c r="B80" s="2">
        <v>-23987</v>
      </c>
      <c r="C80" s="2">
        <f>-58482-B80</f>
        <v>-34495</v>
      </c>
      <c r="D80" s="2"/>
      <c r="E80" s="2"/>
      <c r="F80" s="2">
        <v>-30670</v>
      </c>
      <c r="G80" s="2">
        <f>-58326-F80</f>
        <v>-27656</v>
      </c>
      <c r="K80" s="2">
        <f t="shared" si="30"/>
        <v>-58482</v>
      </c>
      <c r="L80" s="2">
        <f t="shared" si="31"/>
        <v>-58326</v>
      </c>
    </row>
    <row r="81" spans="1:12" x14ac:dyDescent="0.35">
      <c r="A81" t="s">
        <v>63</v>
      </c>
      <c r="B81" s="2">
        <v>-4231</v>
      </c>
      <c r="C81" s="2">
        <f>-14166-B81</f>
        <v>-9935</v>
      </c>
      <c r="D81" s="2"/>
      <c r="E81" s="2"/>
      <c r="F81" s="2">
        <v>-5407</v>
      </c>
      <c r="G81" s="2">
        <f>-22688-F81</f>
        <v>-17281</v>
      </c>
      <c r="K81" s="2">
        <f t="shared" si="30"/>
        <v>-14166</v>
      </c>
      <c r="L81" s="2">
        <f t="shared" si="31"/>
        <v>-22688</v>
      </c>
    </row>
    <row r="82" spans="1:12" s="1" customFormat="1" x14ac:dyDescent="0.35">
      <c r="A82" s="1" t="s">
        <v>64</v>
      </c>
      <c r="B82" s="3">
        <f>SUM(B67:B81)</f>
        <v>-77704</v>
      </c>
      <c r="C82" s="3">
        <f t="shared" ref="C82:I82" si="32">SUM(C67:C81)</f>
        <v>-44991</v>
      </c>
      <c r="D82" s="3">
        <f t="shared" si="32"/>
        <v>0</v>
      </c>
      <c r="E82" s="3">
        <f t="shared" si="32"/>
        <v>0</v>
      </c>
      <c r="F82" s="3">
        <f t="shared" si="32"/>
        <v>-32354</v>
      </c>
      <c r="G82" s="3">
        <f t="shared" si="32"/>
        <v>-15013</v>
      </c>
      <c r="H82" s="3">
        <f t="shared" si="32"/>
        <v>0</v>
      </c>
      <c r="I82" s="3">
        <f t="shared" si="32"/>
        <v>0</v>
      </c>
      <c r="K82" s="3">
        <f t="shared" si="30"/>
        <v>-122695</v>
      </c>
      <c r="L82" s="3">
        <f t="shared" si="31"/>
        <v>-47367</v>
      </c>
    </row>
    <row r="83" spans="1:12" s="1" customFormat="1" x14ac:dyDescent="0.35">
      <c r="B83" s="3"/>
      <c r="C83" s="3"/>
      <c r="D83" s="3"/>
      <c r="E83" s="3"/>
      <c r="F83" s="3"/>
      <c r="K83" s="3"/>
      <c r="L83" s="3"/>
    </row>
    <row r="84" spans="1:12" s="1" customFormat="1" x14ac:dyDescent="0.35">
      <c r="B84" s="1" t="str">
        <f>B65</f>
        <v>Q123</v>
      </c>
      <c r="C84" s="1" t="str">
        <f t="shared" ref="C84:L84" si="33">C65</f>
        <v>Q223</v>
      </c>
      <c r="D84" s="1" t="str">
        <f t="shared" si="33"/>
        <v>Q323</v>
      </c>
      <c r="E84" s="1" t="str">
        <f t="shared" si="33"/>
        <v>Q423</v>
      </c>
      <c r="F84" s="1" t="str">
        <f t="shared" si="33"/>
        <v>Q124</v>
      </c>
      <c r="G84" s="1" t="str">
        <f t="shared" si="33"/>
        <v>Q224</v>
      </c>
      <c r="H84" s="1" t="str">
        <f t="shared" si="33"/>
        <v>Q324</v>
      </c>
      <c r="I84" s="1" t="str">
        <f t="shared" si="33"/>
        <v>Q424</v>
      </c>
      <c r="K84" s="1">
        <f t="shared" si="33"/>
        <v>2023</v>
      </c>
      <c r="L84" s="1">
        <f t="shared" si="33"/>
        <v>2024</v>
      </c>
    </row>
    <row r="85" spans="1:12" s="1" customFormat="1" x14ac:dyDescent="0.35">
      <c r="A85" s="1" t="s">
        <v>85</v>
      </c>
      <c r="B85" s="3"/>
      <c r="C85" s="3"/>
      <c r="D85" s="3"/>
      <c r="E85" s="3"/>
      <c r="F85" s="3"/>
      <c r="K85" s="3"/>
      <c r="L85" s="3"/>
    </row>
    <row r="86" spans="1:12" x14ac:dyDescent="0.35">
      <c r="A86" t="s">
        <v>71</v>
      </c>
      <c r="B86" s="2"/>
      <c r="C86" s="2"/>
      <c r="D86" s="2"/>
      <c r="E86" s="2">
        <v>38066</v>
      </c>
      <c r="F86" s="2">
        <v>35684</v>
      </c>
      <c r="G86" s="2">
        <v>31219</v>
      </c>
      <c r="H86" s="2"/>
      <c r="I86" s="2"/>
      <c r="K86" s="2">
        <f t="shared" si="30"/>
        <v>38066</v>
      </c>
      <c r="L86" s="2">
        <f t="shared" si="31"/>
        <v>66903</v>
      </c>
    </row>
    <row r="87" spans="1:12" x14ac:dyDescent="0.35">
      <c r="A87" t="s">
        <v>72</v>
      </c>
      <c r="B87" s="2"/>
      <c r="C87" s="2"/>
      <c r="D87" s="2"/>
      <c r="E87" s="2">
        <v>153657</v>
      </c>
      <c r="F87" s="2">
        <v>134142</v>
      </c>
      <c r="G87" s="2">
        <v>131776</v>
      </c>
      <c r="H87" s="2"/>
      <c r="I87" s="2"/>
      <c r="K87" s="2">
        <f t="shared" si="30"/>
        <v>153657</v>
      </c>
      <c r="L87" s="2">
        <f t="shared" si="31"/>
        <v>265918</v>
      </c>
    </row>
    <row r="88" spans="1:12" x14ac:dyDescent="0.35">
      <c r="A88" t="s">
        <v>73</v>
      </c>
      <c r="B88" s="2"/>
      <c r="C88" s="2"/>
      <c r="D88" s="2"/>
      <c r="E88" s="2">
        <v>1303030</v>
      </c>
      <c r="F88" s="2">
        <v>1429762</v>
      </c>
      <c r="G88" s="2">
        <v>1527758</v>
      </c>
      <c r="H88" s="2"/>
      <c r="I88" s="2"/>
      <c r="K88" s="2">
        <f t="shared" si="30"/>
        <v>1303030</v>
      </c>
      <c r="L88" s="2">
        <f t="shared" si="31"/>
        <v>2957520</v>
      </c>
    </row>
    <row r="89" spans="1:12" x14ac:dyDescent="0.35">
      <c r="A89" t="s">
        <v>74</v>
      </c>
      <c r="B89" s="2"/>
      <c r="C89" s="2"/>
      <c r="D89" s="2"/>
      <c r="E89" s="2">
        <v>24262</v>
      </c>
      <c r="F89" s="2">
        <v>15301</v>
      </c>
      <c r="G89" s="2">
        <v>18347</v>
      </c>
      <c r="H89" s="2"/>
      <c r="I89" s="2"/>
      <c r="K89" s="2">
        <f t="shared" si="30"/>
        <v>24262</v>
      </c>
      <c r="L89" s="2">
        <f t="shared" si="31"/>
        <v>33648</v>
      </c>
    </row>
    <row r="90" spans="1:12" s="1" customFormat="1" x14ac:dyDescent="0.35">
      <c r="A90" s="1" t="s">
        <v>75</v>
      </c>
      <c r="B90" s="3">
        <f>SUM(B86:B89)</f>
        <v>0</v>
      </c>
      <c r="C90" s="3">
        <f t="shared" ref="C90:I90" si="34">SUM(C86:C89)</f>
        <v>0</v>
      </c>
      <c r="D90" s="3">
        <f t="shared" si="34"/>
        <v>0</v>
      </c>
      <c r="E90" s="3">
        <f>SUM(E86:E89)</f>
        <v>1519015</v>
      </c>
      <c r="F90" s="3">
        <f t="shared" si="34"/>
        <v>1614889</v>
      </c>
      <c r="G90" s="3">
        <f t="shared" si="34"/>
        <v>1709100</v>
      </c>
      <c r="H90" s="3">
        <f t="shared" si="34"/>
        <v>0</v>
      </c>
      <c r="I90" s="3">
        <f t="shared" si="34"/>
        <v>0</v>
      </c>
      <c r="K90" s="3">
        <f t="shared" si="30"/>
        <v>1519015</v>
      </c>
      <c r="L90" s="3">
        <f t="shared" si="31"/>
        <v>3323989</v>
      </c>
    </row>
    <row r="91" spans="1:12" x14ac:dyDescent="0.35">
      <c r="A91" t="s">
        <v>79</v>
      </c>
      <c r="B91" s="2"/>
      <c r="C91" s="2"/>
      <c r="D91" s="2"/>
      <c r="E91" s="2">
        <v>298774</v>
      </c>
      <c r="F91" s="2">
        <v>304472</v>
      </c>
      <c r="G91" s="2">
        <v>357346</v>
      </c>
      <c r="H91" s="2"/>
      <c r="I91" s="2"/>
      <c r="K91" s="2">
        <f t="shared" si="30"/>
        <v>298774</v>
      </c>
      <c r="L91" s="2">
        <f t="shared" si="31"/>
        <v>661818</v>
      </c>
    </row>
    <row r="92" spans="1:12" x14ac:dyDescent="0.35">
      <c r="A92" t="s">
        <v>80</v>
      </c>
      <c r="B92" s="2"/>
      <c r="C92" s="2"/>
      <c r="D92" s="2"/>
      <c r="E92" s="2">
        <v>54699</v>
      </c>
      <c r="F92" s="2">
        <v>51858</v>
      </c>
      <c r="G92" s="2">
        <v>37643</v>
      </c>
      <c r="H92" s="2"/>
      <c r="I92" s="2"/>
      <c r="K92" s="2">
        <f t="shared" si="30"/>
        <v>54699</v>
      </c>
      <c r="L92" s="2">
        <f t="shared" si="31"/>
        <v>89501</v>
      </c>
    </row>
    <row r="93" spans="1:12" x14ac:dyDescent="0.35">
      <c r="A93" t="s">
        <v>54</v>
      </c>
      <c r="B93" s="2"/>
      <c r="C93" s="2"/>
      <c r="D93" s="2"/>
      <c r="E93" s="2">
        <v>529</v>
      </c>
      <c r="F93" s="2">
        <v>517</v>
      </c>
      <c r="G93" s="2">
        <v>512</v>
      </c>
      <c r="H93" s="2"/>
      <c r="I93" s="2"/>
      <c r="K93" s="2">
        <f t="shared" si="30"/>
        <v>529</v>
      </c>
      <c r="L93" s="2">
        <f t="shared" si="31"/>
        <v>1029</v>
      </c>
    </row>
    <row r="94" spans="1:12" x14ac:dyDescent="0.35">
      <c r="A94" t="s">
        <v>81</v>
      </c>
      <c r="B94" s="2"/>
      <c r="C94" s="2"/>
      <c r="D94" s="2"/>
      <c r="E94" s="2">
        <v>64105</v>
      </c>
      <c r="F94" s="2">
        <v>62979</v>
      </c>
      <c r="G94" s="2">
        <v>62929</v>
      </c>
      <c r="H94" s="2"/>
      <c r="I94" s="2"/>
      <c r="K94" s="2">
        <f t="shared" si="30"/>
        <v>64105</v>
      </c>
      <c r="L94" s="2">
        <f t="shared" si="31"/>
        <v>125908</v>
      </c>
    </row>
    <row r="95" spans="1:12" x14ac:dyDescent="0.35">
      <c r="A95" t="s">
        <v>82</v>
      </c>
      <c r="B95" s="2"/>
      <c r="C95" s="2"/>
      <c r="D95" s="2"/>
      <c r="E95" s="2">
        <v>53356</v>
      </c>
      <c r="F95" s="2">
        <v>51301</v>
      </c>
      <c r="G95" s="2">
        <v>51367</v>
      </c>
      <c r="H95" s="2"/>
      <c r="I95" s="2"/>
      <c r="K95" s="2">
        <f t="shared" si="30"/>
        <v>53356</v>
      </c>
      <c r="L95" s="2">
        <f t="shared" si="31"/>
        <v>102668</v>
      </c>
    </row>
    <row r="96" spans="1:12" x14ac:dyDescent="0.35">
      <c r="A96" t="s">
        <v>57</v>
      </c>
      <c r="B96" s="2"/>
      <c r="C96" s="2"/>
      <c r="D96" s="2"/>
      <c r="E96" s="2">
        <v>1783</v>
      </c>
      <c r="F96" s="2">
        <v>1651</v>
      </c>
      <c r="G96" s="2">
        <v>1652</v>
      </c>
      <c r="H96" s="2"/>
      <c r="I96" s="2"/>
      <c r="K96" s="2">
        <f t="shared" si="30"/>
        <v>1783</v>
      </c>
      <c r="L96" s="2">
        <f t="shared" si="31"/>
        <v>3303</v>
      </c>
    </row>
    <row r="97" spans="1:12" s="1" customFormat="1" x14ac:dyDescent="0.35">
      <c r="A97" s="1" t="s">
        <v>83</v>
      </c>
      <c r="B97" s="3">
        <f>SUM(B91:B96)</f>
        <v>0</v>
      </c>
      <c r="C97" s="3">
        <f t="shared" ref="C97:F97" si="35">SUM(C91:C96)</f>
        <v>0</v>
      </c>
      <c r="D97" s="3">
        <f t="shared" si="35"/>
        <v>0</v>
      </c>
      <c r="E97" s="3">
        <f t="shared" si="35"/>
        <v>473246</v>
      </c>
      <c r="F97" s="3">
        <f t="shared" si="35"/>
        <v>472778</v>
      </c>
      <c r="G97" s="3">
        <f t="shared" ref="G97:I97" si="36">SUM(G91:G96)</f>
        <v>511449</v>
      </c>
      <c r="H97" s="3">
        <f t="shared" si="36"/>
        <v>0</v>
      </c>
      <c r="I97" s="3">
        <f t="shared" si="36"/>
        <v>0</v>
      </c>
      <c r="K97" s="3">
        <f t="shared" si="30"/>
        <v>473246</v>
      </c>
      <c r="L97" s="3">
        <f t="shared" si="31"/>
        <v>984227</v>
      </c>
    </row>
    <row r="98" spans="1:12" s="1" customFormat="1" x14ac:dyDescent="0.35">
      <c r="A98" s="1" t="s">
        <v>84</v>
      </c>
      <c r="B98" s="3">
        <f>B90+B97</f>
        <v>0</v>
      </c>
      <c r="C98" s="3">
        <f t="shared" ref="C98:E98" si="37">C90+C97</f>
        <v>0</v>
      </c>
      <c r="D98" s="3">
        <f t="shared" si="37"/>
        <v>0</v>
      </c>
      <c r="E98" s="3">
        <f t="shared" si="37"/>
        <v>1992261</v>
      </c>
      <c r="F98" s="3">
        <f>F90+F97</f>
        <v>2087667</v>
      </c>
      <c r="G98" s="3">
        <f t="shared" ref="G98:I98" si="38">G90+G97</f>
        <v>2220549</v>
      </c>
      <c r="H98" s="3">
        <f t="shared" si="38"/>
        <v>0</v>
      </c>
      <c r="I98" s="3">
        <f t="shared" si="38"/>
        <v>0</v>
      </c>
      <c r="K98" s="3">
        <f t="shared" si="30"/>
        <v>1992261</v>
      </c>
      <c r="L98" s="3">
        <f t="shared" si="31"/>
        <v>4308216</v>
      </c>
    </row>
    <row r="99" spans="1:12" x14ac:dyDescent="0.35">
      <c r="A99" t="s">
        <v>88</v>
      </c>
      <c r="B99" s="2"/>
      <c r="C99" s="2"/>
      <c r="D99" s="2"/>
      <c r="E99" s="2">
        <v>43846</v>
      </c>
      <c r="F99" s="2">
        <v>47629</v>
      </c>
      <c r="G99" s="2">
        <v>40434</v>
      </c>
      <c r="H99" s="2"/>
      <c r="I99" s="2"/>
      <c r="K99" s="2">
        <f t="shared" si="30"/>
        <v>43846</v>
      </c>
      <c r="L99" s="2">
        <f t="shared" si="31"/>
        <v>88063</v>
      </c>
    </row>
    <row r="100" spans="1:12" x14ac:dyDescent="0.35">
      <c r="A100" t="s">
        <v>89</v>
      </c>
      <c r="B100" s="2"/>
      <c r="C100" s="2"/>
      <c r="D100" s="2"/>
      <c r="E100" s="2">
        <v>893846</v>
      </c>
      <c r="F100" s="2">
        <v>1024999</v>
      </c>
      <c r="G100" s="2">
        <v>1168440</v>
      </c>
      <c r="H100" s="2"/>
      <c r="I100" s="2"/>
      <c r="K100" s="2">
        <f t="shared" si="30"/>
        <v>893846</v>
      </c>
      <c r="L100" s="2">
        <f t="shared" si="31"/>
        <v>2193439</v>
      </c>
    </row>
    <row r="101" spans="1:12" x14ac:dyDescent="0.35">
      <c r="A101" t="s">
        <v>90</v>
      </c>
      <c r="B101" s="2"/>
      <c r="C101" s="2"/>
      <c r="D101" s="2"/>
      <c r="E101" s="2">
        <v>13706</v>
      </c>
      <c r="F101" s="2">
        <v>13890</v>
      </c>
      <c r="G101" s="2">
        <v>9940</v>
      </c>
      <c r="H101" s="2"/>
      <c r="I101" s="2"/>
      <c r="K101" s="2">
        <f t="shared" si="30"/>
        <v>13706</v>
      </c>
      <c r="L101" s="2">
        <f t="shared" si="31"/>
        <v>23830</v>
      </c>
    </row>
    <row r="102" spans="1:12" x14ac:dyDescent="0.35">
      <c r="A102" t="s">
        <v>91</v>
      </c>
      <c r="B102" s="2"/>
      <c r="C102" s="2"/>
      <c r="D102" s="2"/>
      <c r="E102" s="2">
        <v>10751</v>
      </c>
      <c r="F102" s="2">
        <v>10918</v>
      </c>
      <c r="G102" s="2">
        <v>7912</v>
      </c>
      <c r="H102" s="2"/>
      <c r="I102" s="2"/>
      <c r="K102" s="2">
        <f t="shared" si="30"/>
        <v>10751</v>
      </c>
      <c r="L102" s="2">
        <f t="shared" si="31"/>
        <v>18830</v>
      </c>
    </row>
    <row r="103" spans="1:12" x14ac:dyDescent="0.35">
      <c r="A103" t="s">
        <v>92</v>
      </c>
      <c r="B103" s="2"/>
      <c r="C103" s="2"/>
      <c r="D103" s="2"/>
      <c r="E103" s="2">
        <v>115852</v>
      </c>
      <c r="F103" s="2">
        <v>84900</v>
      </c>
      <c r="G103" s="2">
        <v>57802</v>
      </c>
      <c r="H103" s="2"/>
      <c r="I103" s="2"/>
      <c r="K103" s="2">
        <f t="shared" si="30"/>
        <v>115852</v>
      </c>
      <c r="L103" s="2">
        <f t="shared" si="31"/>
        <v>142702</v>
      </c>
    </row>
    <row r="104" spans="1:12" x14ac:dyDescent="0.35">
      <c r="A104" t="s">
        <v>93</v>
      </c>
      <c r="B104" s="2"/>
      <c r="C104" s="2"/>
      <c r="D104" s="2"/>
      <c r="E104" s="2">
        <v>74400</v>
      </c>
      <c r="F104" s="2">
        <v>65402</v>
      </c>
      <c r="G104" s="2">
        <v>58892</v>
      </c>
      <c r="H104" s="2"/>
      <c r="I104" s="2"/>
      <c r="K104" s="2">
        <f t="shared" si="30"/>
        <v>74400</v>
      </c>
      <c r="L104" s="2">
        <f t="shared" si="31"/>
        <v>124294</v>
      </c>
    </row>
    <row r="105" spans="1:12" s="1" customFormat="1" x14ac:dyDescent="0.35">
      <c r="A105" s="1" t="s">
        <v>94</v>
      </c>
      <c r="B105" s="3">
        <f t="shared" ref="B105:E105" si="39">SUM(B99:B104)</f>
        <v>0</v>
      </c>
      <c r="C105" s="3">
        <f t="shared" si="39"/>
        <v>0</v>
      </c>
      <c r="D105" s="3">
        <f t="shared" si="39"/>
        <v>0</v>
      </c>
      <c r="E105" s="3">
        <f t="shared" si="39"/>
        <v>1152401</v>
      </c>
      <c r="F105" s="3">
        <f>SUM(F99:F104)</f>
        <v>1247738</v>
      </c>
      <c r="G105" s="3">
        <f t="shared" ref="G105:I105" si="40">SUM(G99:G104)</f>
        <v>1343420</v>
      </c>
      <c r="H105" s="3">
        <f t="shared" si="40"/>
        <v>0</v>
      </c>
      <c r="I105" s="3">
        <f t="shared" si="40"/>
        <v>0</v>
      </c>
      <c r="K105" s="3">
        <f t="shared" si="30"/>
        <v>1152401</v>
      </c>
      <c r="L105" s="3">
        <f t="shared" si="31"/>
        <v>2591158</v>
      </c>
    </row>
    <row r="106" spans="1:12" x14ac:dyDescent="0.35">
      <c r="A106" t="s">
        <v>95</v>
      </c>
      <c r="B106" s="2"/>
      <c r="C106" s="2"/>
      <c r="D106" s="2"/>
      <c r="E106" s="2">
        <v>106407</v>
      </c>
      <c r="F106" s="2">
        <v>105440</v>
      </c>
      <c r="G106" s="2">
        <v>116666</v>
      </c>
      <c r="H106" s="2"/>
      <c r="I106" s="2"/>
      <c r="K106" s="2">
        <f t="shared" si="30"/>
        <v>106407</v>
      </c>
      <c r="L106" s="2">
        <f t="shared" si="31"/>
        <v>222106</v>
      </c>
    </row>
    <row r="107" spans="1:12" x14ac:dyDescent="0.35">
      <c r="A107" t="s">
        <v>96</v>
      </c>
      <c r="B107" s="2"/>
      <c r="C107" s="2"/>
      <c r="D107" s="2"/>
      <c r="E107" s="2">
        <v>50964</v>
      </c>
      <c r="F107" s="2">
        <v>47693</v>
      </c>
      <c r="G107" s="2">
        <v>35415</v>
      </c>
      <c r="H107" s="2"/>
      <c r="I107" s="2"/>
      <c r="K107" s="2">
        <f t="shared" si="30"/>
        <v>50964</v>
      </c>
      <c r="L107" s="2">
        <f t="shared" si="31"/>
        <v>83108</v>
      </c>
    </row>
    <row r="108" spans="1:12" x14ac:dyDescent="0.35">
      <c r="A108" t="s">
        <v>54</v>
      </c>
      <c r="B108" s="2"/>
      <c r="C108" s="2"/>
      <c r="D108" s="2"/>
      <c r="E108" s="2">
        <v>22607</v>
      </c>
      <c r="F108" s="2">
        <v>21740</v>
      </c>
      <c r="G108" s="2">
        <v>21662</v>
      </c>
      <c r="H108" s="2"/>
      <c r="I108" s="2"/>
      <c r="K108" s="2">
        <f t="shared" si="30"/>
        <v>22607</v>
      </c>
      <c r="L108" s="2">
        <f t="shared" si="31"/>
        <v>43402</v>
      </c>
    </row>
    <row r="109" spans="1:12" x14ac:dyDescent="0.35">
      <c r="A109" t="s">
        <v>97</v>
      </c>
      <c r="B109" s="2"/>
      <c r="C109" s="2"/>
      <c r="D109" s="2"/>
      <c r="E109" s="2">
        <v>2240</v>
      </c>
      <c r="F109" s="2">
        <v>2455</v>
      </c>
      <c r="G109" s="2">
        <v>43820</v>
      </c>
      <c r="H109" s="2"/>
      <c r="I109" s="2"/>
      <c r="K109" s="2">
        <f t="shared" si="30"/>
        <v>2240</v>
      </c>
      <c r="L109" s="2">
        <f t="shared" si="31"/>
        <v>46275</v>
      </c>
    </row>
    <row r="110" spans="1:12" s="1" customFormat="1" x14ac:dyDescent="0.35">
      <c r="A110" s="1" t="s">
        <v>98</v>
      </c>
      <c r="B110" s="3">
        <f>SUM(B106:B109)</f>
        <v>0</v>
      </c>
      <c r="C110" s="3">
        <f t="shared" ref="C110:F110" si="41">SUM(C106:C109)</f>
        <v>0</v>
      </c>
      <c r="D110" s="3">
        <f t="shared" si="41"/>
        <v>0</v>
      </c>
      <c r="E110" s="3">
        <f t="shared" si="41"/>
        <v>182218</v>
      </c>
      <c r="F110" s="3">
        <f t="shared" si="41"/>
        <v>177328</v>
      </c>
      <c r="G110" s="3">
        <f t="shared" ref="G110:I110" si="42">SUM(G106:G109)</f>
        <v>217563</v>
      </c>
      <c r="H110" s="3">
        <f t="shared" si="42"/>
        <v>0</v>
      </c>
      <c r="I110" s="3">
        <f t="shared" si="42"/>
        <v>0</v>
      </c>
      <c r="K110" s="3">
        <f t="shared" si="30"/>
        <v>182218</v>
      </c>
      <c r="L110" s="3">
        <f t="shared" si="31"/>
        <v>394891</v>
      </c>
    </row>
    <row r="111" spans="1:12" s="1" customFormat="1" x14ac:dyDescent="0.35">
      <c r="A111" s="1" t="s">
        <v>99</v>
      </c>
      <c r="B111" s="3">
        <f>B110+B105</f>
        <v>0</v>
      </c>
      <c r="C111" s="3">
        <f t="shared" ref="C111:F111" si="43">C110+C105</f>
        <v>0</v>
      </c>
      <c r="D111" s="3">
        <f t="shared" si="43"/>
        <v>0</v>
      </c>
      <c r="E111" s="3">
        <f t="shared" si="43"/>
        <v>1334619</v>
      </c>
      <c r="F111" s="3">
        <f t="shared" si="43"/>
        <v>1425066</v>
      </c>
      <c r="G111" s="3">
        <f t="shared" ref="G111:I111" si="44">G110+G105</f>
        <v>1560983</v>
      </c>
      <c r="H111" s="3">
        <f t="shared" si="44"/>
        <v>0</v>
      </c>
      <c r="I111" s="3">
        <f t="shared" si="44"/>
        <v>0</v>
      </c>
      <c r="K111" s="3">
        <f t="shared" si="30"/>
        <v>1334619</v>
      </c>
      <c r="L111" s="3">
        <f t="shared" si="31"/>
        <v>2986049</v>
      </c>
    </row>
    <row r="112" spans="1:12" x14ac:dyDescent="0.35">
      <c r="A112" t="s">
        <v>100</v>
      </c>
      <c r="B112" s="2"/>
      <c r="C112" s="2"/>
      <c r="D112" s="2"/>
      <c r="E112" s="2">
        <v>258657</v>
      </c>
      <c r="F112" s="2">
        <v>258700</v>
      </c>
      <c r="G112" s="2">
        <v>259911</v>
      </c>
      <c r="H112" s="2"/>
      <c r="I112" s="2"/>
      <c r="K112" s="2">
        <f t="shared" si="30"/>
        <v>258657</v>
      </c>
      <c r="L112" s="2">
        <f t="shared" si="31"/>
        <v>518611</v>
      </c>
    </row>
    <row r="113" spans="1:12" x14ac:dyDescent="0.35">
      <c r="A113" t="s">
        <v>101</v>
      </c>
      <c r="B113" s="2"/>
      <c r="C113" s="2"/>
      <c r="D113" s="2"/>
      <c r="E113" s="2">
        <v>397225</v>
      </c>
      <c r="F113" s="2">
        <v>406666</v>
      </c>
      <c r="G113" s="2">
        <v>402362</v>
      </c>
      <c r="H113" s="2"/>
      <c r="I113" s="2"/>
      <c r="K113" s="2">
        <f t="shared" si="30"/>
        <v>397225</v>
      </c>
      <c r="L113" s="2">
        <f t="shared" si="31"/>
        <v>809028</v>
      </c>
    </row>
    <row r="114" spans="1:12" x14ac:dyDescent="0.35">
      <c r="A114" t="s">
        <v>102</v>
      </c>
      <c r="B114" s="2"/>
      <c r="C114" s="2"/>
      <c r="D114" s="2"/>
      <c r="E114" s="2">
        <v>1760</v>
      </c>
      <c r="F114" s="2">
        <v>-2765</v>
      </c>
      <c r="G114" s="2">
        <v>-2707</v>
      </c>
      <c r="H114" s="2"/>
      <c r="I114" s="2"/>
      <c r="K114" s="2">
        <f t="shared" si="30"/>
        <v>1760</v>
      </c>
      <c r="L114" s="2">
        <f t="shared" si="31"/>
        <v>-5472</v>
      </c>
    </row>
    <row r="115" spans="1:12" s="1" customFormat="1" x14ac:dyDescent="0.35">
      <c r="A115" s="1" t="s">
        <v>103</v>
      </c>
      <c r="B115" s="3">
        <f>SUM(B112:B114)</f>
        <v>0</v>
      </c>
      <c r="C115" s="3">
        <f t="shared" ref="C115:F115" si="45">SUM(C112:C114)</f>
        <v>0</v>
      </c>
      <c r="D115" s="3">
        <f t="shared" si="45"/>
        <v>0</v>
      </c>
      <c r="E115" s="3">
        <f t="shared" si="45"/>
        <v>657642</v>
      </c>
      <c r="F115" s="3">
        <f t="shared" si="45"/>
        <v>662601</v>
      </c>
      <c r="G115" s="3">
        <f t="shared" ref="G115:I115" si="46">SUM(G112:G114)</f>
        <v>659566</v>
      </c>
      <c r="H115" s="3">
        <f t="shared" si="46"/>
        <v>0</v>
      </c>
      <c r="I115" s="3">
        <f t="shared" si="46"/>
        <v>0</v>
      </c>
      <c r="K115" s="3">
        <f t="shared" si="30"/>
        <v>657642</v>
      </c>
      <c r="L115" s="3">
        <f t="shared" si="31"/>
        <v>1322167</v>
      </c>
    </row>
    <row r="116" spans="1:12" s="1" customFormat="1" x14ac:dyDescent="0.35">
      <c r="A116" s="1" t="s">
        <v>104</v>
      </c>
      <c r="B116" s="3">
        <f>B115+B111</f>
        <v>0</v>
      </c>
      <c r="C116" s="3">
        <f t="shared" ref="C116:F116" si="47">C115+C111</f>
        <v>0</v>
      </c>
      <c r="D116" s="3">
        <f t="shared" si="47"/>
        <v>0</v>
      </c>
      <c r="E116" s="3">
        <f t="shared" si="47"/>
        <v>1992261</v>
      </c>
      <c r="F116" s="3">
        <f t="shared" si="47"/>
        <v>2087667</v>
      </c>
      <c r="G116" s="3">
        <f t="shared" ref="G116:I116" si="48">G115+G111</f>
        <v>2220549</v>
      </c>
      <c r="H116" s="3">
        <f t="shared" si="48"/>
        <v>0</v>
      </c>
      <c r="I116" s="3">
        <f t="shared" si="48"/>
        <v>0</v>
      </c>
      <c r="K116" s="3">
        <f t="shared" si="30"/>
        <v>1992261</v>
      </c>
      <c r="L116" s="3">
        <f t="shared" si="31"/>
        <v>4308216</v>
      </c>
    </row>
    <row r="118" spans="1:12" s="1" customFormat="1" x14ac:dyDescent="0.35">
      <c r="A118" s="1" t="s">
        <v>105</v>
      </c>
      <c r="B118" s="3">
        <f>B88-B100</f>
        <v>0</v>
      </c>
      <c r="C118" s="3">
        <f t="shared" ref="C118:F118" si="49">C88-C100</f>
        <v>0</v>
      </c>
      <c r="D118" s="3">
        <f t="shared" si="49"/>
        <v>0</v>
      </c>
      <c r="E118" s="3">
        <f t="shared" si="49"/>
        <v>409184</v>
      </c>
      <c r="F118" s="3">
        <f t="shared" si="49"/>
        <v>404763</v>
      </c>
      <c r="G118" s="3">
        <f t="shared" ref="G118:I118" si="50">G88-G100</f>
        <v>359318</v>
      </c>
      <c r="H118" s="3">
        <f t="shared" si="50"/>
        <v>0</v>
      </c>
      <c r="I118" s="3">
        <f t="shared" si="50"/>
        <v>0</v>
      </c>
      <c r="K118" s="3">
        <f t="shared" si="30"/>
        <v>409184</v>
      </c>
      <c r="L118" s="3">
        <f t="shared" si="31"/>
        <v>764081</v>
      </c>
    </row>
    <row r="119" spans="1:12" s="1" customFormat="1" x14ac:dyDescent="0.35">
      <c r="A119" s="1" t="s">
        <v>106</v>
      </c>
      <c r="B119" s="8" t="e">
        <f>B88/B100</f>
        <v>#DIV/0!</v>
      </c>
      <c r="C119" s="8" t="e">
        <f t="shared" ref="C119:F119" si="51">C88/C100</f>
        <v>#DIV/0!</v>
      </c>
      <c r="D119" s="8" t="e">
        <f t="shared" si="51"/>
        <v>#DIV/0!</v>
      </c>
      <c r="E119" s="8">
        <f t="shared" si="51"/>
        <v>1.4577790805127506</v>
      </c>
      <c r="F119" s="8">
        <f t="shared" si="51"/>
        <v>1.3948911169669433</v>
      </c>
      <c r="G119" s="8">
        <f t="shared" ref="G119:I119" si="52">G88/G100</f>
        <v>1.3075194276128856</v>
      </c>
      <c r="H119" s="8" t="e">
        <f t="shared" si="52"/>
        <v>#DIV/0!</v>
      </c>
      <c r="I119" s="8" t="e">
        <f t="shared" si="52"/>
        <v>#DIV/0!</v>
      </c>
      <c r="K119" s="8" t="e">
        <f t="shared" si="30"/>
        <v>#DIV/0!</v>
      </c>
      <c r="L119" s="8" t="e">
        <f t="shared" si="31"/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Corey Christner</cp:lastModifiedBy>
  <dcterms:created xsi:type="dcterms:W3CDTF">2015-06-05T18:17:20Z</dcterms:created>
  <dcterms:modified xsi:type="dcterms:W3CDTF">2024-12-07T20:52:05Z</dcterms:modified>
</cp:coreProperties>
</file>