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906c935fa0eb4f/models/"/>
    </mc:Choice>
  </mc:AlternateContent>
  <xr:revisionPtr revIDLastSave="342" documentId="8_{2959E65E-55D8-40F5-B350-6BD91C9C1EC2}" xr6:coauthVersionLast="47" xr6:coauthVersionMax="47" xr10:uidLastSave="{95B85645-E775-4CEB-8929-86CCD5E6EFB7}"/>
  <bookViews>
    <workbookView xWindow="-90" yWindow="0" windowWidth="9780" windowHeight="10170" firstSheet="2" activeTab="2" xr2:uid="{00000000-000D-0000-FFFF-FFFF00000000}"/>
  </bookViews>
  <sheets>
    <sheet name="Main" sheetId="1" r:id="rId1"/>
    <sheet name="Parts" sheetId="5" r:id="rId2"/>
    <sheet name="Model" sheetId="2" r:id="rId3"/>
    <sheet name="Earnings Call Notes" sheetId="6" r:id="rId4"/>
    <sheet name="Manufacturing" sheetId="3" r:id="rId5"/>
    <sheet name="IP" sheetId="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2" l="1"/>
  <c r="E57" i="2"/>
  <c r="D57" i="2"/>
  <c r="L57" i="2"/>
  <c r="K57" i="2"/>
  <c r="J57" i="2"/>
  <c r="I57" i="2"/>
  <c r="G53" i="2" l="1"/>
  <c r="G52" i="2"/>
  <c r="G51" i="2"/>
  <c r="G50" i="2"/>
  <c r="G49" i="2"/>
  <c r="G48" i="2"/>
  <c r="G47" i="2"/>
  <c r="G46" i="2"/>
  <c r="F11" i="2"/>
  <c r="E11" i="2"/>
  <c r="D11" i="2"/>
  <c r="G37" i="2"/>
  <c r="C37" i="2"/>
  <c r="G33" i="2"/>
  <c r="G34" i="2" s="1"/>
  <c r="C33" i="2"/>
  <c r="C34" i="2" s="1"/>
  <c r="N32" i="2"/>
  <c r="N31" i="2"/>
  <c r="K6" i="1"/>
  <c r="K5" i="1"/>
  <c r="N99" i="2"/>
  <c r="N100" i="2"/>
  <c r="N68" i="2"/>
  <c r="N2" i="2"/>
  <c r="N14" i="2"/>
  <c r="N11" i="2" s="1"/>
  <c r="C62" i="2"/>
  <c r="C66" i="2" s="1"/>
  <c r="C69" i="2" s="1"/>
  <c r="H30" i="2"/>
  <c r="H29" i="2"/>
  <c r="H25" i="2"/>
  <c r="H24" i="2"/>
  <c r="H22" i="2"/>
  <c r="H15" i="2"/>
  <c r="N24" i="2"/>
  <c r="N22" i="2"/>
  <c r="N15" i="2"/>
  <c r="K4" i="1"/>
  <c r="H33" i="2" l="1"/>
  <c r="O42" i="2"/>
  <c r="N66" i="2"/>
  <c r="N69" i="2" s="1"/>
  <c r="O2" i="2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O29" i="2"/>
  <c r="P29" i="2" s="1"/>
  <c r="O30" i="2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O15" i="2"/>
  <c r="O22" i="2"/>
  <c r="O24" i="2"/>
  <c r="N23" i="2"/>
  <c r="C70" i="2"/>
  <c r="K7" i="1"/>
  <c r="N42" i="2"/>
  <c r="C23" i="2"/>
  <c r="N30" i="2"/>
  <c r="N29" i="2"/>
  <c r="C45" i="2"/>
  <c r="C28" i="2" l="1"/>
  <c r="C35" i="2" s="1"/>
  <c r="C38" i="2" s="1"/>
  <c r="C11" i="2"/>
  <c r="C25" i="2"/>
  <c r="P33" i="2"/>
  <c r="Q29" i="2"/>
  <c r="R29" i="2" s="1"/>
  <c r="S29" i="2" s="1"/>
  <c r="T29" i="2" s="1"/>
  <c r="U29" i="2" s="1"/>
  <c r="V29" i="2" s="1"/>
  <c r="O96" i="2"/>
  <c r="O13" i="2" s="1"/>
  <c r="N101" i="2"/>
  <c r="H14" i="2"/>
  <c r="H45" i="2" s="1"/>
  <c r="P42" i="2"/>
  <c r="Q42" i="2" s="1"/>
  <c r="R42" i="2" s="1"/>
  <c r="S42" i="2" s="1"/>
  <c r="T42" i="2" s="1"/>
  <c r="U42" i="2" s="1"/>
  <c r="V42" i="2" s="1"/>
  <c r="W42" i="2" s="1"/>
  <c r="X42" i="2" s="1"/>
  <c r="Y42" i="2" s="1"/>
  <c r="O33" i="2"/>
  <c r="N33" i="2"/>
  <c r="C39" i="2" l="1"/>
  <c r="C57" i="2"/>
  <c r="C40" i="2"/>
  <c r="N25" i="2"/>
  <c r="N26" i="2" s="1"/>
  <c r="C26" i="2"/>
  <c r="C44" i="2" s="1"/>
  <c r="W29" i="2"/>
  <c r="V33" i="2"/>
  <c r="O99" i="2"/>
  <c r="Z42" i="2"/>
  <c r="H27" i="2"/>
  <c r="H23" i="2"/>
  <c r="N27" i="2"/>
  <c r="H34" i="2" l="1"/>
  <c r="H26" i="2"/>
  <c r="H28" i="2"/>
  <c r="H35" i="2" s="1"/>
  <c r="C54" i="2"/>
  <c r="X29" i="2"/>
  <c r="W33" i="2"/>
  <c r="Q33" i="2"/>
  <c r="H54" i="2" l="1"/>
  <c r="H36" i="2"/>
  <c r="H38" i="2" s="1"/>
  <c r="X33" i="2"/>
  <c r="Y29" i="2"/>
  <c r="H44" i="2"/>
  <c r="C73" i="2"/>
  <c r="R33" i="2"/>
  <c r="P96" i="2"/>
  <c r="N44" i="2"/>
  <c r="H39" i="2" l="1"/>
  <c r="H57" i="2"/>
  <c r="H40" i="2"/>
  <c r="Z29" i="2"/>
  <c r="Z33" i="2" s="1"/>
  <c r="Y33" i="2"/>
  <c r="P99" i="2"/>
  <c r="P13" i="2"/>
  <c r="C72" i="2"/>
  <c r="C84" i="2"/>
  <c r="S33" i="2"/>
  <c r="Q96" i="2"/>
  <c r="N28" i="2"/>
  <c r="N35" i="2" s="1"/>
  <c r="Q99" i="2" l="1"/>
  <c r="Q13" i="2"/>
  <c r="N54" i="2"/>
  <c r="R96" i="2"/>
  <c r="U33" i="2"/>
  <c r="T33" i="2"/>
  <c r="N36" i="2"/>
  <c r="R99" i="2" l="1"/>
  <c r="R13" i="2"/>
  <c r="N72" i="2"/>
  <c r="N39" i="2"/>
  <c r="S96" i="2"/>
  <c r="S99" i="2" l="1"/>
  <c r="S13" i="2"/>
  <c r="T96" i="2"/>
  <c r="T99" i="2" l="1"/>
  <c r="T13" i="2"/>
  <c r="U96" i="2"/>
  <c r="U99" i="2" l="1"/>
  <c r="U13" i="2"/>
  <c r="V96" i="2"/>
  <c r="V99" i="2" l="1"/>
  <c r="V13" i="2"/>
  <c r="W96" i="2"/>
  <c r="W99" i="2" l="1"/>
  <c r="W13" i="2"/>
  <c r="X96" i="2"/>
  <c r="O27" i="2"/>
  <c r="G23" i="2"/>
  <c r="O14" i="2"/>
  <c r="G45" i="2"/>
  <c r="G28" i="2" l="1"/>
  <c r="G35" i="2" s="1"/>
  <c r="G38" i="2" s="1"/>
  <c r="G11" i="2"/>
  <c r="G25" i="2"/>
  <c r="O11" i="2"/>
  <c r="O23" i="2"/>
  <c r="Y96" i="2"/>
  <c r="X99" i="2"/>
  <c r="X13" i="2"/>
  <c r="G40" i="2" l="1"/>
  <c r="G57" i="2"/>
  <c r="G39" i="2"/>
  <c r="G26" i="2"/>
  <c r="G44" i="2" s="1"/>
  <c r="O25" i="2"/>
  <c r="O26" i="2" s="1"/>
  <c r="O44" i="2" s="1"/>
  <c r="Z96" i="2"/>
  <c r="Y99" i="2"/>
  <c r="Y13" i="2"/>
  <c r="P14" i="2"/>
  <c r="O28" i="2"/>
  <c r="O35" i="2" s="1"/>
  <c r="G54" i="2" l="1"/>
  <c r="P23" i="2"/>
  <c r="P26" i="2" s="1"/>
  <c r="P44" i="2" s="1"/>
  <c r="P27" i="2"/>
  <c r="Z99" i="2"/>
  <c r="Z13" i="2"/>
  <c r="Q14" i="2"/>
  <c r="O36" i="2"/>
  <c r="O54" i="2"/>
  <c r="Q23" i="2" l="1"/>
  <c r="Q26" i="2" s="1"/>
  <c r="Q44" i="2" s="1"/>
  <c r="Q27" i="2"/>
  <c r="P28" i="2"/>
  <c r="P35" i="2" s="1"/>
  <c r="R14" i="2"/>
  <c r="R23" i="2" s="1"/>
  <c r="R26" i="2" s="1"/>
  <c r="O39" i="2"/>
  <c r="P54" i="2" l="1"/>
  <c r="R27" i="2"/>
  <c r="R28" i="2" s="1"/>
  <c r="R35" i="2" s="1"/>
  <c r="Q28" i="2"/>
  <c r="Q35" i="2" s="1"/>
  <c r="R44" i="2"/>
  <c r="S14" i="2"/>
  <c r="S23" i="2" s="1"/>
  <c r="S26" i="2" s="1"/>
  <c r="O72" i="2"/>
  <c r="Q54" i="2" l="1"/>
  <c r="P36" i="2"/>
  <c r="P39" i="2" s="1"/>
  <c r="S27" i="2"/>
  <c r="S28" i="2" s="1"/>
  <c r="S35" i="2" s="1"/>
  <c r="R54" i="2"/>
  <c r="S44" i="2"/>
  <c r="T14" i="2"/>
  <c r="T23" i="2" s="1"/>
  <c r="T26" i="2" s="1"/>
  <c r="U14" i="2" l="1"/>
  <c r="U23" i="2" s="1"/>
  <c r="U26" i="2" s="1"/>
  <c r="U44" i="2" s="1"/>
  <c r="P72" i="2"/>
  <c r="Q36" i="2" s="1"/>
  <c r="Q39" i="2" s="1"/>
  <c r="T27" i="2"/>
  <c r="T28" i="2" s="1"/>
  <c r="T35" i="2" s="1"/>
  <c r="S54" i="2"/>
  <c r="T44" i="2"/>
  <c r="U27" i="2" l="1"/>
  <c r="U28" i="2" s="1"/>
  <c r="U35" i="2" s="1"/>
  <c r="Q72" i="2"/>
  <c r="V14" i="2"/>
  <c r="V23" i="2" s="1"/>
  <c r="V26" i="2" s="1"/>
  <c r="T54" i="2"/>
  <c r="U54" i="2" l="1"/>
  <c r="V27" i="2"/>
  <c r="V28" i="2" s="1"/>
  <c r="V35" i="2" s="1"/>
  <c r="V44" i="2"/>
  <c r="W14" i="2"/>
  <c r="W23" i="2" s="1"/>
  <c r="W26" i="2" s="1"/>
  <c r="R36" i="2"/>
  <c r="W44" i="2" l="1"/>
  <c r="W27" i="2"/>
  <c r="W28" i="2" s="1"/>
  <c r="W35" i="2" s="1"/>
  <c r="X14" i="2"/>
  <c r="X23" i="2" s="1"/>
  <c r="X26" i="2" s="1"/>
  <c r="V54" i="2"/>
  <c r="R39" i="2"/>
  <c r="R72" i="2"/>
  <c r="W54" i="2" l="1"/>
  <c r="X27" i="2"/>
  <c r="X28" i="2" s="1"/>
  <c r="X35" i="2" s="1"/>
  <c r="X44" i="2"/>
  <c r="Z14" i="2"/>
  <c r="Z23" i="2" s="1"/>
  <c r="Z26" i="2" s="1"/>
  <c r="Y14" i="2"/>
  <c r="Y23" i="2" s="1"/>
  <c r="Y26" i="2" s="1"/>
  <c r="X54" i="2" l="1"/>
  <c r="Y44" i="2"/>
  <c r="Y27" i="2"/>
  <c r="Y28" i="2" s="1"/>
  <c r="Y35" i="2" s="1"/>
  <c r="Z27" i="2"/>
  <c r="Z28" i="2" s="1"/>
  <c r="Z35" i="2" s="1"/>
  <c r="Z44" i="2"/>
  <c r="S36" i="2"/>
  <c r="Z54" i="2" l="1"/>
  <c r="Y54" i="2"/>
  <c r="S39" i="2"/>
  <c r="S72" i="2"/>
  <c r="T36" i="2" l="1"/>
  <c r="T39" i="2" l="1"/>
  <c r="T72" i="2"/>
  <c r="U36" i="2" l="1"/>
  <c r="U39" i="2" l="1"/>
  <c r="U72" i="2"/>
  <c r="V36" i="2" l="1"/>
  <c r="V39" i="2" l="1"/>
  <c r="V72" i="2"/>
  <c r="W36" i="2" l="1"/>
  <c r="W39" i="2" l="1"/>
  <c r="W72" i="2"/>
  <c r="X36" i="2" l="1"/>
  <c r="X39" i="2" l="1"/>
  <c r="X72" i="2"/>
  <c r="Y36" i="2" l="1"/>
  <c r="Y39" i="2" l="1"/>
  <c r="Y72" i="2"/>
  <c r="Z36" i="2" l="1"/>
  <c r="Z39" i="2" l="1"/>
  <c r="Z72" i="2"/>
  <c r="AB58" i="2" l="1"/>
  <c r="AB60" i="2" s="1"/>
</calcChain>
</file>

<file path=xl/sharedStrings.xml><?xml version="1.0" encoding="utf-8"?>
<sst xmlns="http://schemas.openxmlformats.org/spreadsheetml/2006/main" count="169" uniqueCount="139">
  <si>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</si>
  <si>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</si>
  <si>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</si>
  <si>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</si>
  <si>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</si>
  <si>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</si>
  <si>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</si>
  <si>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</si>
  <si>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</si>
  <si>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</si>
  <si>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</si>
  <si>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</si>
  <si>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</si>
  <si>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</si>
  <si>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</si>
  <si>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</si>
  <si>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</si>
  <si>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SBC</t>
  </si>
  <si>
    <t>Inventory</t>
  </si>
  <si>
    <t>Non-Cash Interest</t>
  </si>
  <si>
    <t>WC</t>
  </si>
  <si>
    <t>CFFO</t>
  </si>
  <si>
    <t>AR</t>
  </si>
  <si>
    <t>Prepaids</t>
  </si>
  <si>
    <t>Operating Lease</t>
  </si>
  <si>
    <t>Energy Systems</t>
  </si>
  <si>
    <t>PP&amp;E</t>
  </si>
  <si>
    <t>Operating Lease ROU</t>
  </si>
  <si>
    <t>Digital Assets</t>
  </si>
  <si>
    <t>Goodwill</t>
  </si>
  <si>
    <t>ONCA</t>
  </si>
  <si>
    <t>Assets</t>
  </si>
  <si>
    <t>AP</t>
  </si>
  <si>
    <t>AL</t>
  </si>
  <si>
    <t>DR</t>
  </si>
  <si>
    <t>Customer Deposits</t>
  </si>
  <si>
    <t>OLTL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</si>
  <si>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</si>
  <si>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</si>
  <si>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</si>
  <si>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</si>
  <si>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</si>
  <si>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</si>
  <si>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</si>
  <si>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</si>
  <si>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</si>
  <si>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</si>
  <si>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</si>
  <si>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</si>
  <si>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</si>
  <si>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</si>
  <si>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</si>
  <si>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</si>
  <si>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</si>
  <si>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</si>
  <si>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</si>
  <si>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</si>
  <si>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</si>
  <si>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</si>
  <si>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</si>
  <si>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</si>
  <si>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</si>
  <si>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</si>
  <si>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</si>
  <si>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Q124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</si>
  <si>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</si>
  <si>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</si>
  <si>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</si>
  <si>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</si>
  <si>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</si>
  <si>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</si>
  <si>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</si>
  <si>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</si>
  <si>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FSD DR</t>
  </si>
  <si>
    <t>Buffalo</t>
  </si>
  <si>
    <t>Lahtrop, CA</t>
  </si>
  <si>
    <t>FSD DR Additions</t>
  </si>
  <si>
    <t>FSD DR RevRec</t>
  </si>
  <si>
    <t>Estimated FSD users added</t>
  </si>
  <si>
    <t>FSD DR y/y</t>
  </si>
  <si>
    <t>FSD penetration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</si>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</sst>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0.0%"/>
    <numFmt numFmtId="165" formatCode="_(* #,##0.0_);_(* \(#,##0.0\);_(* &quot;-&quot;?_);_(@_)"/>
  </numFmts>
  <fonts count="1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1" applyFont="1"/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9" fontId="4" fillId="0" borderId="0" xfId="0" applyNumberFormat="1" applyFont="1"/>
    <xf numFmtId="4" fontId="4" fillId="0" borderId="0" xfId="0" applyNumberFormat="1" applyFont="1"/>
    <xf numFmtId="9" fontId="4" fillId="0" borderId="0" xfId="0" applyNumberFormat="1" applyFont="1" applyAlignment="1">
      <alignment horizontal="right"/>
    </xf>
    <xf numFmtId="0" fontId="7" fillId="0" borderId="0" xfId="1" applyFont="1"/>
    <xf numFmtId="0" fontId="8" fillId="0" borderId="0" xfId="0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8" fillId="0" borderId="1" xfId="0" applyFont="1" applyBorder="1"/>
    <xf numFmtId="0" fontId="11" fillId="0" borderId="1" xfId="3" applyFont="1" applyBorder="1"/>
    <xf numFmtId="0" fontId="12" fillId="0" borderId="1" xfId="3" applyFont="1" applyBorder="1"/>
    <xf numFmtId="0" fontId="13" fillId="0" borderId="1" xfId="3" applyFont="1" applyBorder="1"/>
    <xf numFmtId="0" fontId="13" fillId="0" borderId="0" xfId="3" applyFont="1"/>
    <xf numFmtId="0" fontId="15" fillId="0" borderId="0" xfId="3" applyFont="1"/>
    <xf numFmtId="0" fontId="13" fillId="0" borderId="0" xfId="3" applyFont="1" applyAlignment="1">
      <alignment horizontal="center"/>
    </xf>
    <xf numFmtId="0" fontId="13" fillId="0" borderId="1" xfId="3" applyFont="1" applyBorder="1" applyAlignment="1">
      <alignment horizontal="center"/>
    </xf>
    <xf numFmtId="0" fontId="13" fillId="0" borderId="0" xfId="3" applyFont="1" applyAlignment="1">
      <alignment horizontal="left"/>
    </xf>
    <xf numFmtId="165" fontId="13" fillId="0" borderId="0" xfId="4" applyNumberFormat="1" applyFont="1" applyFill="1" applyAlignment="1">
      <alignment horizontal="right"/>
    </xf>
    <xf numFmtId="165" fontId="13" fillId="0" borderId="0" xfId="3" applyNumberFormat="1" applyFont="1"/>
    <xf numFmtId="9" fontId="13" fillId="0" borderId="0" xfId="5" applyFont="1" applyFill="1"/>
    <xf numFmtId="9" fontId="13" fillId="0" borderId="0" xfId="2" applyFont="1"/>
    <xf numFmtId="10" fontId="13" fillId="0" borderId="0" xfId="2" applyNumberFormat="1" applyFont="1"/>
    <xf numFmtId="0" fontId="12" fillId="0" borderId="0" xfId="3" applyFont="1" applyAlignment="1">
      <alignment vertical="center"/>
    </xf>
    <xf numFmtId="0" fontId="16" fillId="0" borderId="0" xfId="1" applyFont="1"/>
    <xf numFmtId="3" fontId="8" fillId="0" borderId="0" xfId="0" applyNumberFormat="1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0" borderId="0" xfId="0" applyNumberFormat="1" applyFont="1"/>
    <xf numFmtId="2" fontId="8" fillId="0" borderId="0" xfId="0" applyNumberFormat="1" applyFont="1" applyAlignment="1">
      <alignment horizontal="right"/>
    </xf>
    <xf numFmtId="4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18" fillId="0" borderId="0" xfId="0" applyNumberFormat="1" applyFont="1" applyAlignment="1">
      <alignment horizontal="right"/>
    </xf>
    <xf numFmtId="9" fontId="18" fillId="0" borderId="0" xfId="0" applyNumberFormat="1" applyFont="1"/>
    <xf numFmtId="164" fontId="8" fillId="0" borderId="0" xfId="0" applyNumberFormat="1" applyFont="1"/>
    <xf numFmtId="0" fontId="17" fillId="2" borderId="0" xfId="1" applyFont="1" applyFill="1"/>
  </cellXfs>
  <cellStyles count="6">
    <cellStyle name="Comma 4" xfId="4" xr:uid="{53160A16-4E56-4B37-B3A7-EE75BE0E2D5E}"/>
    <cellStyle name="Hyperlink" xfId="1" builtinId="8"/>
    <cellStyle name="Normal" xfId="0" builtinId="0"/>
    <cellStyle name="Normal 2" xfId="3" xr:uid="{D5FB3390-BAE4-4B58-BD02-26EA2F228DEC}"/>
    <cellStyle name="Percent" xfId="2" builtinId="5"/>
    <cellStyle name="Percent 3" xfId="5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665604</xdr:colOff>
      <xdr:row>0</xdr:row>
      <xdr:rowOff>0</xdr:rowOff>
    </xdr:from>
    <xdr:to>
      <xdr:col>7</xdr:col>
      <xdr:colOff>11735</xdr:colOff>
      <xdr:row>114</xdr:row>
      <xdr:rowOff>69705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C9F4EFC-85A1-B100-118E-835840BA6272}"/>
            </a:ext>
          </a:extLst>
        </xdr:cNvPr>
        <xdr:cNvCxnSpPr>
          <a:cxnSpLocks/>
        </xdr:cNvCxnSpPr>
      </xdr:nvCxnSpPr>
      <xdr:spPr>
        <a:xfrm>
          <a:off x="6183239" y="0"/>
          <a:ext cx="15455" cy="246888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21322</xdr:colOff>
      <xdr:row>0</xdr:row>
      <xdr:rowOff>0</xdr:rowOff>
    </xdr:from>
    <xdr:to>
      <xdr:col>14</xdr:col>
      <xdr:colOff>21322</xdr:colOff>
      <xdr:row>105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28857006" y="0"/>
          <a:ext cx="0" cy="195914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zoomScale="135" zoomScaleNormal="205" workbookViewId="0">
      <selection activeCell="C5" sqref="C5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102</v>
      </c>
      <c r="C2" s="15"/>
      <c r="J2" s="15" t="s">
        <v>0</v>
      </c>
      <c r="K2" s="16">
        <v>400.09</v>
      </c>
    </row>
    <row r="3" spans="2:12">
      <c r="B3" s="15" t="s">
        <v>81</v>
      </c>
      <c r="C3" s="15" t="s">
        <v>82</v>
      </c>
      <c r="J3" s="15" t="s">
        <v>1</v>
      </c>
      <c r="K3" s="14">
        <v>273.60000000000002</v>
      </c>
      <c r="L3" s="13" t="s">
        <v>66</v>
      </c>
    </row>
    <row r="4" spans="2:12">
      <c r="B4" s="15" t="s">
        <v>83</v>
      </c>
      <c r="D4" s="2" t="s">
        <v>103</v>
      </c>
      <c r="J4" s="15" t="s">
        <v>2</v>
      </c>
      <c r="K4" s="14">
        <f>K2*K3</f>
        <v>109464.624</v>
      </c>
    </row>
    <row r="5" spans="2:12">
      <c r="B5" s="15" t="s">
        <v>84</v>
      </c>
      <c r="C5" s="15"/>
      <c r="J5" s="15" t="s">
        <v>3</v>
      </c>
      <c r="K5" s="14">
        <f>7004+1140</f>
        <v>8144</v>
      </c>
      <c r="L5" s="13" t="s">
        <v>66</v>
      </c>
    </row>
    <row r="6" spans="2:12">
      <c r="B6" s="15" t="s">
        <v>85</v>
      </c>
      <c r="C6" s="15"/>
      <c r="J6" s="15" t="s">
        <v>4</v>
      </c>
      <c r="K6" s="14">
        <f>15294+42692</f>
        <v>57986</v>
      </c>
      <c r="L6" s="13" t="s">
        <v>66</v>
      </c>
    </row>
    <row r="7" spans="2:12">
      <c r="B7" s="15" t="s">
        <v>86</v>
      </c>
      <c r="C7" s="15"/>
      <c r="J7" s="15" t="s">
        <v>5</v>
      </c>
      <c r="K7" s="14">
        <f>K4-K5+K6</f>
        <v>159306.62400000001</v>
      </c>
    </row>
    <row r="8" spans="2:12">
      <c r="B8" s="15" t="s">
        <v>87</v>
      </c>
      <c r="C8" s="15"/>
    </row>
    <row r="9" spans="2:12">
      <c r="B9" s="15" t="s">
        <v>88</v>
      </c>
      <c r="C9" s="15"/>
    </row>
    <row r="10" spans="2:12">
      <c r="B10" s="15" t="s">
        <v>89</v>
      </c>
      <c r="C10" s="15"/>
    </row>
    <row r="11" spans="2:12">
      <c r="B11" s="15" t="s">
        <v>90</v>
      </c>
      <c r="C11" s="15"/>
    </row>
    <row r="13" spans="2:12">
      <c r="B13" s="17" t="s">
        <v>91</v>
      </c>
    </row>
    <row r="14" spans="2:12">
      <c r="B14" s="15" t="s">
        <v>92</v>
      </c>
    </row>
    <row r="15" spans="2:12">
      <c r="B15" s="15" t="s">
        <v>93</v>
      </c>
    </row>
    <row r="16" spans="2:12">
      <c r="B16" s="15" t="s">
        <v>94</v>
      </c>
    </row>
    <row r="17" spans="2:2">
      <c r="B17" s="15" t="s">
        <v>95</v>
      </c>
    </row>
    <row r="18" spans="2:2">
      <c r="B18" s="15" t="s">
        <v>96</v>
      </c>
    </row>
    <row r="19" spans="2:2">
      <c r="B19" s="15" t="s">
        <v>97</v>
      </c>
    </row>
    <row r="20" spans="2:2">
      <c r="B20" s="15" t="s">
        <v>98</v>
      </c>
    </row>
    <row r="21" spans="2:2">
      <c r="B21" s="15" t="s">
        <v>99</v>
      </c>
    </row>
    <row r="22" spans="2:2">
      <c r="B22" s="15" t="s">
        <v>100</v>
      </c>
    </row>
    <row r="23" spans="2:2">
      <c r="B23" s="15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F18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6">
      <c r="A1" s="18" t="s">
        <v>104</v>
      </c>
      <c r="B1" s="19"/>
      <c r="C1" s="19"/>
      <c r="D1" s="20"/>
      <c r="E1" s="19"/>
      <c r="F1" s="20"/>
    </row>
    <row r="2" spans="1:6" ht="16.5">
      <c r="A2" s="21"/>
      <c r="B2" s="18" t="s">
        <v>113</v>
      </c>
      <c r="C2" s="20"/>
      <c r="D2" s="20"/>
      <c r="E2" s="20"/>
      <c r="F2" s="20"/>
    </row>
    <row r="3" spans="1:6">
      <c r="A3" s="21"/>
      <c r="B3" s="21"/>
      <c r="C3" s="21"/>
      <c r="D3" s="21"/>
      <c r="E3" s="21"/>
      <c r="F3" s="21"/>
    </row>
    <row r="4" spans="1:6">
      <c r="A4" s="22"/>
      <c r="B4" s="23"/>
      <c r="C4" s="23" t="s">
        <v>105</v>
      </c>
      <c r="D4" s="23" t="s">
        <v>106</v>
      </c>
      <c r="E4" s="23" t="s">
        <v>107</v>
      </c>
      <c r="F4" s="21"/>
    </row>
    <row r="5" spans="1:6">
      <c r="A5" s="22"/>
      <c r="B5" s="24" t="s">
        <v>108</v>
      </c>
      <c r="C5" s="24" t="s">
        <v>109</v>
      </c>
      <c r="D5" s="24" t="s">
        <v>110</v>
      </c>
      <c r="E5" s="24" t="s">
        <v>111</v>
      </c>
      <c r="F5" s="21"/>
    </row>
    <row r="6" spans="1:6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  <c r="F6" s="21"/>
    </row>
    <row r="7" spans="1:6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  <c r="F7" s="21"/>
    </row>
    <row r="8" spans="1:6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  <c r="F8" s="21"/>
    </row>
    <row r="9" spans="1:6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  <c r="F9" s="29"/>
    </row>
    <row r="10" spans="1:6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  <c r="F10" s="29"/>
    </row>
    <row r="11" spans="1:6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  <c r="F11" s="29"/>
    </row>
    <row r="12" spans="1:6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  <c r="F12" s="29"/>
    </row>
    <row r="13" spans="1:6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  <c r="F13" s="29"/>
    </row>
    <row r="14" spans="1:6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  <c r="F14" s="30"/>
    </row>
    <row r="15" spans="1:6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  <c r="F15" s="29"/>
    </row>
    <row r="16" spans="1:6">
      <c r="A16" s="21"/>
      <c r="B16" s="21"/>
      <c r="C16" s="21"/>
      <c r="D16" s="21"/>
      <c r="E16" s="21"/>
      <c r="F16" s="29"/>
    </row>
    <row r="17" spans="1:6">
      <c r="A17" s="21"/>
      <c r="B17" s="31" t="s">
        <v>112</v>
      </c>
      <c r="C17" s="21"/>
      <c r="D17" s="21"/>
      <c r="E17" s="21"/>
      <c r="F17" s="21"/>
    </row>
    <row r="18" spans="1:6">
      <c r="A18" s="21"/>
      <c r="B18" s="21"/>
      <c r="C18" s="21"/>
      <c r="D18" s="21"/>
      <c r="E18" s="21"/>
      <c r="F1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D101"/>
  <sheetViews>
    <sheetView tabSelected="1" zoomScale="43" zoomScaleNormal="77"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H58" sqref="H58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4" width="9.1796875" style="4"/>
    <col min="5" max="8" width="9.54296875" style="4" customWidth="1"/>
    <col min="9" max="12" width="8.453125" style="4" customWidth="1"/>
    <col min="13" max="13" width="9.1796875" style="2"/>
    <col min="14" max="14" width="9.7265625" style="2" customWidth="1"/>
    <col min="15" max="15" width="10.7265625" style="2" customWidth="1"/>
    <col min="16" max="26" width="9.7265625" style="2" customWidth="1"/>
    <col min="27" max="27" width="9.1796875" style="2"/>
    <col min="28" max="28" width="9.54296875" style="2" customWidth="1"/>
    <col min="29" max="16384" width="9.1796875" style="2"/>
  </cols>
  <sheetData>
    <row r="1" spans="1:26">
      <c r="A1" s="5" t="s">
        <v>6</v>
      </c>
    </row>
    <row r="2" spans="1:26" s="15" customFormat="1">
      <c r="A2" s="32"/>
      <c r="C2" s="13" t="s">
        <v>43</v>
      </c>
      <c r="D2" s="13" t="s">
        <v>44</v>
      </c>
      <c r="E2" s="13" t="s">
        <v>64</v>
      </c>
      <c r="F2" s="13" t="s">
        <v>65</v>
      </c>
      <c r="G2" s="13" t="s">
        <v>66</v>
      </c>
      <c r="H2" s="13" t="s">
        <v>67</v>
      </c>
      <c r="I2" s="13" t="s">
        <v>68</v>
      </c>
      <c r="J2" s="13" t="s">
        <v>69</v>
      </c>
      <c r="K2" s="13" t="s">
        <v>70</v>
      </c>
      <c r="L2" s="13" t="s">
        <v>71</v>
      </c>
      <c r="N2" s="15" t="e">
        <f>+#REF!+1</f>
        <v>#REF!</v>
      </c>
      <c r="O2" s="15" t="e">
        <f>+N2+1</f>
        <v>#REF!</v>
      </c>
      <c r="P2" s="15" t="e">
        <f t="shared" ref="P2" si="0">+O2+1</f>
        <v>#REF!</v>
      </c>
      <c r="Q2" s="15" t="e">
        <f t="shared" ref="Q2" si="1">+P2+1</f>
        <v>#REF!</v>
      </c>
      <c r="R2" s="15" t="e">
        <f t="shared" ref="R2" si="2">+Q2+1</f>
        <v>#REF!</v>
      </c>
      <c r="S2" s="15" t="e">
        <f t="shared" ref="S2" si="3">+R2+1</f>
        <v>#REF!</v>
      </c>
      <c r="T2" s="15" t="e">
        <f t="shared" ref="T2" si="4">+S2+1</f>
        <v>#REF!</v>
      </c>
      <c r="U2" s="15" t="e">
        <f t="shared" ref="U2" si="5">+T2+1</f>
        <v>#REF!</v>
      </c>
      <c r="V2" s="15" t="e">
        <f>+U2+1</f>
        <v>#REF!</v>
      </c>
      <c r="W2" s="15" t="e">
        <f>+V2+1</f>
        <v>#REF!</v>
      </c>
      <c r="X2" s="15" t="e">
        <f>+W2+1</f>
        <v>#REF!</v>
      </c>
      <c r="Y2" s="15" t="e">
        <f>+X2+1</f>
        <v>#REF!</v>
      </c>
      <c r="Z2" s="15" t="e">
        <f>+Y2+1</f>
        <v>#REF!</v>
      </c>
    </row>
    <row r="3" spans="1:26">
      <c r="A3" s="5"/>
      <c r="B3" s="2" t="s">
        <v>72</v>
      </c>
      <c r="E3" s="6"/>
      <c r="F3" s="6"/>
    </row>
    <row r="4" spans="1:26">
      <c r="A4" s="5"/>
      <c r="B4" s="15" t="s">
        <v>114</v>
      </c>
      <c r="E4" s="6"/>
      <c r="F4" s="6"/>
    </row>
    <row r="5" spans="1:26">
      <c r="A5" s="5"/>
      <c r="B5" s="15" t="s">
        <v>116</v>
      </c>
      <c r="E5" s="6"/>
      <c r="F5" s="6"/>
    </row>
    <row r="6" spans="1:26">
      <c r="A6" s="5"/>
      <c r="B6" s="15" t="s">
        <v>117</v>
      </c>
      <c r="E6" s="6"/>
      <c r="F6" s="6"/>
    </row>
    <row r="7" spans="1:26">
      <c r="A7" s="5"/>
      <c r="B7" s="15" t="s">
        <v>118</v>
      </c>
      <c r="E7" s="6"/>
      <c r="F7" s="6"/>
    </row>
    <row r="8" spans="1:26">
      <c r="A8" s="5"/>
      <c r="B8" s="15" t="s">
        <v>119</v>
      </c>
      <c r="E8" s="6"/>
      <c r="F8" s="6"/>
    </row>
    <row r="9" spans="1:26">
      <c r="A9" s="5"/>
      <c r="B9" s="15" t="s">
        <v>120</v>
      </c>
      <c r="E9" s="6"/>
      <c r="F9" s="6"/>
    </row>
    <row r="10" spans="1:26">
      <c r="A10" s="5"/>
      <c r="B10" s="15" t="s">
        <v>121</v>
      </c>
      <c r="E10" s="6"/>
      <c r="F10" s="6"/>
    </row>
    <row r="11" spans="1:26" s="34" customFormat="1" ht="13">
      <c r="A11" s="44" t="s">
        <v>136</v>
      </c>
      <c r="B11" s="34" t="s">
        <v>115</v>
      </c>
      <c r="C11" s="36">
        <f>+C23</f>
        <v>15801</v>
      </c>
      <c r="D11" s="36">
        <f t="shared" ref="D11:G11" si="6">+D23</f>
        <v>0</v>
      </c>
      <c r="E11" s="36">
        <f t="shared" si="6"/>
        <v>0</v>
      </c>
      <c r="F11" s="36">
        <f t="shared" si="6"/>
        <v>0</v>
      </c>
      <c r="G11" s="36">
        <f t="shared" si="6"/>
        <v>13152</v>
      </c>
      <c r="H11" s="35"/>
      <c r="I11" s="35"/>
      <c r="J11" s="35"/>
      <c r="K11" s="35"/>
      <c r="L11" s="35"/>
      <c r="N11" s="37">
        <f>+N14</f>
        <v>6721</v>
      </c>
      <c r="O11" s="37" t="e">
        <f>+O14</f>
        <v>#REF!</v>
      </c>
    </row>
    <row r="12" spans="1:26">
      <c r="A12" s="5"/>
      <c r="C12" s="33"/>
      <c r="D12" s="6"/>
      <c r="E12" s="6"/>
      <c r="F12" s="6"/>
    </row>
    <row r="13" spans="1:26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N13" s="9"/>
      <c r="O13" s="3" t="e">
        <f>+O96-N96</f>
        <v>#REF!</v>
      </c>
      <c r="P13" s="3" t="e">
        <f>+P96-$N$96</f>
        <v>#REF!</v>
      </c>
      <c r="Q13" s="3" t="e">
        <f t="shared" ref="Q13:Z13" si="7">+Q96-$N$96</f>
        <v>#REF!</v>
      </c>
      <c r="R13" s="3" t="e">
        <f t="shared" si="7"/>
        <v>#REF!</v>
      </c>
      <c r="S13" s="3" t="e">
        <f t="shared" si="7"/>
        <v>#REF!</v>
      </c>
      <c r="T13" s="3" t="e">
        <f t="shared" si="7"/>
        <v>#REF!</v>
      </c>
      <c r="U13" s="3" t="e">
        <f t="shared" si="7"/>
        <v>#REF!</v>
      </c>
      <c r="V13" s="3" t="e">
        <f t="shared" si="7"/>
        <v>#REF!</v>
      </c>
      <c r="W13" s="3" t="e">
        <f t="shared" si="7"/>
        <v>#REF!</v>
      </c>
      <c r="X13" s="3" t="e">
        <f t="shared" si="7"/>
        <v>#REF!</v>
      </c>
      <c r="Y13" s="3" t="e">
        <f t="shared" si="7"/>
        <v>#REF!</v>
      </c>
      <c r="Z13" s="3" t="e">
        <f t="shared" si="7"/>
        <v>#REF!</v>
      </c>
    </row>
    <row r="14" spans="1:26" s="3" customFormat="1">
      <c r="A14" s="14"/>
      <c r="B14" s="14" t="s">
        <v>122</v>
      </c>
      <c r="C14" s="33">
        <v>6721</v>
      </c>
      <c r="D14" s="33"/>
      <c r="E14" s="33"/>
      <c r="F14" s="33"/>
      <c r="G14" s="33">
        <v>5038</v>
      </c>
      <c r="H14" s="6" t="e">
        <f>+#REF!*#REF!/1000000</f>
        <v>#REF!</v>
      </c>
      <c r="I14" s="6"/>
      <c r="J14" s="6"/>
      <c r="K14" s="6"/>
      <c r="L14" s="6"/>
      <c r="N14" s="3">
        <f>SUM(C14:D14)</f>
        <v>6721</v>
      </c>
      <c r="O14" s="3" t="e">
        <f>SUM(E14:H14)</f>
        <v>#REF!</v>
      </c>
      <c r="P14" s="3" t="e">
        <f>#REF!*#REF!/1000000</f>
        <v>#REF!</v>
      </c>
      <c r="Q14" s="3" t="e">
        <f>#REF!*#REF!/1000000</f>
        <v>#REF!</v>
      </c>
      <c r="R14" s="3" t="e">
        <f>#REF!*#REF!/1000000</f>
        <v>#REF!</v>
      </c>
      <c r="S14" s="3" t="e">
        <f>#REF!*#REF!/1000000</f>
        <v>#REF!</v>
      </c>
      <c r="T14" s="3" t="e">
        <f>#REF!*#REF!/1000000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</row>
    <row r="15" spans="1:26" s="3" customFormat="1">
      <c r="A15" s="14"/>
      <c r="B15" s="14" t="s">
        <v>83</v>
      </c>
      <c r="C15" s="33">
        <v>2688</v>
      </c>
      <c r="D15" s="33"/>
      <c r="E15" s="33"/>
      <c r="F15" s="33"/>
      <c r="G15" s="33">
        <v>2168</v>
      </c>
      <c r="H15" s="6">
        <f t="shared" ref="H15:H22" si="8">+D15</f>
        <v>0</v>
      </c>
      <c r="I15" s="6"/>
      <c r="J15" s="6"/>
      <c r="K15" s="6"/>
      <c r="L15" s="6"/>
      <c r="N15" s="3">
        <f>SUM(C15:D15)</f>
        <v>2688</v>
      </c>
      <c r="O15" s="3">
        <f>SUM(E15:H15)</f>
        <v>2168</v>
      </c>
    </row>
    <row r="16" spans="1:26" s="3" customFormat="1">
      <c r="A16" s="14"/>
      <c r="B16" s="14" t="s">
        <v>84</v>
      </c>
      <c r="C16" s="33">
        <v>964</v>
      </c>
      <c r="D16" s="33"/>
      <c r="E16" s="33"/>
      <c r="F16" s="33"/>
      <c r="G16" s="33">
        <v>825</v>
      </c>
      <c r="H16" s="6"/>
      <c r="I16" s="6"/>
      <c r="J16" s="6"/>
      <c r="K16" s="6"/>
      <c r="L16" s="6"/>
    </row>
    <row r="17" spans="1:26" s="3" customFormat="1">
      <c r="A17" s="14"/>
      <c r="B17" s="14" t="s">
        <v>85</v>
      </c>
      <c r="C17" s="33">
        <v>1745</v>
      </c>
      <c r="D17" s="33"/>
      <c r="E17" s="33"/>
      <c r="F17" s="33"/>
      <c r="G17" s="33">
        <v>1308</v>
      </c>
      <c r="H17" s="6"/>
      <c r="I17" s="6"/>
      <c r="J17" s="6"/>
      <c r="K17" s="6"/>
      <c r="L17" s="6"/>
    </row>
    <row r="18" spans="1:26" s="3" customFormat="1">
      <c r="A18" s="14"/>
      <c r="B18" s="14" t="s">
        <v>123</v>
      </c>
      <c r="C18" s="33">
        <v>614</v>
      </c>
      <c r="D18" s="33"/>
      <c r="E18" s="33"/>
      <c r="F18" s="33"/>
      <c r="G18" s="33">
        <v>643</v>
      </c>
      <c r="H18" s="6"/>
      <c r="I18" s="6"/>
      <c r="J18" s="6"/>
      <c r="K18" s="6"/>
      <c r="L18" s="6"/>
    </row>
    <row r="19" spans="1:26" s="3" customFormat="1">
      <c r="A19" s="14"/>
      <c r="B19" s="14" t="s">
        <v>87</v>
      </c>
      <c r="C19" s="33">
        <v>987</v>
      </c>
      <c r="D19" s="33"/>
      <c r="E19" s="33"/>
      <c r="F19" s="33"/>
      <c r="G19" s="33">
        <v>961</v>
      </c>
      <c r="H19" s="6"/>
      <c r="I19" s="6"/>
      <c r="J19" s="6"/>
      <c r="K19" s="6"/>
      <c r="L19" s="6"/>
    </row>
    <row r="20" spans="1:26" s="3" customFormat="1">
      <c r="A20" s="14"/>
      <c r="B20" s="14" t="s">
        <v>88</v>
      </c>
      <c r="C20" s="33">
        <v>334</v>
      </c>
      <c r="D20" s="33"/>
      <c r="E20" s="33"/>
      <c r="F20" s="33"/>
      <c r="G20" s="33">
        <v>269</v>
      </c>
      <c r="H20" s="6"/>
      <c r="I20" s="6"/>
      <c r="J20" s="6"/>
      <c r="K20" s="6"/>
      <c r="L20" s="6"/>
    </row>
    <row r="21" spans="1:26" s="3" customFormat="1">
      <c r="A21" s="14"/>
      <c r="B21" s="14" t="s">
        <v>89</v>
      </c>
      <c r="C21" s="33">
        <v>1360</v>
      </c>
      <c r="D21" s="33"/>
      <c r="E21" s="33"/>
      <c r="F21" s="33"/>
      <c r="G21" s="33">
        <v>1595</v>
      </c>
      <c r="H21" s="6"/>
      <c r="I21" s="6"/>
      <c r="J21" s="6"/>
      <c r="K21" s="6"/>
      <c r="L21" s="6"/>
    </row>
    <row r="22" spans="1:26" s="3" customFormat="1">
      <c r="A22" s="14"/>
      <c r="B22" s="14" t="s">
        <v>90</v>
      </c>
      <c r="C22" s="33">
        <v>388</v>
      </c>
      <c r="D22" s="33"/>
      <c r="E22" s="33"/>
      <c r="F22" s="33"/>
      <c r="G22" s="33">
        <v>345</v>
      </c>
      <c r="H22" s="6">
        <f t="shared" si="8"/>
        <v>0</v>
      </c>
      <c r="I22" s="6"/>
      <c r="J22" s="6"/>
      <c r="K22" s="6"/>
      <c r="L22" s="6"/>
      <c r="N22" s="3">
        <f>SUM(C22:D22)</f>
        <v>388</v>
      </c>
      <c r="O22" s="3">
        <f>SUM(E22:H22)</f>
        <v>345</v>
      </c>
    </row>
    <row r="23" spans="1:26" s="8" customFormat="1" ht="13">
      <c r="A23" s="37"/>
      <c r="B23" s="37" t="s">
        <v>124</v>
      </c>
      <c r="C23" s="36">
        <f t="shared" ref="C23:H23" si="9">SUM(C14:C22)</f>
        <v>15801</v>
      </c>
      <c r="D23" s="36"/>
      <c r="E23" s="36"/>
      <c r="F23" s="36"/>
      <c r="G23" s="36">
        <f>SUM(G14:G22)</f>
        <v>13152</v>
      </c>
      <c r="H23" s="7" t="e">
        <f t="shared" si="9"/>
        <v>#REF!</v>
      </c>
      <c r="I23" s="7"/>
      <c r="J23" s="7"/>
      <c r="K23" s="7"/>
      <c r="L23" s="7"/>
      <c r="N23" s="8">
        <f>SUM(N14:N22)</f>
        <v>9797</v>
      </c>
      <c r="O23" s="8" t="e">
        <f>O14+O15+O22</f>
        <v>#REF!</v>
      </c>
      <c r="P23" s="8" t="e">
        <f>P14+P15+P22</f>
        <v>#REF!</v>
      </c>
      <c r="Q23" s="8" t="e">
        <f>Q14+Q15+Q22</f>
        <v>#REF!</v>
      </c>
      <c r="R23" s="8" t="e">
        <f>R14+R15+R22</f>
        <v>#REF!</v>
      </c>
      <c r="S23" s="8" t="e">
        <f>S14+S15+S22</f>
        <v>#REF!</v>
      </c>
      <c r="T23" s="8" t="e">
        <f t="shared" ref="T23:Z23" si="10">T14+T15+T22</f>
        <v>#REF!</v>
      </c>
      <c r="U23" s="8" t="e">
        <f t="shared" si="10"/>
        <v>#REF!</v>
      </c>
      <c r="V23" s="8" t="e">
        <f t="shared" si="10"/>
        <v>#REF!</v>
      </c>
      <c r="W23" s="8" t="e">
        <f t="shared" si="10"/>
        <v>#REF!</v>
      </c>
      <c r="X23" s="8" t="e">
        <f t="shared" si="10"/>
        <v>#REF!</v>
      </c>
      <c r="Y23" s="8" t="e">
        <f t="shared" si="10"/>
        <v>#REF!</v>
      </c>
      <c r="Z23" s="8" t="e">
        <f t="shared" si="10"/>
        <v>#REF!</v>
      </c>
    </row>
    <row r="24" spans="1:26" s="3" customFormat="1">
      <c r="A24" s="14"/>
      <c r="B24" s="14" t="s">
        <v>125</v>
      </c>
      <c r="C24" s="33">
        <v>8698</v>
      </c>
      <c r="D24" s="33"/>
      <c r="E24" s="33"/>
      <c r="F24" s="33"/>
      <c r="G24" s="33">
        <v>7706</v>
      </c>
      <c r="H24" s="6">
        <f t="shared" ref="H24:H25" si="11">+D24</f>
        <v>0</v>
      </c>
      <c r="I24" s="6"/>
      <c r="J24" s="6"/>
      <c r="K24" s="6"/>
      <c r="L24" s="6"/>
      <c r="N24" s="3">
        <f>SUM(C24:D24)</f>
        <v>8698</v>
      </c>
      <c r="O24" s="3">
        <f>SUM(E24:H24)</f>
        <v>7706</v>
      </c>
    </row>
    <row r="25" spans="1:26" s="3" customFormat="1">
      <c r="A25" s="14"/>
      <c r="B25" s="14" t="s">
        <v>126</v>
      </c>
      <c r="C25" s="33">
        <f>C23-C24</f>
        <v>7103</v>
      </c>
      <c r="D25" s="33"/>
      <c r="E25" s="33"/>
      <c r="F25" s="33"/>
      <c r="G25" s="33">
        <f>G23-G24</f>
        <v>5446</v>
      </c>
      <c r="H25" s="6">
        <f t="shared" si="11"/>
        <v>0</v>
      </c>
      <c r="I25" s="6"/>
      <c r="J25" s="6"/>
      <c r="K25" s="6"/>
      <c r="L25" s="6"/>
      <c r="N25" s="3">
        <f>SUM(C25:D25)</f>
        <v>7103</v>
      </c>
      <c r="O25" s="3">
        <f>SUM(E25:H25)</f>
        <v>5446</v>
      </c>
    </row>
    <row r="26" spans="1:26" s="8" customFormat="1" ht="13">
      <c r="A26" s="37"/>
      <c r="B26" s="37" t="s">
        <v>127</v>
      </c>
      <c r="C26" s="36">
        <f>C25+C24</f>
        <v>15801</v>
      </c>
      <c r="D26" s="36"/>
      <c r="E26" s="36"/>
      <c r="F26" s="36"/>
      <c r="G26" s="36">
        <f>G25+G24</f>
        <v>13152</v>
      </c>
      <c r="H26" s="7" t="e">
        <f t="shared" ref="H26" si="12">SUM(H23:H25)</f>
        <v>#REF!</v>
      </c>
      <c r="I26" s="7"/>
      <c r="J26" s="7"/>
      <c r="K26" s="7"/>
      <c r="L26" s="7"/>
      <c r="N26" s="8">
        <f>SUM(N23:N25)</f>
        <v>25598</v>
      </c>
      <c r="O26" s="8" t="e">
        <f>SUM(O23:O25)+O13</f>
        <v>#REF!</v>
      </c>
      <c r="P26" s="8" t="e">
        <f>SUM(P23:P25)+P13</f>
        <v>#REF!</v>
      </c>
      <c r="Q26" s="8" t="e">
        <f>SUM(Q23:Q25)+Q13</f>
        <v>#REF!</v>
      </c>
      <c r="R26" s="8" t="e">
        <f t="shared" ref="R26:U26" si="13">SUM(R23:R25)+R13</f>
        <v>#REF!</v>
      </c>
      <c r="S26" s="8" t="e">
        <f t="shared" si="13"/>
        <v>#REF!</v>
      </c>
      <c r="T26" s="8" t="e">
        <f t="shared" si="13"/>
        <v>#REF!</v>
      </c>
      <c r="U26" s="8" t="e">
        <f t="shared" si="13"/>
        <v>#REF!</v>
      </c>
      <c r="V26" s="8" t="e">
        <f t="shared" ref="V26" si="14">SUM(V23:V25)+V13</f>
        <v>#REF!</v>
      </c>
      <c r="W26" s="8" t="e">
        <f t="shared" ref="W26" si="15">SUM(W23:W25)+W13</f>
        <v>#REF!</v>
      </c>
      <c r="X26" s="8" t="e">
        <f t="shared" ref="X26" si="16">SUM(X23:X25)+X13</f>
        <v>#REF!</v>
      </c>
      <c r="Y26" s="8" t="e">
        <f t="shared" ref="Y26" si="17">SUM(Y23:Y25)+Y13</f>
        <v>#REF!</v>
      </c>
      <c r="Z26" s="8" t="e">
        <f t="shared" ref="Z26" si="18">SUM(Z23:Z25)+Z13</f>
        <v>#REF!</v>
      </c>
    </row>
    <row r="27" spans="1:26" s="3" customFormat="1">
      <c r="A27" s="14"/>
      <c r="B27" s="14" t="s">
        <v>128</v>
      </c>
      <c r="C27" s="33">
        <v>9624</v>
      </c>
      <c r="D27" s="33"/>
      <c r="E27" s="33"/>
      <c r="F27" s="33"/>
      <c r="G27" s="33">
        <v>7848</v>
      </c>
      <c r="H27" s="6" t="e">
        <f>+H14*0.85</f>
        <v>#REF!</v>
      </c>
      <c r="I27" s="6"/>
      <c r="J27" s="6"/>
      <c r="K27" s="6"/>
      <c r="L27" s="6"/>
      <c r="N27" s="3">
        <f>SUM(C27:D27)</f>
        <v>9624</v>
      </c>
      <c r="O27" s="3" t="e">
        <f>SUM(E27:H27)</f>
        <v>#REF!</v>
      </c>
      <c r="P27" s="3" t="e">
        <f>P14*0.8</f>
        <v>#REF!</v>
      </c>
      <c r="Q27" s="3" t="e">
        <f>Q14*0.79</f>
        <v>#REF!</v>
      </c>
      <c r="R27" s="3" t="e">
        <f>R26*0.78</f>
        <v>#REF!</v>
      </c>
      <c r="S27" s="3" t="e">
        <f>S26*0.77</f>
        <v>#REF!</v>
      </c>
      <c r="T27" s="3" t="e">
        <f>T26*0.76</f>
        <v>#REF!</v>
      </c>
      <c r="U27" s="3" t="e">
        <f>U26*0.75</f>
        <v>#REF!</v>
      </c>
      <c r="V27" s="3" t="e">
        <f t="shared" ref="V27:Z27" si="19">V26*0.75</f>
        <v>#REF!</v>
      </c>
      <c r="W27" s="3" t="e">
        <f t="shared" si="19"/>
        <v>#REF!</v>
      </c>
      <c r="X27" s="3" t="e">
        <f t="shared" si="19"/>
        <v>#REF!</v>
      </c>
      <c r="Y27" s="3" t="e">
        <f t="shared" si="19"/>
        <v>#REF!</v>
      </c>
      <c r="Z27" s="3" t="e">
        <f t="shared" si="19"/>
        <v>#REF!</v>
      </c>
    </row>
    <row r="28" spans="1:26" s="3" customFormat="1">
      <c r="A28" s="14"/>
      <c r="B28" s="14" t="s">
        <v>7</v>
      </c>
      <c r="C28" s="33">
        <f>C23-C27</f>
        <v>6177</v>
      </c>
      <c r="D28" s="33"/>
      <c r="E28" s="33"/>
      <c r="F28" s="33"/>
      <c r="G28" s="33">
        <f>G23-G27</f>
        <v>5304</v>
      </c>
      <c r="H28" s="33" t="e">
        <f>H23-H27</f>
        <v>#REF!</v>
      </c>
      <c r="I28" s="6"/>
      <c r="J28" s="6"/>
      <c r="K28" s="6"/>
      <c r="L28" s="6"/>
      <c r="N28" s="3">
        <f>SUM(C28:D28)</f>
        <v>6177</v>
      </c>
      <c r="O28" s="3" t="e">
        <f>SUM(E28:H28)</f>
        <v>#REF!</v>
      </c>
      <c r="P28" s="3" t="e">
        <f>+#REF!+P13</f>
        <v>#REF!</v>
      </c>
      <c r="Q28" s="3" t="e">
        <f>+#REF!+Q13</f>
        <v>#REF!</v>
      </c>
      <c r="R28" s="3" t="e">
        <f>+#REF!+R13</f>
        <v>#REF!</v>
      </c>
      <c r="S28" s="3" t="e">
        <f>+#REF!+S13</f>
        <v>#REF!</v>
      </c>
      <c r="T28" s="3" t="e">
        <f>+#REF!+T13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</row>
    <row r="29" spans="1:26" s="14" customFormat="1">
      <c r="B29" s="14" t="s">
        <v>8</v>
      </c>
      <c r="C29" s="33">
        <v>528</v>
      </c>
      <c r="D29" s="33"/>
      <c r="E29" s="33"/>
      <c r="F29" s="33"/>
      <c r="G29" s="33">
        <v>567</v>
      </c>
      <c r="H29" s="33">
        <f t="shared" ref="H29:H30" si="20">+D29*1.1</f>
        <v>0</v>
      </c>
      <c r="I29" s="33"/>
      <c r="J29" s="33"/>
      <c r="K29" s="33"/>
      <c r="L29" s="33"/>
      <c r="N29" s="14">
        <f>SUM(C29:D29)</f>
        <v>528</v>
      </c>
      <c r="O29" s="14">
        <f>SUM(E29:H29)</f>
        <v>567</v>
      </c>
      <c r="P29" s="14">
        <f>O29*1.04</f>
        <v>589.68000000000006</v>
      </c>
      <c r="Q29" s="14">
        <f t="shared" ref="Q29:U29" si="21">P29*1.04</f>
        <v>613.26720000000012</v>
      </c>
      <c r="R29" s="14">
        <f t="shared" si="21"/>
        <v>637.79788800000017</v>
      </c>
      <c r="S29" s="14">
        <f t="shared" si="21"/>
        <v>663.30980352000017</v>
      </c>
      <c r="T29" s="14">
        <f t="shared" si="21"/>
        <v>689.84219566080026</v>
      </c>
      <c r="U29" s="14">
        <f t="shared" si="21"/>
        <v>717.43588348723233</v>
      </c>
      <c r="V29" s="14">
        <f t="shared" ref="V29:Z29" si="22">U29*1.04</f>
        <v>746.13331882672162</v>
      </c>
      <c r="W29" s="14">
        <f t="shared" si="22"/>
        <v>775.97865157979049</v>
      </c>
      <c r="X29" s="14">
        <f t="shared" si="22"/>
        <v>807.01779764298215</v>
      </c>
      <c r="Y29" s="14">
        <f t="shared" si="22"/>
        <v>839.29850954870142</v>
      </c>
      <c r="Z29" s="14">
        <f t="shared" si="22"/>
        <v>872.87044993064956</v>
      </c>
    </row>
    <row r="30" spans="1:26" s="14" customFormat="1">
      <c r="B30" s="14" t="s">
        <v>9</v>
      </c>
      <c r="C30" s="33">
        <v>1110</v>
      </c>
      <c r="D30" s="33"/>
      <c r="E30" s="33"/>
      <c r="F30" s="33"/>
      <c r="G30" s="33">
        <v>1278</v>
      </c>
      <c r="H30" s="33">
        <f t="shared" si="20"/>
        <v>0</v>
      </c>
      <c r="I30" s="33"/>
      <c r="J30" s="33"/>
      <c r="K30" s="33"/>
      <c r="L30" s="33"/>
      <c r="N30" s="14">
        <f>SUM(C30:D30)</f>
        <v>1110</v>
      </c>
      <c r="O30" s="14">
        <f>SUM(E30:H30)</f>
        <v>1278</v>
      </c>
      <c r="P30" s="14">
        <f>O30*1.04</f>
        <v>1329.1200000000001</v>
      </c>
      <c r="Q30" s="14">
        <f t="shared" ref="Q30:U30" si="23">P30*1.04</f>
        <v>1382.2848000000001</v>
      </c>
      <c r="R30" s="14">
        <f t="shared" si="23"/>
        <v>1437.5761920000002</v>
      </c>
      <c r="S30" s="14">
        <f t="shared" si="23"/>
        <v>1495.0792396800002</v>
      </c>
      <c r="T30" s="14">
        <f t="shared" si="23"/>
        <v>1554.8824092672003</v>
      </c>
      <c r="U30" s="14">
        <f t="shared" si="23"/>
        <v>1617.0777056378884</v>
      </c>
      <c r="V30" s="14">
        <f t="shared" ref="V30:Z30" si="24">U30*1.04</f>
        <v>1681.7608138634039</v>
      </c>
      <c r="W30" s="14">
        <f t="shared" si="24"/>
        <v>1749.0312464179401</v>
      </c>
      <c r="X30" s="14">
        <f t="shared" si="24"/>
        <v>1818.9924962746577</v>
      </c>
      <c r="Y30" s="14">
        <f t="shared" si="24"/>
        <v>1891.7521961256441</v>
      </c>
      <c r="Z30" s="14">
        <f t="shared" si="24"/>
        <v>1967.4222839706699</v>
      </c>
    </row>
    <row r="31" spans="1:26" s="14" customFormat="1">
      <c r="B31" s="14" t="s">
        <v>11</v>
      </c>
      <c r="C31" s="33">
        <v>623</v>
      </c>
      <c r="D31" s="33"/>
      <c r="E31" s="33"/>
      <c r="F31" s="33"/>
      <c r="G31" s="33">
        <v>840</v>
      </c>
      <c r="H31" s="33"/>
      <c r="I31" s="33"/>
      <c r="J31" s="33"/>
      <c r="K31" s="33"/>
      <c r="L31" s="33"/>
      <c r="N31" s="14">
        <f>SUM(C31:D31)</f>
        <v>623</v>
      </c>
    </row>
    <row r="32" spans="1:26" s="14" customFormat="1">
      <c r="B32" s="14" t="s">
        <v>129</v>
      </c>
      <c r="C32" s="33">
        <v>310</v>
      </c>
      <c r="D32" s="33"/>
      <c r="E32" s="33"/>
      <c r="F32" s="33"/>
      <c r="G32" s="33">
        <v>264</v>
      </c>
      <c r="H32" s="33"/>
      <c r="I32" s="33"/>
      <c r="J32" s="33"/>
      <c r="K32" s="33"/>
      <c r="L32" s="33"/>
      <c r="N32" s="14">
        <f>SUM(C32:D32)</f>
        <v>310</v>
      </c>
    </row>
    <row r="33" spans="2:26" s="14" customFormat="1">
      <c r="B33" s="14" t="s">
        <v>10</v>
      </c>
      <c r="C33" s="33">
        <f>C29+C30+C31+C32</f>
        <v>2571</v>
      </c>
      <c r="D33" s="33"/>
      <c r="E33" s="33"/>
      <c r="F33" s="33"/>
      <c r="G33" s="33">
        <f t="shared" ref="G33:H33" si="25">G29+G30+G31+G32</f>
        <v>2949</v>
      </c>
      <c r="H33" s="33">
        <f t="shared" si="25"/>
        <v>0</v>
      </c>
      <c r="I33" s="33"/>
      <c r="J33" s="33"/>
      <c r="K33" s="33"/>
      <c r="L33" s="33"/>
      <c r="N33" s="14">
        <f>+N29+N30</f>
        <v>1638</v>
      </c>
      <c r="O33" s="14">
        <f t="shared" ref="O33:S33" si="26">+O29+O30</f>
        <v>1845</v>
      </c>
      <c r="P33" s="14">
        <f>+P29+P30</f>
        <v>1918.8000000000002</v>
      </c>
      <c r="Q33" s="14">
        <f t="shared" si="26"/>
        <v>1995.5520000000001</v>
      </c>
      <c r="R33" s="14">
        <f t="shared" si="26"/>
        <v>2075.3740800000005</v>
      </c>
      <c r="S33" s="14">
        <f t="shared" si="26"/>
        <v>2158.3890432000003</v>
      </c>
      <c r="T33" s="14">
        <f t="shared" ref="T33" si="27">+T29+T30</f>
        <v>2244.7246049280006</v>
      </c>
      <c r="U33" s="14">
        <f t="shared" ref="U33:Z33" si="28">+U29+U30</f>
        <v>2334.5135891251207</v>
      </c>
      <c r="V33" s="14">
        <f t="shared" si="28"/>
        <v>2427.8941326901254</v>
      </c>
      <c r="W33" s="14">
        <f t="shared" si="28"/>
        <v>2525.0098979977306</v>
      </c>
      <c r="X33" s="14">
        <f t="shared" si="28"/>
        <v>2626.01029391764</v>
      </c>
      <c r="Y33" s="14">
        <f t="shared" si="28"/>
        <v>2731.0507056743454</v>
      </c>
      <c r="Z33" s="14">
        <f t="shared" si="28"/>
        <v>2840.2927339013195</v>
      </c>
    </row>
    <row r="34" spans="2:26" s="14" customFormat="1">
      <c r="B34" s="14" t="s">
        <v>130</v>
      </c>
      <c r="C34" s="33">
        <f>C33+C27</f>
        <v>12195</v>
      </c>
      <c r="D34" s="33"/>
      <c r="E34" s="33"/>
      <c r="F34" s="33"/>
      <c r="G34" s="33">
        <f>G33+G27</f>
        <v>10797</v>
      </c>
      <c r="H34" s="33" t="e">
        <f>H33+H27</f>
        <v>#REF!</v>
      </c>
      <c r="I34" s="33"/>
      <c r="J34" s="33"/>
      <c r="K34" s="33"/>
      <c r="L34" s="33"/>
    </row>
    <row r="35" spans="2:26" s="14" customFormat="1">
      <c r="B35" s="14" t="s">
        <v>131</v>
      </c>
      <c r="C35" s="33">
        <f t="shared" ref="C35" si="29">C28-C33</f>
        <v>3606</v>
      </c>
      <c r="D35" s="33"/>
      <c r="E35" s="33"/>
      <c r="F35" s="33"/>
      <c r="G35" s="33">
        <f t="shared" ref="G35:H35" si="30">G28-G33</f>
        <v>2355</v>
      </c>
      <c r="H35" s="33" t="e">
        <f t="shared" si="30"/>
        <v>#REF!</v>
      </c>
      <c r="I35" s="33"/>
      <c r="J35" s="33"/>
      <c r="K35" s="33"/>
      <c r="L35" s="33"/>
      <c r="N35" s="33">
        <f t="shared" ref="N35" si="31">N28-N33</f>
        <v>4539</v>
      </c>
      <c r="O35" s="33" t="e">
        <f t="shared" ref="O35:U35" si="32">O28-O33</f>
        <v>#REF!</v>
      </c>
      <c r="P35" s="33" t="e">
        <f>P28-P33</f>
        <v>#REF!</v>
      </c>
      <c r="Q35" s="33" t="e">
        <f t="shared" si="32"/>
        <v>#REF!</v>
      </c>
      <c r="R35" s="33" t="e">
        <f t="shared" si="32"/>
        <v>#REF!</v>
      </c>
      <c r="S35" s="33" t="e">
        <f t="shared" si="32"/>
        <v>#REF!</v>
      </c>
      <c r="T35" s="33" t="e">
        <f t="shared" si="32"/>
        <v>#REF!</v>
      </c>
      <c r="U35" s="33" t="e">
        <f t="shared" si="32"/>
        <v>#REF!</v>
      </c>
      <c r="V35" s="33" t="e">
        <f t="shared" ref="V35:Z35" si="33">V28-V33</f>
        <v>#REF!</v>
      </c>
      <c r="W35" s="33" t="e">
        <f t="shared" si="33"/>
        <v>#REF!</v>
      </c>
      <c r="X35" s="33" t="e">
        <f t="shared" si="33"/>
        <v>#REF!</v>
      </c>
      <c r="Y35" s="33" t="e">
        <f t="shared" si="33"/>
        <v>#REF!</v>
      </c>
      <c r="Z35" s="33" t="e">
        <f t="shared" si="33"/>
        <v>#REF!</v>
      </c>
    </row>
    <row r="36" spans="2:26" s="14" customFormat="1">
      <c r="B36" s="14" t="s">
        <v>12</v>
      </c>
      <c r="C36" s="33">
        <v>636</v>
      </c>
      <c r="D36" s="33"/>
      <c r="E36" s="33"/>
      <c r="F36" s="33"/>
      <c r="G36" s="33">
        <v>625</v>
      </c>
      <c r="H36" s="33" t="e">
        <f>+#REF!*0.2</f>
        <v>#REF!</v>
      </c>
      <c r="I36" s="33"/>
      <c r="J36" s="33"/>
      <c r="K36" s="33"/>
      <c r="L36" s="33"/>
      <c r="N36" s="14">
        <f>SUM(C36:D36)</f>
        <v>636</v>
      </c>
      <c r="O36" s="14" t="e">
        <f>SUM(E36:H36)</f>
        <v>#REF!</v>
      </c>
      <c r="P36" s="14" t="e">
        <f>+#REF!*0.15</f>
        <v>#REF!</v>
      </c>
      <c r="Q36" s="14" t="e">
        <f>+#REF!*0.15</f>
        <v>#REF!</v>
      </c>
      <c r="R36" s="14" t="e">
        <f>+#REF!*0.15</f>
        <v>#REF!</v>
      </c>
      <c r="S36" s="14" t="e">
        <f>+#REF!*0.15</f>
        <v>#REF!</v>
      </c>
      <c r="T36" s="14" t="e">
        <f>+#REF!*0.15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</row>
    <row r="37" spans="2:26" s="15" customFormat="1">
      <c r="B37" s="15" t="s">
        <v>132</v>
      </c>
      <c r="C37" s="13">
        <f>2--6</f>
        <v>8</v>
      </c>
      <c r="D37" s="13"/>
      <c r="E37" s="13"/>
      <c r="F37" s="13"/>
      <c r="G37" s="13">
        <f>1--3</f>
        <v>4</v>
      </c>
      <c r="H37" s="13"/>
      <c r="I37" s="13"/>
      <c r="J37" s="13"/>
      <c r="K37" s="13"/>
      <c r="L37" s="13"/>
    </row>
    <row r="38" spans="2:26" s="15" customFormat="1">
      <c r="B38" s="15" t="s">
        <v>133</v>
      </c>
      <c r="C38" s="33">
        <f>C35-C36+C37</f>
        <v>2978</v>
      </c>
      <c r="D38" s="13"/>
      <c r="E38" s="13"/>
      <c r="F38" s="13"/>
      <c r="G38" s="33">
        <f>G35-G36+G37</f>
        <v>1734</v>
      </c>
      <c r="H38" s="33" t="e">
        <f>H35-H36+H37</f>
        <v>#REF!</v>
      </c>
      <c r="I38" s="13"/>
      <c r="J38" s="13"/>
      <c r="K38" s="13"/>
      <c r="L38" s="13"/>
    </row>
    <row r="39" spans="2:26" s="15" customFormat="1">
      <c r="B39" s="15" t="s">
        <v>13</v>
      </c>
      <c r="C39" s="38">
        <f>C38/C41</f>
        <v>10.240715268225584</v>
      </c>
      <c r="D39" s="38"/>
      <c r="E39" s="38"/>
      <c r="F39" s="38"/>
      <c r="G39" s="38">
        <f>G38/G41</f>
        <v>6.3169398907103824</v>
      </c>
      <c r="H39" s="38" t="e">
        <f>H38/H41</f>
        <v>#REF!</v>
      </c>
      <c r="I39" s="38"/>
      <c r="J39" s="38"/>
      <c r="K39" s="38"/>
      <c r="L39" s="38"/>
      <c r="N39" s="39" t="e">
        <f>+#REF!/N42</f>
        <v>#REF!</v>
      </c>
      <c r="O39" s="39" t="e">
        <f>+#REF!/O42</f>
        <v>#REF!</v>
      </c>
      <c r="P39" s="39" t="e">
        <f>+#REF!/P42</f>
        <v>#REF!</v>
      </c>
      <c r="Q39" s="39" t="e">
        <f>+#REF!/Q42</f>
        <v>#REF!</v>
      </c>
      <c r="R39" s="39" t="e">
        <f>+#REF!/R42</f>
        <v>#REF!</v>
      </c>
      <c r="S39" s="39" t="e">
        <f>+#REF!/S42</f>
        <v>#REF!</v>
      </c>
      <c r="T39" s="39" t="e">
        <f>+#REF!/T42</f>
        <v>#REF!</v>
      </c>
      <c r="U39" s="39" t="e">
        <f>+#REF!/U42</f>
        <v>#REF!</v>
      </c>
      <c r="V39" s="39" t="e">
        <f>+#REF!/V42</f>
        <v>#REF!</v>
      </c>
      <c r="W39" s="39" t="e">
        <f>+#REF!/W42</f>
        <v>#REF!</v>
      </c>
      <c r="X39" s="39" t="e">
        <f>+#REF!/X42</f>
        <v>#REF!</v>
      </c>
      <c r="Y39" s="39" t="e">
        <f>+#REF!/Y42</f>
        <v>#REF!</v>
      </c>
      <c r="Z39" s="39" t="e">
        <f>+#REF!/Z42</f>
        <v>#REF!</v>
      </c>
    </row>
    <row r="40" spans="2:26" s="15" customFormat="1">
      <c r="B40" s="15" t="s">
        <v>135</v>
      </c>
      <c r="C40" s="38">
        <f>C38/C42</f>
        <v>10.195138651146866</v>
      </c>
      <c r="D40" s="38"/>
      <c r="E40" s="38"/>
      <c r="F40" s="38"/>
      <c r="G40" s="38">
        <f>G38/G42</f>
        <v>6.2917271407837436</v>
      </c>
      <c r="H40" s="38" t="e">
        <f>H38/H42</f>
        <v>#REF!</v>
      </c>
      <c r="I40" s="38"/>
      <c r="J40" s="38"/>
      <c r="K40" s="38"/>
      <c r="L40" s="38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2:26" s="15" customFormat="1">
      <c r="B41" s="14" t="s">
        <v>1</v>
      </c>
      <c r="C41" s="33">
        <v>290.8</v>
      </c>
      <c r="D41" s="38"/>
      <c r="E41" s="38"/>
      <c r="F41" s="38"/>
      <c r="G41" s="38">
        <v>274.5</v>
      </c>
      <c r="H41" s="38"/>
      <c r="I41" s="38"/>
      <c r="J41" s="38"/>
      <c r="K41" s="38"/>
      <c r="L41" s="38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 spans="2:26" s="14" customFormat="1">
      <c r="B42" s="14" t="s">
        <v>134</v>
      </c>
      <c r="C42" s="33">
        <v>292.10000000000002</v>
      </c>
      <c r="D42" s="33"/>
      <c r="E42" s="33"/>
      <c r="F42" s="33"/>
      <c r="G42" s="33">
        <v>275.60000000000002</v>
      </c>
      <c r="H42" s="33"/>
      <c r="I42" s="33"/>
      <c r="J42" s="33"/>
      <c r="K42" s="33"/>
      <c r="L42" s="33"/>
      <c r="N42" s="14">
        <f>AVERAGE(C42:D42)</f>
        <v>292.10000000000002</v>
      </c>
      <c r="O42" s="14">
        <f>AVERAGE(E42:H42)</f>
        <v>275.60000000000002</v>
      </c>
      <c r="P42" s="14">
        <f t="shared" ref="P42:S42" si="34">O42</f>
        <v>275.60000000000002</v>
      </c>
      <c r="Q42" s="14">
        <f t="shared" si="34"/>
        <v>275.60000000000002</v>
      </c>
      <c r="R42" s="14">
        <f t="shared" si="34"/>
        <v>275.60000000000002</v>
      </c>
      <c r="S42" s="14">
        <f t="shared" si="34"/>
        <v>275.60000000000002</v>
      </c>
      <c r="T42" s="14">
        <f t="shared" ref="T42:U42" si="35">S42</f>
        <v>275.60000000000002</v>
      </c>
      <c r="U42" s="14">
        <f t="shared" si="35"/>
        <v>275.60000000000002</v>
      </c>
      <c r="V42" s="14">
        <f t="shared" ref="V42" si="36">U42</f>
        <v>275.60000000000002</v>
      </c>
      <c r="W42" s="14">
        <f t="shared" ref="W42" si="37">V42</f>
        <v>275.60000000000002</v>
      </c>
      <c r="X42" s="14">
        <f t="shared" ref="X42" si="38">W42</f>
        <v>275.60000000000002</v>
      </c>
      <c r="Y42" s="14">
        <f t="shared" ref="Y42" si="39">X42</f>
        <v>275.60000000000002</v>
      </c>
      <c r="Z42" s="14">
        <f t="shared" ref="Z42" si="40">Y42</f>
        <v>275.60000000000002</v>
      </c>
    </row>
    <row r="44" spans="2:26" s="34" customFormat="1" ht="13">
      <c r="B44" s="34" t="s">
        <v>45</v>
      </c>
      <c r="C44" s="41" t="e">
        <f>C26/#REF!-1</f>
        <v>#REF!</v>
      </c>
      <c r="D44" s="41"/>
      <c r="E44" s="41"/>
      <c r="F44" s="41"/>
      <c r="G44" s="41">
        <f>G26/C26-1</f>
        <v>-0.16764761723941524</v>
      </c>
      <c r="H44" s="41" t="e">
        <f>H26/D26-1</f>
        <v>#REF!</v>
      </c>
      <c r="I44" s="41"/>
      <c r="J44" s="41"/>
      <c r="K44" s="41"/>
      <c r="L44" s="41"/>
      <c r="N44" s="42" t="e">
        <f>+N26/#REF!-1</f>
        <v>#REF!</v>
      </c>
      <c r="O44" s="42" t="e">
        <f t="shared" ref="O44:Z44" si="41">+O26/N26-1</f>
        <v>#REF!</v>
      </c>
      <c r="P44" s="42" t="e">
        <f t="shared" si="41"/>
        <v>#REF!</v>
      </c>
      <c r="Q44" s="42" t="e">
        <f t="shared" si="41"/>
        <v>#REF!</v>
      </c>
      <c r="R44" s="42" t="e">
        <f t="shared" si="41"/>
        <v>#REF!</v>
      </c>
      <c r="S44" s="42" t="e">
        <f t="shared" si="41"/>
        <v>#REF!</v>
      </c>
      <c r="T44" s="42" t="e">
        <f t="shared" si="41"/>
        <v>#REF!</v>
      </c>
      <c r="U44" s="42" t="e">
        <f t="shared" si="41"/>
        <v>#REF!</v>
      </c>
      <c r="V44" s="42" t="e">
        <f t="shared" si="41"/>
        <v>#REF!</v>
      </c>
      <c r="W44" s="42" t="e">
        <f t="shared" si="41"/>
        <v>#REF!</v>
      </c>
      <c r="X44" s="42" t="e">
        <f t="shared" si="41"/>
        <v>#REF!</v>
      </c>
      <c r="Y44" s="42" t="e">
        <f t="shared" si="41"/>
        <v>#REF!</v>
      </c>
      <c r="Z44" s="42" t="e">
        <f t="shared" si="41"/>
        <v>#REF!</v>
      </c>
    </row>
    <row r="45" spans="2:26" s="15" customFormat="1">
      <c r="B45" s="14" t="s">
        <v>122</v>
      </c>
      <c r="C45" s="40" t="e">
        <f>C14/#REF!-1</f>
        <v>#REF!</v>
      </c>
      <c r="D45" s="40"/>
      <c r="E45" s="40"/>
      <c r="F45" s="40"/>
      <c r="G45" s="40">
        <f>G14/C14-1</f>
        <v>-0.25040916530278234</v>
      </c>
      <c r="H45" s="40" t="e">
        <f>H14/D14-1</f>
        <v>#REF!</v>
      </c>
      <c r="I45" s="40"/>
      <c r="J45" s="40"/>
      <c r="K45" s="40"/>
      <c r="L45" s="40"/>
    </row>
    <row r="46" spans="2:26" s="15" customFormat="1">
      <c r="B46" s="14" t="s">
        <v>83</v>
      </c>
      <c r="C46" s="40"/>
      <c r="D46" s="40"/>
      <c r="E46" s="40"/>
      <c r="F46" s="40"/>
      <c r="G46" s="40">
        <f>G15/C15-1</f>
        <v>-0.19345238095238093</v>
      </c>
      <c r="H46" s="40"/>
      <c r="I46" s="40"/>
      <c r="J46" s="40"/>
      <c r="K46" s="40"/>
      <c r="L46" s="40"/>
    </row>
    <row r="47" spans="2:26" s="15" customFormat="1">
      <c r="B47" s="14" t="s">
        <v>84</v>
      </c>
      <c r="C47" s="40"/>
      <c r="D47" s="40"/>
      <c r="E47" s="40"/>
      <c r="F47" s="40"/>
      <c r="G47" s="40">
        <f>G16/C16-1</f>
        <v>-0.14419087136929465</v>
      </c>
      <c r="H47" s="40"/>
      <c r="I47" s="40"/>
      <c r="J47" s="40"/>
      <c r="K47" s="40"/>
      <c r="L47" s="40"/>
    </row>
    <row r="48" spans="2:26" s="15" customFormat="1">
      <c r="B48" s="14" t="s">
        <v>85</v>
      </c>
      <c r="C48" s="40"/>
      <c r="D48" s="40"/>
      <c r="E48" s="40"/>
      <c r="F48" s="40"/>
      <c r="G48" s="40">
        <f>G17/C17-1</f>
        <v>-0.25042979942693411</v>
      </c>
      <c r="H48" s="40"/>
      <c r="I48" s="40"/>
      <c r="J48" s="40"/>
      <c r="K48" s="40"/>
      <c r="L48" s="40"/>
    </row>
    <row r="49" spans="2:30" s="15" customFormat="1">
      <c r="B49" s="14" t="s">
        <v>123</v>
      </c>
      <c r="C49" s="40"/>
      <c r="D49" s="40"/>
      <c r="E49" s="40"/>
      <c r="F49" s="40"/>
      <c r="G49" s="40">
        <f>G18/C18-1</f>
        <v>4.723127035830621E-2</v>
      </c>
      <c r="H49" s="40"/>
      <c r="I49" s="40"/>
      <c r="J49" s="40"/>
      <c r="K49" s="40"/>
      <c r="L49" s="40"/>
    </row>
    <row r="50" spans="2:30" s="15" customFormat="1">
      <c r="B50" s="14" t="s">
        <v>87</v>
      </c>
      <c r="C50" s="40"/>
      <c r="D50" s="40"/>
      <c r="E50" s="40"/>
      <c r="F50" s="40"/>
      <c r="G50" s="40">
        <f>G19/C19-1</f>
        <v>-2.634245187436679E-2</v>
      </c>
      <c r="H50" s="40"/>
      <c r="I50" s="40"/>
      <c r="J50" s="40"/>
      <c r="K50" s="40"/>
      <c r="L50" s="40"/>
    </row>
    <row r="51" spans="2:30" s="15" customFormat="1">
      <c r="B51" s="14" t="s">
        <v>88</v>
      </c>
      <c r="C51" s="40"/>
      <c r="D51" s="40"/>
      <c r="E51" s="40"/>
      <c r="F51" s="40"/>
      <c r="G51" s="40">
        <f>G20/C20-1</f>
        <v>-0.19461077844311381</v>
      </c>
      <c r="H51" s="40"/>
      <c r="I51" s="40"/>
      <c r="J51" s="40"/>
      <c r="K51" s="40"/>
      <c r="L51" s="40"/>
    </row>
    <row r="52" spans="2:30" s="15" customFormat="1">
      <c r="B52" s="14" t="s">
        <v>89</v>
      </c>
      <c r="C52" s="40"/>
      <c r="D52" s="40"/>
      <c r="E52" s="40"/>
      <c r="F52" s="40"/>
      <c r="G52" s="40">
        <f>G21/C21-1</f>
        <v>0.17279411764705888</v>
      </c>
      <c r="H52" s="40"/>
      <c r="I52" s="40"/>
      <c r="J52" s="40"/>
      <c r="K52" s="40"/>
      <c r="L52" s="40"/>
    </row>
    <row r="53" spans="2:30" s="15" customFormat="1">
      <c r="B53" s="14" t="s">
        <v>90</v>
      </c>
      <c r="C53" s="40"/>
      <c r="D53" s="40"/>
      <c r="E53" s="40"/>
      <c r="F53" s="40"/>
      <c r="G53" s="40">
        <f>G22/C22-1</f>
        <v>-0.11082474226804129</v>
      </c>
      <c r="H53" s="40"/>
      <c r="I53" s="40"/>
      <c r="J53" s="40"/>
      <c r="K53" s="40"/>
      <c r="L53" s="40"/>
    </row>
    <row r="54" spans="2:30" s="15" customFormat="1">
      <c r="B54" s="15" t="s">
        <v>7</v>
      </c>
      <c r="C54" s="40">
        <f>+C28/C26</f>
        <v>0.39092462502373265</v>
      </c>
      <c r="D54" s="40"/>
      <c r="E54" s="40"/>
      <c r="F54" s="40"/>
      <c r="G54" s="40">
        <f>+G28/G26</f>
        <v>0.40328467153284669</v>
      </c>
      <c r="H54" s="40" t="e">
        <f>+H28/H26</f>
        <v>#REF!</v>
      </c>
      <c r="I54" s="40"/>
      <c r="J54" s="40"/>
      <c r="K54" s="40"/>
      <c r="L54" s="40"/>
      <c r="N54" s="40">
        <f>+N28/N26</f>
        <v>0.24130791468083443</v>
      </c>
      <c r="O54" s="40" t="e">
        <f>+O28/O26</f>
        <v>#REF!</v>
      </c>
      <c r="P54" s="40" t="e">
        <f>+P28/P26</f>
        <v>#REF!</v>
      </c>
      <c r="Q54" s="40" t="e">
        <f>+Q28/Q26</f>
        <v>#REF!</v>
      </c>
      <c r="R54" s="40" t="e">
        <f>+R28/R26</f>
        <v>#REF!</v>
      </c>
      <c r="S54" s="40" t="e">
        <f>+S28/S26</f>
        <v>#REF!</v>
      </c>
      <c r="T54" s="40" t="e">
        <f>+T28/T26</f>
        <v>#REF!</v>
      </c>
      <c r="U54" s="40" t="e">
        <f>+U28/U26</f>
        <v>#REF!</v>
      </c>
      <c r="V54" s="40" t="e">
        <f>+V28/V26</f>
        <v>#REF!</v>
      </c>
      <c r="W54" s="40" t="e">
        <f>+W28/W26</f>
        <v>#REF!</v>
      </c>
      <c r="X54" s="40" t="e">
        <f>+X28/X26</f>
        <v>#REF!</v>
      </c>
      <c r="Y54" s="40" t="e">
        <f>+Y28/Y26</f>
        <v>#REF!</v>
      </c>
      <c r="Z54" s="40" t="e">
        <f>+Z28/Z26</f>
        <v>#REF!</v>
      </c>
    </row>
    <row r="55" spans="2:30"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2:30">
      <c r="AA56" s="2" t="s">
        <v>58</v>
      </c>
      <c r="AB56" s="9">
        <v>-0.01</v>
      </c>
      <c r="AD56" s="2" t="s">
        <v>137</v>
      </c>
    </row>
    <row r="57" spans="2:30" s="14" customFormat="1">
      <c r="B57" s="14" t="s">
        <v>14</v>
      </c>
      <c r="C57" s="33">
        <f>C38</f>
        <v>2978</v>
      </c>
      <c r="D57" s="33">
        <f>D38</f>
        <v>0</v>
      </c>
      <c r="E57" s="33">
        <f>E38</f>
        <v>0</v>
      </c>
      <c r="F57" s="33">
        <f>F38</f>
        <v>0</v>
      </c>
      <c r="G57" s="33">
        <f>G38</f>
        <v>1734</v>
      </c>
      <c r="H57" s="33" t="e">
        <f>H38</f>
        <v>#REF!</v>
      </c>
      <c r="I57" s="33">
        <f>I38</f>
        <v>0</v>
      </c>
      <c r="J57" s="33">
        <f>J38</f>
        <v>0</v>
      </c>
      <c r="K57" s="33">
        <f>K38</f>
        <v>0</v>
      </c>
      <c r="L57" s="33">
        <f>L38</f>
        <v>0</v>
      </c>
      <c r="AA57" s="15" t="s">
        <v>59</v>
      </c>
      <c r="AB57" s="43">
        <v>0.08</v>
      </c>
      <c r="AD57" s="14" t="s">
        <v>138</v>
      </c>
    </row>
    <row r="58" spans="2:30" s="3" customFormat="1">
      <c r="B58" s="3" t="s">
        <v>15</v>
      </c>
      <c r="C58" s="6">
        <v>1878</v>
      </c>
      <c r="D58" s="6"/>
      <c r="E58" s="6"/>
      <c r="F58" s="6"/>
      <c r="G58" s="6"/>
      <c r="H58" s="6"/>
      <c r="I58" s="6"/>
      <c r="J58" s="6"/>
      <c r="K58" s="6"/>
      <c r="L58" s="6"/>
      <c r="AA58" s="2" t="s">
        <v>60</v>
      </c>
      <c r="AB58" s="3" t="e">
        <f>NPV(AB57,#REF!)+Main!K5-Main!K6</f>
        <v>#REF!</v>
      </c>
    </row>
    <row r="59" spans="2:30" s="3" customFormat="1">
      <c r="B59" s="3" t="s">
        <v>16</v>
      </c>
      <c r="C59" s="6">
        <v>1235</v>
      </c>
      <c r="D59" s="6"/>
      <c r="E59" s="6"/>
      <c r="F59" s="6"/>
      <c r="G59" s="6"/>
      <c r="H59" s="6"/>
      <c r="I59" s="6"/>
      <c r="J59" s="6"/>
      <c r="K59" s="6"/>
      <c r="L59" s="6"/>
      <c r="AA59" s="2" t="s">
        <v>62</v>
      </c>
      <c r="AB59" s="9">
        <v>0.1</v>
      </c>
    </row>
    <row r="60" spans="2:30" s="3" customFormat="1">
      <c r="B60" s="3" t="s">
        <v>17</v>
      </c>
      <c r="C60" s="6">
        <v>465</v>
      </c>
      <c r="D60" s="6"/>
      <c r="E60" s="6"/>
      <c r="F60" s="6"/>
      <c r="G60" s="6"/>
      <c r="H60" s="6"/>
      <c r="I60" s="6"/>
      <c r="J60" s="6"/>
      <c r="K60" s="6"/>
      <c r="L60" s="6"/>
      <c r="AA60" s="2" t="s">
        <v>61</v>
      </c>
      <c r="AB60" s="10" t="e">
        <f>AB58/Main!K3</f>
        <v>#REF!</v>
      </c>
    </row>
    <row r="61" spans="2:30" s="3" customFormat="1">
      <c r="B61" s="3" t="s">
        <v>18</v>
      </c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2:30" s="3" customFormat="1">
      <c r="B62" s="3" t="s">
        <v>39</v>
      </c>
      <c r="C62" s="6">
        <f>-113+145</f>
        <v>32</v>
      </c>
      <c r="D62" s="6"/>
      <c r="E62" s="6"/>
      <c r="F62" s="6"/>
      <c r="G62" s="6"/>
      <c r="H62" s="6"/>
      <c r="I62" s="6"/>
      <c r="J62" s="6"/>
      <c r="K62" s="6"/>
      <c r="L62" s="6"/>
    </row>
    <row r="63" spans="2:30" s="3" customFormat="1">
      <c r="B63" s="3" t="s">
        <v>19</v>
      </c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2:30" s="3" customFormat="1">
      <c r="B64" s="3" t="s">
        <v>28</v>
      </c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2:26" s="3" customFormat="1">
      <c r="B65" s="3" t="s">
        <v>20</v>
      </c>
      <c r="C65" s="6">
        <v>-302</v>
      </c>
      <c r="D65" s="6"/>
      <c r="E65" s="6"/>
      <c r="F65" s="6"/>
      <c r="G65" s="6"/>
      <c r="H65" s="6"/>
      <c r="I65" s="6"/>
      <c r="J65" s="6"/>
      <c r="K65" s="6"/>
      <c r="L65" s="6"/>
    </row>
    <row r="66" spans="2:26" s="3" customFormat="1">
      <c r="B66" s="3" t="s">
        <v>21</v>
      </c>
      <c r="C66" s="6">
        <f t="shared" ref="C66" si="42">SUM(C58:C65)</f>
        <v>3308</v>
      </c>
      <c r="D66" s="6"/>
      <c r="E66" s="6"/>
      <c r="F66" s="6"/>
      <c r="G66" s="6"/>
      <c r="H66" s="6"/>
      <c r="I66" s="6"/>
      <c r="J66" s="6"/>
      <c r="K66" s="6"/>
      <c r="L66" s="6"/>
      <c r="N66" s="3">
        <f>SUM(C66:D66)</f>
        <v>3308</v>
      </c>
    </row>
    <row r="67" spans="2:26" s="3" customFormat="1"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2:26" s="3" customFormat="1">
      <c r="B68" s="3" t="s">
        <v>40</v>
      </c>
      <c r="C68" s="6">
        <v>2460</v>
      </c>
      <c r="D68" s="6"/>
      <c r="E68" s="6"/>
      <c r="F68" s="6"/>
      <c r="G68" s="6"/>
      <c r="H68" s="6"/>
      <c r="I68" s="6"/>
      <c r="J68" s="6"/>
      <c r="K68" s="6"/>
      <c r="L68" s="6"/>
      <c r="N68" s="3">
        <f>SUM(C68:D68)</f>
        <v>2460</v>
      </c>
    </row>
    <row r="69" spans="2:26" s="3" customFormat="1">
      <c r="B69" s="3" t="s">
        <v>41</v>
      </c>
      <c r="C69" s="6">
        <f t="shared" ref="C69" si="43">C66-C68</f>
        <v>848</v>
      </c>
      <c r="D69" s="6"/>
      <c r="E69" s="6"/>
      <c r="F69" s="6"/>
      <c r="G69" s="6"/>
      <c r="H69" s="6"/>
      <c r="I69" s="6"/>
      <c r="J69" s="6"/>
      <c r="K69" s="6"/>
      <c r="L69" s="6"/>
      <c r="N69" s="3">
        <f>+N66-N68</f>
        <v>848</v>
      </c>
    </row>
    <row r="70" spans="2:26" s="3" customFormat="1" ht="13">
      <c r="B70" s="3" t="s">
        <v>42</v>
      </c>
      <c r="C70" s="7">
        <f>SUM(C69:C69)</f>
        <v>848</v>
      </c>
      <c r="D70" s="7"/>
      <c r="E70" s="7"/>
      <c r="F70" s="7"/>
      <c r="G70" s="6"/>
      <c r="H70" s="6"/>
      <c r="I70" s="6"/>
      <c r="J70" s="6"/>
      <c r="K70" s="6"/>
      <c r="L70" s="6"/>
    </row>
    <row r="71" spans="2:26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2:26" s="3" customFormat="1">
      <c r="B72" s="3" t="s">
        <v>63</v>
      </c>
      <c r="C72" s="6" t="e">
        <f t="shared" ref="C72" si="44">C73-C90</f>
        <v>#REF!</v>
      </c>
      <c r="D72" s="6"/>
      <c r="E72" s="6"/>
      <c r="F72" s="6"/>
      <c r="G72" s="6"/>
      <c r="H72" s="6"/>
      <c r="I72" s="6"/>
      <c r="J72" s="6"/>
      <c r="K72" s="6"/>
      <c r="L72" s="6"/>
      <c r="N72" s="3">
        <f>D72</f>
        <v>0</v>
      </c>
      <c r="O72" s="3" t="e">
        <f>N72+#REF!</f>
        <v>#REF!</v>
      </c>
      <c r="P72" s="3" t="e">
        <f>O72+#REF!</f>
        <v>#REF!</v>
      </c>
      <c r="Q72" s="3" t="e">
        <f>P72+#REF!</f>
        <v>#REF!</v>
      </c>
      <c r="R72" s="3" t="e">
        <f>Q72+#REF!</f>
        <v>#REF!</v>
      </c>
      <c r="S72" s="3" t="e">
        <f>R72+#REF!</f>
        <v>#REF!</v>
      </c>
      <c r="T72" s="3" t="e">
        <f>S72+#REF!</f>
        <v>#REF!</v>
      </c>
      <c r="U72" s="3" t="e">
        <f>T72+#REF!</f>
        <v>#REF!</v>
      </c>
      <c r="V72" s="3" t="e">
        <f>U72+#REF!</f>
        <v>#REF!</v>
      </c>
      <c r="W72" s="3" t="e">
        <f>V72+#REF!</f>
        <v>#REF!</v>
      </c>
      <c r="X72" s="3" t="e">
        <f>W72+#REF!</f>
        <v>#REF!</v>
      </c>
      <c r="Y72" s="3" t="e">
        <f>X72+#REF!</f>
        <v>#REF!</v>
      </c>
      <c r="Z72" s="3" t="e">
        <f>Y72+#REF!</f>
        <v>#REF!</v>
      </c>
    </row>
    <row r="73" spans="2:26" s="3" customFormat="1">
      <c r="B73" s="3" t="s">
        <v>3</v>
      </c>
      <c r="C73" s="6" t="e">
        <f>#REF!+#REF!</f>
        <v>#REF!</v>
      </c>
      <c r="D73" s="6"/>
      <c r="E73" s="6"/>
      <c r="F73" s="6"/>
      <c r="G73" s="6"/>
      <c r="H73" s="6"/>
      <c r="I73" s="6"/>
      <c r="J73" s="6"/>
      <c r="K73" s="6"/>
      <c r="L73" s="6"/>
    </row>
    <row r="74" spans="2:26" s="3" customFormat="1">
      <c r="B74" s="3" t="s">
        <v>22</v>
      </c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2:26" s="3" customFormat="1">
      <c r="B75" s="3" t="s">
        <v>18</v>
      </c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2:26" s="3" customFormat="1">
      <c r="B76" s="3" t="s">
        <v>23</v>
      </c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2:26" s="3" customFormat="1">
      <c r="B77" s="3" t="s">
        <v>24</v>
      </c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2:26" s="3" customFormat="1">
      <c r="B78" s="3" t="s">
        <v>25</v>
      </c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2:26" s="3" customFormat="1">
      <c r="B79" s="3" t="s">
        <v>26</v>
      </c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2:26" s="3" customFormat="1">
      <c r="B80" s="3" t="s">
        <v>27</v>
      </c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2:26" s="3" customFormat="1">
      <c r="B81" s="3" t="s">
        <v>28</v>
      </c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2:26" s="3" customFormat="1">
      <c r="B82" s="3" t="s">
        <v>29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2:26" s="3" customFormat="1">
      <c r="B83" s="3" t="s">
        <v>30</v>
      </c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2:26" s="3" customFormat="1">
      <c r="B84" s="3" t="s">
        <v>31</v>
      </c>
      <c r="C84" s="6" t="e">
        <f t="shared" ref="C84" si="45">SUM(C73:C83)</f>
        <v>#REF!</v>
      </c>
      <c r="D84" s="6"/>
      <c r="E84" s="6"/>
      <c r="F84" s="6"/>
      <c r="G84" s="6"/>
      <c r="H84" s="6"/>
      <c r="I84" s="6"/>
      <c r="J84" s="6"/>
      <c r="K84" s="6"/>
      <c r="L84" s="6"/>
    </row>
    <row r="85" spans="2:26">
      <c r="E85" s="6"/>
      <c r="F85" s="6"/>
    </row>
    <row r="86" spans="2:26">
      <c r="B86" s="2" t="s">
        <v>32</v>
      </c>
      <c r="D86" s="6"/>
      <c r="E86" s="6"/>
      <c r="F86" s="6"/>
    </row>
    <row r="87" spans="2:26">
      <c r="B87" s="2" t="s">
        <v>33</v>
      </c>
      <c r="D87" s="6"/>
      <c r="E87" s="6"/>
      <c r="F87" s="6"/>
    </row>
    <row r="88" spans="2:26">
      <c r="B88" s="2" t="s">
        <v>34</v>
      </c>
      <c r="D88" s="6"/>
      <c r="E88" s="6"/>
      <c r="F88" s="6"/>
    </row>
    <row r="89" spans="2:26">
      <c r="B89" s="2" t="s">
        <v>35</v>
      </c>
      <c r="D89" s="6"/>
      <c r="E89" s="6"/>
      <c r="F89" s="6"/>
    </row>
    <row r="90" spans="2:26">
      <c r="B90" s="2" t="s">
        <v>4</v>
      </c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2:26">
      <c r="B91" s="2" t="s">
        <v>36</v>
      </c>
      <c r="D91" s="6"/>
      <c r="E91" s="6"/>
      <c r="F91" s="6"/>
    </row>
    <row r="92" spans="2:26">
      <c r="B92" s="2" t="s">
        <v>37</v>
      </c>
      <c r="D92" s="6"/>
      <c r="E92" s="6"/>
      <c r="F92" s="6"/>
    </row>
    <row r="93" spans="2:26">
      <c r="B93" s="2" t="s">
        <v>38</v>
      </c>
      <c r="D93" s="6"/>
      <c r="E93" s="6"/>
      <c r="F93" s="6"/>
    </row>
    <row r="95" spans="2:26">
      <c r="B95" s="2" t="s">
        <v>73</v>
      </c>
      <c r="D95" s="6"/>
      <c r="E95" s="6"/>
      <c r="F95" s="6"/>
      <c r="N95" s="3">
        <v>3536</v>
      </c>
    </row>
    <row r="96" spans="2:26">
      <c r="B96" s="2" t="s">
        <v>76</v>
      </c>
      <c r="D96" s="6"/>
      <c r="E96" s="6"/>
      <c r="F96" s="6"/>
      <c r="N96" s="3">
        <v>1201</v>
      </c>
      <c r="O96" s="3" t="e">
        <f>+#REF!*O101*8/1000</f>
        <v>#REF!</v>
      </c>
      <c r="P96" s="3" t="e">
        <f>+#REF!*P101*8/1000</f>
        <v>#REF!</v>
      </c>
      <c r="Q96" s="3" t="e">
        <f>+#REF!*Q101*8/1000</f>
        <v>#REF!</v>
      </c>
      <c r="R96" s="3" t="e">
        <f>+#REF!*R101*8/1000</f>
        <v>#REF!</v>
      </c>
      <c r="S96" s="3" t="e">
        <f>+#REF!*S101*8/1000</f>
        <v>#REF!</v>
      </c>
      <c r="T96" s="3" t="e">
        <f>+#REF!*T101*8/1000</f>
        <v>#REF!</v>
      </c>
      <c r="U96" s="3" t="e">
        <f>+#REF!*U101*8/1000</f>
        <v>#REF!</v>
      </c>
      <c r="V96" s="3" t="e">
        <f>+#REF!*V101*8/1000</f>
        <v>#REF!</v>
      </c>
      <c r="W96" s="3" t="e">
        <f>+#REF!*W101*8/1000</f>
        <v>#REF!</v>
      </c>
      <c r="X96" s="3" t="e">
        <f>+#REF!*X101*8/1000</f>
        <v>#REF!</v>
      </c>
      <c r="Y96" s="3" t="e">
        <f>+#REF!*Y101*8/1000</f>
        <v>#REF!</v>
      </c>
      <c r="Z96" s="3" t="e">
        <f>+#REF!*Z101*8/1000</f>
        <v>#REF!</v>
      </c>
    </row>
    <row r="97" spans="2:26">
      <c r="B97" s="2" t="s">
        <v>77</v>
      </c>
      <c r="D97" s="6"/>
      <c r="E97" s="6"/>
      <c r="F97" s="6"/>
      <c r="N97" s="3">
        <v>595</v>
      </c>
    </row>
    <row r="98" spans="2:26">
      <c r="D98" s="6"/>
      <c r="E98" s="6"/>
      <c r="F98" s="6"/>
      <c r="N98" s="3"/>
    </row>
    <row r="99" spans="2:26" ht="13">
      <c r="B99" s="2" t="s">
        <v>78</v>
      </c>
      <c r="D99" s="6"/>
      <c r="E99" s="6"/>
      <c r="F99" s="6"/>
      <c r="N99" s="8">
        <f>+N96/8</f>
        <v>150.125</v>
      </c>
      <c r="O99" s="3" t="e">
        <f>+O96/8</f>
        <v>#REF!</v>
      </c>
      <c r="P99" s="3" t="e">
        <f t="shared" ref="P99:U99" si="46">+P96/8</f>
        <v>#REF!</v>
      </c>
      <c r="Q99" s="3" t="e">
        <f t="shared" si="46"/>
        <v>#REF!</v>
      </c>
      <c r="R99" s="3" t="e">
        <f t="shared" si="46"/>
        <v>#REF!</v>
      </c>
      <c r="S99" s="3" t="e">
        <f t="shared" si="46"/>
        <v>#REF!</v>
      </c>
      <c r="T99" s="3" t="e">
        <f t="shared" si="46"/>
        <v>#REF!</v>
      </c>
      <c r="U99" s="3" t="e">
        <f t="shared" si="46"/>
        <v>#REF!</v>
      </c>
      <c r="V99" s="3" t="e">
        <f t="shared" ref="V99:Z99" si="47">+V96/8</f>
        <v>#REF!</v>
      </c>
      <c r="W99" s="3" t="e">
        <f t="shared" si="47"/>
        <v>#REF!</v>
      </c>
      <c r="X99" s="3" t="e">
        <f t="shared" si="47"/>
        <v>#REF!</v>
      </c>
      <c r="Y99" s="3" t="e">
        <f t="shared" si="47"/>
        <v>#REF!</v>
      </c>
      <c r="Z99" s="3" t="e">
        <f t="shared" si="47"/>
        <v>#REF!</v>
      </c>
    </row>
    <row r="100" spans="2:26">
      <c r="B100" s="2" t="s">
        <v>79</v>
      </c>
      <c r="N100" s="9" t="e">
        <f>+N95/#REF!-1</f>
        <v>#REF!</v>
      </c>
    </row>
    <row r="101" spans="2:26">
      <c r="B101" s="2" t="s">
        <v>80</v>
      </c>
      <c r="N101" s="9" t="e">
        <f>+N99*1000/#REF!</f>
        <v>#REF!</v>
      </c>
      <c r="O101" s="9">
        <v>0.12</v>
      </c>
      <c r="P101" s="9">
        <v>0.16</v>
      </c>
      <c r="Q101" s="9">
        <v>0.2</v>
      </c>
      <c r="R101" s="9">
        <v>0.24</v>
      </c>
      <c r="S101" s="9">
        <v>0.28000000000000003</v>
      </c>
      <c r="T101" s="9">
        <v>0.32</v>
      </c>
      <c r="U101" s="9">
        <v>0.36</v>
      </c>
      <c r="V101" s="9">
        <v>0.37</v>
      </c>
      <c r="W101" s="9">
        <v>0.38</v>
      </c>
      <c r="X101" s="9">
        <v>0.39</v>
      </c>
      <c r="Y101" s="9">
        <v>0.4</v>
      </c>
      <c r="Z101" s="9">
        <v>0.41</v>
      </c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"/>
  <sheetViews>
    <sheetView workbookViewId="0">
      <selection activeCell="C3" sqref="C3"/>
    </sheetView>
  </sheetViews>
  <sheetFormatPr defaultRowHeight="14.5"/>
  <sheetData>
    <row r="2" spans="2:2">
      <c r="B2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sqref="A1:XFD1048576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46</v>
      </c>
      <c r="C4" s="2" t="s">
        <v>47</v>
      </c>
      <c r="D4" s="2">
        <v>100000</v>
      </c>
    </row>
    <row r="5" spans="1:5">
      <c r="C5" s="2" t="s">
        <v>48</v>
      </c>
      <c r="D5" s="2">
        <v>550000</v>
      </c>
    </row>
    <row r="6" spans="1:5">
      <c r="B6" s="2" t="s">
        <v>49</v>
      </c>
      <c r="C6" s="2" t="s">
        <v>48</v>
      </c>
      <c r="D6" s="2">
        <v>750000</v>
      </c>
      <c r="E6" s="2">
        <v>950000</v>
      </c>
    </row>
    <row r="7" spans="1:5">
      <c r="B7" s="2" t="s">
        <v>50</v>
      </c>
      <c r="C7" s="2" t="s">
        <v>51</v>
      </c>
      <c r="D7" s="2">
        <v>350000</v>
      </c>
      <c r="E7" s="2">
        <v>375000</v>
      </c>
    </row>
    <row r="8" spans="1:5">
      <c r="B8" s="2" t="s">
        <v>52</v>
      </c>
      <c r="C8" s="2" t="s">
        <v>51</v>
      </c>
      <c r="D8" s="2">
        <v>250000</v>
      </c>
    </row>
    <row r="9" spans="1:5">
      <c r="C9" s="2" t="s">
        <v>53</v>
      </c>
      <c r="D9" s="2">
        <v>300000</v>
      </c>
      <c r="E9" s="2">
        <v>125000</v>
      </c>
    </row>
    <row r="10" spans="1:5">
      <c r="B10" s="2" t="s">
        <v>54</v>
      </c>
      <c r="C10" s="2" t="s">
        <v>55</v>
      </c>
      <c r="D10" s="2">
        <v>300000</v>
      </c>
    </row>
    <row r="11" spans="1:5">
      <c r="C11" s="2" t="s">
        <v>56</v>
      </c>
      <c r="D11" s="2">
        <v>300000</v>
      </c>
    </row>
    <row r="12" spans="1:5">
      <c r="C12" s="2" t="s">
        <v>57</v>
      </c>
      <c r="D12" s="2">
        <v>300000</v>
      </c>
    </row>
    <row r="13" spans="1:5">
      <c r="B13" s="2" t="s">
        <v>74</v>
      </c>
    </row>
    <row r="14" spans="1:5">
      <c r="B14" s="2" t="s">
        <v>75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Parts</vt:lpstr>
      <vt:lpstr>Model</vt:lpstr>
      <vt:lpstr>Earnings Call Notes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2024-11-23T22:08:11Z</dcterms:modified>
  <cp:category/>
  <cp:contentStatus/>
</cp:coreProperties>
</file>