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3" documentId="8_{2959E65E-55D8-40F5-B350-6BD91C9C1EC2}" xr6:coauthVersionLast="47" xr6:coauthVersionMax="47" xr10:uidLastSave="{722BB6F0-A3EF-466F-A74E-3A6D859014EA}"/>
  <bookViews>
    <workbookView xWindow="-90" yWindow="0" windowWidth="9780" windowHeight="10170" firstSheet="2" activeTab="2" xr2:uid="{00000000-000D-0000-FFFF-FFFF00000000}"/>
  </bookViews>
  <sheets>
    <sheet name="Main" sheetId="1" r:id="rId1"/>
    <sheet name="Model" sheetId="2" r:id="rId2"/>
    <sheet name="Earnings Call Notes" sheetId="5" r:id="rId3"/>
    <sheet name="Manufacturing" sheetId="3" r:id="rId4"/>
    <sheet name="IP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2" i="2" l="1"/>
  <c r="AD72" i="2"/>
  <c r="AB72" i="2"/>
  <c r="AA72" i="2"/>
  <c r="AC41" i="2"/>
  <c r="AC40" i="2"/>
  <c r="AC35" i="2"/>
  <c r="AC36" i="2"/>
  <c r="BB69" i="2"/>
  <c r="BC69" i="2" s="1"/>
  <c r="BB61" i="2"/>
  <c r="BC61" i="2" s="1"/>
  <c r="BD61" i="2" s="1"/>
  <c r="BE61" i="2" s="1"/>
  <c r="BF61" i="2" s="1"/>
  <c r="BB60" i="2"/>
  <c r="BC60" i="2" s="1"/>
  <c r="BF2" i="2"/>
  <c r="BE2" i="2"/>
  <c r="BD2" i="2"/>
  <c r="BC2" i="2"/>
  <c r="BB2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C50" i="2"/>
  <c r="AC58" i="2" s="1"/>
  <c r="AC49" i="2"/>
  <c r="AC57" i="2" s="1"/>
  <c r="AC47" i="2"/>
  <c r="AC55" i="2" s="1"/>
  <c r="AC4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B62" i="2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B73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U37" i="2" l="1"/>
  <c r="AU118" i="2" s="1"/>
  <c r="AC45" i="2"/>
  <c r="AU44" i="2"/>
  <c r="AU121" i="2"/>
  <c r="BE69" i="2"/>
  <c r="BE60" i="2"/>
  <c r="BD62" i="2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F60" i="2"/>
  <c r="BF62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V118" i="2" s="1"/>
  <c r="AW42" i="2"/>
  <c r="AV73" i="2"/>
  <c r="AS76" i="2"/>
  <c r="AS63" i="2"/>
  <c r="AT71" i="2"/>
  <c r="V76" i="2"/>
  <c r="V63" i="2"/>
  <c r="V65" i="2" s="1"/>
  <c r="V67" i="2" s="1"/>
  <c r="AV121" i="2" l="1"/>
  <c r="AV44" i="2"/>
  <c r="AD79" i="2"/>
  <c r="AD68" i="2"/>
  <c r="Y79" i="2"/>
  <c r="Y94" i="2"/>
  <c r="Y106" i="2"/>
  <c r="Y68" i="2"/>
  <c r="AV72" i="2"/>
  <c r="AY62" i="2"/>
  <c r="AW37" i="2"/>
  <c r="AW118" i="2" s="1"/>
  <c r="AW73" i="2"/>
  <c r="AX42" i="2"/>
  <c r="V68" i="2"/>
  <c r="V79" i="2"/>
  <c r="Z76" i="2"/>
  <c r="Z63" i="2"/>
  <c r="Z65" i="2" s="1"/>
  <c r="AT59" i="2"/>
  <c r="AW121" i="2" l="1"/>
  <c r="AW44" i="2"/>
  <c r="AW72" i="2"/>
  <c r="AT63" i="2"/>
  <c r="AT65" i="2" s="1"/>
  <c r="AT76" i="2"/>
  <c r="AY42" i="2"/>
  <c r="AX73" i="2"/>
  <c r="AX37" i="2"/>
  <c r="AX118" i="2" s="1"/>
  <c r="BA62" i="2"/>
  <c r="AZ62" i="2"/>
  <c r="Z67" i="2"/>
  <c r="AT66" i="2"/>
  <c r="AX121" i="2" l="1"/>
  <c r="AX44" i="2"/>
  <c r="Z94" i="2"/>
  <c r="AT94" i="2" s="1"/>
  <c r="Z106" i="2"/>
  <c r="AT67" i="2"/>
  <c r="AT68" i="2" s="1"/>
  <c r="AX72" i="2"/>
  <c r="AZ42" i="2"/>
  <c r="AY37" i="2"/>
  <c r="AY118" i="2" s="1"/>
  <c r="AY73" i="2"/>
  <c r="Z79" i="2"/>
  <c r="Z68" i="2"/>
  <c r="AY121" i="2" l="1"/>
  <c r="AY44" i="2"/>
  <c r="AY72" i="2"/>
  <c r="AZ37" i="2"/>
  <c r="AZ118" i="2" s="1"/>
  <c r="BA42" i="2"/>
  <c r="BB42" i="2" s="1"/>
  <c r="AZ73" i="2"/>
  <c r="BB37" i="2" l="1"/>
  <c r="BC42" i="2"/>
  <c r="BB73" i="2"/>
  <c r="AZ121" i="2"/>
  <c r="AZ44" i="2"/>
  <c r="AZ72" i="2"/>
  <c r="BA37" i="2"/>
  <c r="BA118" i="2" s="1"/>
  <c r="BA73" i="2"/>
  <c r="BA121" i="2" l="1"/>
  <c r="BA44" i="2"/>
  <c r="BD42" i="2"/>
  <c r="BC37" i="2"/>
  <c r="BC73" i="2"/>
  <c r="BB72" i="2"/>
  <c r="BB118" i="2"/>
  <c r="BA72" i="2"/>
  <c r="BB121" i="2" l="1"/>
  <c r="BB44" i="2"/>
  <c r="BC72" i="2"/>
  <c r="BC118" i="2"/>
  <c r="BE42" i="2"/>
  <c r="BD37" i="2"/>
  <c r="BD73" i="2"/>
  <c r="AB48" i="2"/>
  <c r="AB75" i="2"/>
  <c r="AB38" i="2"/>
  <c r="AC38" i="2" s="1"/>
  <c r="BC121" i="2" l="1"/>
  <c r="BC44" i="2"/>
  <c r="BD72" i="2"/>
  <c r="BD118" i="2"/>
  <c r="BF42" i="2"/>
  <c r="BE37" i="2"/>
  <c r="BE73" i="2"/>
  <c r="AC52" i="2"/>
  <c r="AU52" i="2" s="1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BE118" i="2"/>
  <c r="BE72" i="2"/>
  <c r="BF37" i="2"/>
  <c r="BF73" i="2"/>
  <c r="BD121" i="2"/>
  <c r="BD44" i="2"/>
  <c r="AU38" i="2"/>
  <c r="AV38" i="2" s="1"/>
  <c r="AC53" i="2"/>
  <c r="AC75" i="2" s="1"/>
  <c r="AC51" i="2"/>
  <c r="AC71" i="2" s="1"/>
  <c r="AC56" i="2"/>
  <c r="AC59" i="2" s="1"/>
  <c r="AU71" i="2"/>
  <c r="AB76" i="2"/>
  <c r="AB67" i="2"/>
  <c r="BF118" i="2" l="1"/>
  <c r="BF72" i="2"/>
  <c r="BE121" i="2"/>
  <c r="BE44" i="2"/>
  <c r="AV45" i="2"/>
  <c r="AW38" i="2"/>
  <c r="AU53" i="2"/>
  <c r="AU75" i="2" s="1"/>
  <c r="AU56" i="2"/>
  <c r="AU59" i="2"/>
  <c r="AC76" i="2"/>
  <c r="AC63" i="2"/>
  <c r="AC65" i="2" s="1"/>
  <c r="AC66" i="2" s="1"/>
  <c r="AB79" i="2"/>
  <c r="AB68" i="2"/>
  <c r="AV48" i="2" l="1"/>
  <c r="AV51" i="2" s="1"/>
  <c r="AV52" i="2"/>
  <c r="BF121" i="2"/>
  <c r="BF44" i="2"/>
  <c r="AX38" i="2"/>
  <c r="AW45" i="2"/>
  <c r="AV71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W76" i="2"/>
  <c r="AX71" i="2"/>
  <c r="AZ38" i="2"/>
  <c r="AY45" i="2"/>
  <c r="AY48" i="2" s="1"/>
  <c r="AY51" i="2" s="1"/>
  <c r="AU94" i="2"/>
  <c r="AV64" i="2" l="1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94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94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94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 s="1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94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<sst xmlns="http://schemas.openxmlformats.org/spreadsheetml/2006/main" count="184" uniqueCount="167">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</sst>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10" fillId="2" borderId="0" xfId="0" applyNumberFormat="1" applyFont="1" applyFill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22023</xdr:colOff>
      <xdr:row>0</xdr:row>
      <xdr:rowOff>0</xdr:rowOff>
    </xdr:from>
    <xdr:to>
      <xdr:col>28</xdr:col>
      <xdr:colOff>37478</xdr:colOff>
      <xdr:row>136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93668" y="0"/>
          <a:ext cx="15455" cy="16432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zoomScale="205" zoomScaleNormal="205" workbookViewId="0">
      <selection activeCell="H10" sqref="H10"/>
    </sheetView>
  </sheetViews>
  <sheetFormatPr defaultColWidth="9.1796875" defaultRowHeight="12.5" x14ac:dyDescent="0.25"/>
  <cols>
    <col min="1" max="16384" width="9.1796875" style="9"/>
  </cols>
  <sheetData>
    <row r="2" spans="2:12" x14ac:dyDescent="0.25">
      <c r="B2" s="32" t="s">
        <v>109</v>
      </c>
      <c r="J2" s="9" t="s">
        <v>0</v>
      </c>
      <c r="K2" s="11">
        <v>254</v>
      </c>
    </row>
    <row r="3" spans="2:12" x14ac:dyDescent="0.25">
      <c r="C3" s="32" t="s">
        <v>125</v>
      </c>
      <c r="J3" s="9" t="s">
        <v>1</v>
      </c>
      <c r="K3" s="10">
        <v>3194.6404149999998</v>
      </c>
      <c r="L3" s="31" t="s">
        <v>118</v>
      </c>
    </row>
    <row r="4" spans="2:12" x14ac:dyDescent="0.25">
      <c r="B4" s="33" t="s">
        <v>126</v>
      </c>
      <c r="J4" s="9" t="s">
        <v>2</v>
      </c>
      <c r="K4" s="10">
        <f>K2*K3</f>
        <v>811438.66541000002</v>
      </c>
    </row>
    <row r="5" spans="2:12" x14ac:dyDescent="0.25">
      <c r="J5" s="9" t="s">
        <v>3</v>
      </c>
      <c r="K5" s="10">
        <f>14635+16085</f>
        <v>30720</v>
      </c>
      <c r="L5" s="31" t="s">
        <v>118</v>
      </c>
    </row>
    <row r="6" spans="2:12" x14ac:dyDescent="0.25">
      <c r="B6" s="33" t="s">
        <v>157</v>
      </c>
      <c r="J6" s="9" t="s">
        <v>4</v>
      </c>
      <c r="K6" s="18">
        <f>2264+5481</f>
        <v>7745</v>
      </c>
      <c r="L6" s="31" t="s">
        <v>118</v>
      </c>
    </row>
    <row r="7" spans="2:12" x14ac:dyDescent="0.25">
      <c r="B7" s="33" t="s">
        <v>156</v>
      </c>
      <c r="J7" s="9" t="s">
        <v>5</v>
      </c>
      <c r="K7" s="10">
        <f>K4-K5+K6</f>
        <v>788463.66541000002</v>
      </c>
    </row>
    <row r="8" spans="2:12" x14ac:dyDescent="0.25">
      <c r="B8" s="33" t="s">
        <v>107</v>
      </c>
    </row>
    <row r="9" spans="2:12" x14ac:dyDescent="0.25">
      <c r="B9" s="33" t="s">
        <v>160</v>
      </c>
    </row>
    <row r="10" spans="2:12" x14ac:dyDescent="0.25">
      <c r="B10" s="33" t="s">
        <v>105</v>
      </c>
      <c r="J10" s="9" t="s">
        <v>7</v>
      </c>
    </row>
    <row r="12" spans="2:12" x14ac:dyDescent="0.25">
      <c r="B12" s="33" t="s">
        <v>127</v>
      </c>
    </row>
    <row r="17" spans="2:2" x14ac:dyDescent="0.25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77" zoomScaleNormal="77" workbookViewId="0">
      <pane xSplit="2" ySplit="2" topLeftCell="W58" activePane="bottomRight" state="frozen"/>
      <selection pane="topRight" activeCell="C1" sqref="C1"/>
      <selection pane="bottomLeft" activeCell="A3" sqref="A3"/>
      <selection pane="bottomRight" activeCell="B75" sqref="B75"/>
    </sheetView>
  </sheetViews>
  <sheetFormatPr defaultColWidth="9.1796875" defaultRowHeight="12.5" x14ac:dyDescent="0.25"/>
  <cols>
    <col min="1" max="1" width="5.1796875" style="1" bestFit="1" customWidth="1"/>
    <col min="2" max="2" width="25" style="1" customWidth="1"/>
    <col min="3" max="18" width="9.1796875" style="2"/>
    <col min="19" max="19" width="8.7265625" style="2" customWidth="1"/>
    <col min="20" max="23" width="9.1796875" style="2"/>
    <col min="24" max="24" width="9.7265625" style="2" customWidth="1"/>
    <col min="25" max="26" width="9.1796875" style="2"/>
    <col min="27" max="30" width="9.54296875" style="2" customWidth="1"/>
    <col min="31" max="34" width="8.453125" style="2" customWidth="1"/>
    <col min="35" max="43" width="9.1796875" style="1"/>
    <col min="44" max="46" width="9.7265625" style="1" customWidth="1"/>
    <col min="47" max="47" width="10.7265625" style="1" customWidth="1"/>
    <col min="48" max="58" width="9.7265625" style="1" customWidth="1"/>
    <col min="59" max="59" width="9.1796875" style="1"/>
    <col min="60" max="60" width="9.54296875" style="1" customWidth="1"/>
    <col min="61" max="16384" width="9.1796875" style="1"/>
  </cols>
  <sheetData>
    <row r="1" spans="1:58" x14ac:dyDescent="0.25">
      <c r="A1" s="14" t="s">
        <v>8</v>
      </c>
    </row>
    <row r="2" spans="1:58" x14ac:dyDescent="0.25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5">
      <c r="A3" s="14"/>
      <c r="B3" s="33" t="s">
        <v>136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5">
      <c r="A4" s="14"/>
      <c r="B4" s="33" t="s">
        <v>128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5">
      <c r="A5" s="14"/>
      <c r="B5" s="33" t="s">
        <v>142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5">
      <c r="A6" s="14"/>
      <c r="B6" s="33" t="s">
        <v>151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5">
      <c r="A7" s="14"/>
      <c r="B7" s="33" t="s">
        <v>152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5">
      <c r="A8" s="14"/>
      <c r="B8" s="33" t="s">
        <v>138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ht="13" x14ac:dyDescent="0.3">
      <c r="A9" s="38"/>
      <c r="B9" s="23" t="s">
        <v>133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78438.263692538225</v>
      </c>
    </row>
    <row r="10" spans="1:58" x14ac:dyDescent="0.25">
      <c r="A10" s="14"/>
      <c r="B10" s="33" t="s">
        <v>129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5">
      <c r="A11" s="14"/>
      <c r="B11" s="33" t="s">
        <v>132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5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5">
      <c r="A13" s="14"/>
      <c r="B13" s="33" t="s">
        <v>131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5">
      <c r="A14" s="14"/>
      <c r="B14" s="33" t="s">
        <v>137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5">
      <c r="A15" s="14"/>
      <c r="B15" s="33" t="s">
        <v>153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5">
      <c r="A16" s="14"/>
      <c r="B16" s="33" t="s">
        <v>140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5">
      <c r="A17" s="14"/>
      <c r="B17" s="33" t="s">
        <v>130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5">
      <c r="A18" s="14"/>
      <c r="B18" s="33" t="s">
        <v>141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5">
      <c r="A19" s="14"/>
      <c r="B19" s="33" t="s">
        <v>139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ht="13" x14ac:dyDescent="0.3">
      <c r="A20" s="38"/>
      <c r="B20" s="23" t="s">
        <v>135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1838181.22</v>
      </c>
    </row>
    <row r="21" spans="1:47" x14ac:dyDescent="0.25">
      <c r="A21" s="14"/>
      <c r="B21" s="33" t="s">
        <v>134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5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5">
      <c r="A23" s="14"/>
      <c r="B23" s="33" t="s">
        <v>143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5">
      <c r="A24" s="14"/>
      <c r="B24" s="33" t="s">
        <v>144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5">
      <c r="A25" s="14"/>
      <c r="B25" s="33" t="s">
        <v>145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5">
      <c r="A26" s="14"/>
      <c r="B26" s="33" t="s">
        <v>154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5">
      <c r="A27" s="14"/>
      <c r="B27" s="33" t="s">
        <v>146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5">
      <c r="A28" s="14"/>
      <c r="B28" s="33" t="s">
        <v>147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5">
      <c r="A29" s="14"/>
      <c r="B29" s="33" t="s">
        <v>148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5">
      <c r="A30" s="14"/>
      <c r="B30" s="33" t="s">
        <v>149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5">
      <c r="A31" s="14"/>
      <c r="B31" s="33" t="s">
        <v>150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5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5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14705.44976</v>
      </c>
    </row>
    <row r="34" spans="1:58" s="4" customFormat="1" x14ac:dyDescent="0.25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5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f>+Y35*1.08</f>
        <v>17263.800000000003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85701.5</v>
      </c>
    </row>
    <row r="36" spans="1:58" s="4" customFormat="1" x14ac:dyDescent="0.25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f>+Y36*1.08</f>
        <v>452599.92000000004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1752479.72</v>
      </c>
    </row>
    <row r="37" spans="1:58" s="6" customFormat="1" ht="13" x14ac:dyDescent="0.3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469863.72000000003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1838181.22</v>
      </c>
      <c r="AV37" s="6">
        <f t="shared" ref="AV37:AY37" si="14">AV42</f>
        <v>2267383.352</v>
      </c>
      <c r="AW37" s="6">
        <f t="shared" si="14"/>
        <v>2834229.19</v>
      </c>
      <c r="AX37" s="6">
        <f t="shared" si="14"/>
        <v>3401075.0279999999</v>
      </c>
      <c r="AY37" s="6">
        <f t="shared" si="14"/>
        <v>4081290.0335999997</v>
      </c>
      <c r="AZ37" s="6">
        <f t="shared" ref="AZ37:BA37" si="15">AZ42</f>
        <v>4693483.538639999</v>
      </c>
      <c r="BA37" s="6">
        <f t="shared" si="15"/>
        <v>5162831.8925039992</v>
      </c>
      <c r="BB37" s="6">
        <f t="shared" ref="BB37:BF37" si="16">BB42</f>
        <v>5420973.4871291993</v>
      </c>
      <c r="BC37" s="6">
        <f t="shared" si="16"/>
        <v>5692022.1614856599</v>
      </c>
      <c r="BD37" s="6">
        <f t="shared" si="16"/>
        <v>5976623.2695599431</v>
      </c>
      <c r="BE37" s="6">
        <f t="shared" si="16"/>
        <v>6275454.4330379404</v>
      </c>
      <c r="BF37" s="6">
        <f t="shared" si="16"/>
        <v>6589227.1546898372</v>
      </c>
    </row>
    <row r="38" spans="1:58" s="4" customFormat="1" x14ac:dyDescent="0.25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42671.670692260814</v>
      </c>
      <c r="AV38" s="4">
        <f>AU38*1.03</f>
        <v>43951.820813028637</v>
      </c>
      <c r="AW38" s="4">
        <f>AV38*1.03</f>
        <v>45270.375437419498</v>
      </c>
      <c r="AX38" s="4">
        <f>AW38*1.03</f>
        <v>46628.486700542082</v>
      </c>
      <c r="AY38" s="4">
        <f>AX38*1.03</f>
        <v>48027.341301558343</v>
      </c>
      <c r="AZ38" s="4">
        <f t="shared" ref="AZ38:BA38" si="19">AY38*1.03</f>
        <v>49468.161540605091</v>
      </c>
      <c r="BA38" s="4">
        <f t="shared" si="19"/>
        <v>50952.206386823244</v>
      </c>
      <c r="BB38" s="4">
        <f t="shared" ref="BB38" si="20">BA38*1.03</f>
        <v>52480.772578427939</v>
      </c>
      <c r="BC38" s="4">
        <f t="shared" ref="BC38" si="21">BB38*1.03</f>
        <v>54055.195755780776</v>
      </c>
      <c r="BD38" s="4">
        <f t="shared" ref="BD38" si="22">BC38*1.03</f>
        <v>55676.851628454198</v>
      </c>
      <c r="BE38" s="4">
        <f t="shared" ref="BE38" si="23">BD38*1.03</f>
        <v>57347.157177307825</v>
      </c>
      <c r="BF38" s="4">
        <f t="shared" ref="BF38" si="24">BE38*1.03</f>
        <v>59067.571892627064</v>
      </c>
    </row>
    <row r="39" spans="1:58" s="4" customForma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5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f>+Y40*1.08</f>
        <v>14783.04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78245.040000000008</v>
      </c>
    </row>
    <row r="41" spans="1:58" s="4" customFormat="1" x14ac:dyDescent="0.25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f>+Y41*1.08</f>
        <v>450144.00000000006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1665896</v>
      </c>
    </row>
    <row r="42" spans="1:58" s="6" customFormat="1" ht="13" x14ac:dyDescent="0.3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464927.04000000004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1744141.04</v>
      </c>
      <c r="AV42" s="6">
        <f>AU42*1.3</f>
        <v>2267383.352</v>
      </c>
      <c r="AW42" s="6">
        <f>AV42*1.25</f>
        <v>2834229.19</v>
      </c>
      <c r="AX42" s="6">
        <f>AW42*1.2</f>
        <v>3401075.0279999999</v>
      </c>
      <c r="AY42" s="6">
        <f>AX42*1.2</f>
        <v>4081290.0335999997</v>
      </c>
      <c r="AZ42" s="6">
        <f>AY42*1.15</f>
        <v>4693483.538639999</v>
      </c>
      <c r="BA42" s="6">
        <f>AZ42*1.1</f>
        <v>5162831.8925039992</v>
      </c>
      <c r="BB42" s="6">
        <f>+BA42*1.05</f>
        <v>5420973.4871291993</v>
      </c>
      <c r="BC42" s="6">
        <f t="shared" ref="BC42:BF42" si="29">+BB42*1.05</f>
        <v>5692022.1614856599</v>
      </c>
      <c r="BD42" s="6">
        <f t="shared" si="29"/>
        <v>5976623.2695599431</v>
      </c>
      <c r="BE42" s="6">
        <f t="shared" si="29"/>
        <v>6275454.4330379404</v>
      </c>
      <c r="BF42" s="6">
        <f t="shared" si="29"/>
        <v>6589227.1546898372</v>
      </c>
    </row>
    <row r="43" spans="1:58" s="4" customForma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5">
      <c r="B44" s="40" t="s">
        <v>166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563.65397119999989</v>
      </c>
      <c r="AV44" s="4">
        <f>+AV118-$AT$118</f>
        <v>1701.2506905599998</v>
      </c>
      <c r="AW44" s="4">
        <f t="shared" ref="AW44:BF44" si="30">+AW118-$AT$118</f>
        <v>3333.7667039999997</v>
      </c>
      <c r="AX44" s="4">
        <f t="shared" si="30"/>
        <v>5329.0640537599993</v>
      </c>
      <c r="AY44" s="4">
        <f t="shared" si="30"/>
        <v>7941.0896752640001</v>
      </c>
      <c r="AZ44" s="4">
        <f t="shared" si="30"/>
        <v>10814.317858918397</v>
      </c>
      <c r="BA44" s="4">
        <f t="shared" si="30"/>
        <v>13667.955850411518</v>
      </c>
      <c r="BB44" s="4">
        <f t="shared" si="30"/>
        <v>14845.08152190243</v>
      </c>
      <c r="BC44" s="4">
        <f t="shared" si="30"/>
        <v>16102.747370916408</v>
      </c>
      <c r="BD44" s="4">
        <f t="shared" si="30"/>
        <v>17446.064601027025</v>
      </c>
      <c r="BE44" s="4">
        <f t="shared" si="30"/>
        <v>18880.45418572141</v>
      </c>
      <c r="BF44" s="4">
        <f t="shared" si="30"/>
        <v>20411.665067382663</v>
      </c>
    </row>
    <row r="45" spans="1:58" s="4" customFormat="1" x14ac:dyDescent="0.25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f>+AC38*AC37/1000000</f>
        <v>19415.232555217186</v>
      </c>
      <c r="AD45" s="5">
        <f>+AD38*AD37/1000000</f>
        <v>24033.031137321035</v>
      </c>
      <c r="AE45" s="5"/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78438.263692538225</v>
      </c>
      <c r="AV45" s="4">
        <f t="shared" ref="AV45:BA45" si="32">AV38*AV42/1000000</f>
        <v>99655.626801548235</v>
      </c>
      <c r="AW45" s="4">
        <f t="shared" si="32"/>
        <v>128306.61950699336</v>
      </c>
      <c r="AX45" s="4">
        <f t="shared" si="32"/>
        <v>158586.9817106438</v>
      </c>
      <c r="AY45" s="4">
        <f t="shared" si="32"/>
        <v>196013.5093943557</v>
      </c>
      <c r="AZ45" s="4">
        <f t="shared" si="32"/>
        <v>232178.0018776143</v>
      </c>
      <c r="BA45" s="4">
        <f t="shared" si="32"/>
        <v>263057.67612733698</v>
      </c>
      <c r="BB45" s="4">
        <f t="shared" ref="BB45:BF45" si="33">BB38*BB42/1000000</f>
        <v>284496.87673171499</v>
      </c>
      <c r="BC45" s="4">
        <f t="shared" si="33"/>
        <v>307683.37218534981</v>
      </c>
      <c r="BD45" s="4">
        <f t="shared" si="33"/>
        <v>332759.56701845577</v>
      </c>
      <c r="BE45" s="4">
        <f t="shared" si="33"/>
        <v>359879.47173045995</v>
      </c>
      <c r="BF45" s="4">
        <f t="shared" si="33"/>
        <v>389209.64867649245</v>
      </c>
    </row>
    <row r="46" spans="1:58" s="4" customFormat="1" x14ac:dyDescent="0.25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f>+Y46</f>
        <v>554</v>
      </c>
      <c r="AD46" s="5">
        <f t="shared" ref="AD46:AD47" si="35">+Z46</f>
        <v>433</v>
      </c>
      <c r="AE46" s="5"/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2319</v>
      </c>
    </row>
    <row r="47" spans="1:58" s="4" customFormat="1" x14ac:dyDescent="0.25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f>+Y47</f>
        <v>489</v>
      </c>
      <c r="AD47" s="5">
        <f t="shared" si="35"/>
        <v>500</v>
      </c>
      <c r="AE47" s="5"/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1923</v>
      </c>
    </row>
    <row r="48" spans="1:58" s="6" customFormat="1" ht="13" x14ac:dyDescent="0.3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20458.232555217186</v>
      </c>
      <c r="AD48" s="7">
        <f t="shared" si="41"/>
        <v>24966.031137321035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82680.263692538225</v>
      </c>
      <c r="AV48" s="6">
        <f>AV45+AV46+AV47</f>
        <v>99655.626801548235</v>
      </c>
      <c r="AW48" s="6">
        <f>AW45+AW46+AW47</f>
        <v>128306.61950699336</v>
      </c>
      <c r="AX48" s="6">
        <f>AX45+AX46+AX47</f>
        <v>158586.9817106438</v>
      </c>
      <c r="AY48" s="6">
        <f>AY45+AY46+AY47</f>
        <v>196013.5093943557</v>
      </c>
      <c r="AZ48" s="6">
        <f t="shared" ref="AZ48:BF48" si="42">AZ45+AZ46+AZ47</f>
        <v>232178.0018776143</v>
      </c>
      <c r="BA48" s="6">
        <f t="shared" si="42"/>
        <v>263057.67612733698</v>
      </c>
      <c r="BB48" s="6">
        <f t="shared" si="42"/>
        <v>284496.87673171499</v>
      </c>
      <c r="BC48" s="6">
        <f t="shared" si="42"/>
        <v>307683.37218534981</v>
      </c>
      <c r="BD48" s="6">
        <f t="shared" si="42"/>
        <v>332759.56701845577</v>
      </c>
      <c r="BE48" s="6">
        <f t="shared" si="42"/>
        <v>359879.47173045995</v>
      </c>
      <c r="BF48" s="6">
        <f t="shared" si="42"/>
        <v>389209.64867649245</v>
      </c>
    </row>
    <row r="49" spans="2:58" s="4" customFormat="1" x14ac:dyDescent="0.25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f>+Y49*1.4</f>
        <v>2182.6</v>
      </c>
      <c r="AD49" s="5">
        <f t="shared" ref="AD49:AD50" si="44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8269.6</v>
      </c>
    </row>
    <row r="50" spans="2:58" s="4" customFormat="1" x14ac:dyDescent="0.25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f>+Y50*1.4</f>
        <v>3032.3999999999996</v>
      </c>
      <c r="AD50" s="5">
        <f t="shared" si="44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10094.4</v>
      </c>
    </row>
    <row r="51" spans="2:58" s="6" customFormat="1" ht="13" x14ac:dyDescent="0.3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25673.232555217182</v>
      </c>
      <c r="AD51" s="7">
        <f t="shared" si="48"/>
        <v>28570.031137321035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101607.91766373822</v>
      </c>
      <c r="AV51" s="6">
        <f>SUM(AV48:AV50)+AV44</f>
        <v>101356.87749210824</v>
      </c>
      <c r="AW51" s="6">
        <f>SUM(AW48:AW50)+AW44</f>
        <v>131640.38621099337</v>
      </c>
      <c r="AX51" s="6">
        <f t="shared" ref="AX51:BA51" si="50">SUM(AX48:AX50)+AX44</f>
        <v>163916.0457644038</v>
      </c>
      <c r="AY51" s="6">
        <f t="shared" si="50"/>
        <v>203954.5990696197</v>
      </c>
      <c r="AZ51" s="6">
        <f t="shared" si="50"/>
        <v>242992.31973653269</v>
      </c>
      <c r="BA51" s="6">
        <f t="shared" si="50"/>
        <v>276725.63197774848</v>
      </c>
      <c r="BB51" s="6">
        <f t="shared" ref="BB51" si="51">SUM(BB48:BB50)+BB44</f>
        <v>299341.9582536174</v>
      </c>
      <c r="BC51" s="6">
        <f t="shared" ref="BC51" si="52">SUM(BC48:BC50)+BC44</f>
        <v>323786.11955626623</v>
      </c>
      <c r="BD51" s="6">
        <f t="shared" ref="BD51" si="53">SUM(BD48:BD50)+BD44</f>
        <v>350205.63161948277</v>
      </c>
      <c r="BE51" s="6">
        <f t="shared" ref="BE51" si="54">SUM(BE48:BE50)+BE44</f>
        <v>378759.92591618135</v>
      </c>
      <c r="BF51" s="6">
        <f t="shared" ref="BF51" si="55">SUM(BF48:BF50)+BF44</f>
        <v>409621.31374387513</v>
      </c>
    </row>
    <row r="52" spans="2:58" s="4" customFormat="1" x14ac:dyDescent="0.25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f>+AC45*0.85</f>
        <v>16502.947671934609</v>
      </c>
      <c r="AD52" s="5">
        <f>+AD45*0.85</f>
        <v>20428.07646672288</v>
      </c>
      <c r="AE52" s="5"/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66790.024138657493</v>
      </c>
      <c r="AV52" s="4">
        <f>AV45*0.8</f>
        <v>79724.501441238594</v>
      </c>
      <c r="AW52" s="4">
        <f>AW45*0.79</f>
        <v>101362.22941052476</v>
      </c>
      <c r="AX52" s="4">
        <f>AX51*0.78</f>
        <v>127854.51569623497</v>
      </c>
      <c r="AY52" s="4">
        <f>AY51*0.77</f>
        <v>157045.04128360716</v>
      </c>
      <c r="AZ52" s="4">
        <f>AZ51*0.76</f>
        <v>184674.16299976484</v>
      </c>
      <c r="BA52" s="4">
        <f>BA51*0.75</f>
        <v>207544.22398331136</v>
      </c>
      <c r="BB52" s="4">
        <f t="shared" ref="BB52:BF52" si="58">BB51*0.75</f>
        <v>224506.46869021305</v>
      </c>
      <c r="BC52" s="4">
        <f t="shared" si="58"/>
        <v>242839.58966719967</v>
      </c>
      <c r="BD52" s="4">
        <f t="shared" si="58"/>
        <v>262654.22371461208</v>
      </c>
      <c r="BE52" s="4">
        <f t="shared" si="58"/>
        <v>284069.944437136</v>
      </c>
      <c r="BF52" s="4">
        <f t="shared" si="58"/>
        <v>307215.98530790635</v>
      </c>
    </row>
    <row r="53" spans="2:58" s="4" customFormat="1" x14ac:dyDescent="0.25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2912.2848832825766</v>
      </c>
      <c r="AD53" s="5">
        <f>AD45-AD52</f>
        <v>3604.9546705981556</v>
      </c>
      <c r="AE53" s="5"/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11648.239553880732</v>
      </c>
    </row>
    <row r="54" spans="2:58" s="4" customFormat="1" x14ac:dyDescent="0.25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7"/>
        <v>0</v>
      </c>
    </row>
    <row r="55" spans="2:58" s="4" customFormat="1" x14ac:dyDescent="0.25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f>+AC47*0.5</f>
        <v>244.5</v>
      </c>
      <c r="AD55" s="5">
        <f>+AD47*0.5</f>
        <v>250</v>
      </c>
      <c r="AE55" s="5"/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1008.5</v>
      </c>
    </row>
    <row r="56" spans="2:58" s="4" customFormat="1" x14ac:dyDescent="0.25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D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3710.7848832825766</v>
      </c>
      <c r="AD56" s="5">
        <f t="shared" si="66"/>
        <v>4287.9546705981556</v>
      </c>
      <c r="AE56" s="5"/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14881.739553880732</v>
      </c>
      <c r="AV56" s="4">
        <f>AV51-AV52</f>
        <v>21632.376050869643</v>
      </c>
      <c r="AW56" s="4">
        <f t="shared" ref="AW56:BF56" si="67">AW51-AW52</f>
        <v>30278.156800468612</v>
      </c>
      <c r="AX56" s="4">
        <f t="shared" si="67"/>
        <v>36061.530068168824</v>
      </c>
      <c r="AY56" s="4">
        <f t="shared" si="67"/>
        <v>46909.557786012534</v>
      </c>
      <c r="AZ56" s="4">
        <f t="shared" si="67"/>
        <v>58318.156736767851</v>
      </c>
      <c r="BA56" s="4">
        <f t="shared" si="67"/>
        <v>69181.407994437119</v>
      </c>
      <c r="BB56" s="4">
        <f t="shared" si="67"/>
        <v>74835.48956340435</v>
      </c>
      <c r="BC56" s="4">
        <f t="shared" si="67"/>
        <v>80946.529889066558</v>
      </c>
      <c r="BD56" s="4">
        <f t="shared" si="67"/>
        <v>87551.407904870692</v>
      </c>
      <c r="BE56" s="4">
        <f t="shared" si="67"/>
        <v>94689.981479045353</v>
      </c>
      <c r="BF56" s="4">
        <f t="shared" si="67"/>
        <v>102405.32843596878</v>
      </c>
    </row>
    <row r="57" spans="2:58" s="4" customFormat="1" x14ac:dyDescent="0.25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f>+AC49*0.85</f>
        <v>1855.2099999999998</v>
      </c>
      <c r="AD57" s="5">
        <f>+AD49*0.9</f>
        <v>1294.2</v>
      </c>
      <c r="AE57" s="5"/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6655.41</v>
      </c>
    </row>
    <row r="58" spans="2:58" s="4" customFormat="1" x14ac:dyDescent="0.25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f>+AC50</f>
        <v>3032.3999999999996</v>
      </c>
      <c r="AD58" s="5">
        <f>+AD50</f>
        <v>2166</v>
      </c>
      <c r="AE58" s="5"/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9846.4</v>
      </c>
    </row>
    <row r="59" spans="2:58" s="4" customFormat="1" x14ac:dyDescent="0.25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D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4038.174883282577</v>
      </c>
      <c r="AD59" s="5">
        <f t="shared" si="71"/>
        <v>4431.7546705981558</v>
      </c>
      <c r="AE59" s="5"/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16743.929553880731</v>
      </c>
      <c r="AV59" s="4">
        <f>+AV56+AV44</f>
        <v>23333.626741429642</v>
      </c>
      <c r="AW59" s="4">
        <f t="shared" ref="AW59:BF59" si="73">+AW56+AW44</f>
        <v>33611.923504468614</v>
      </c>
      <c r="AX59" s="4">
        <f t="shared" si="73"/>
        <v>41390.594121928822</v>
      </c>
      <c r="AY59" s="4">
        <f t="shared" si="73"/>
        <v>54850.647461276531</v>
      </c>
      <c r="AZ59" s="4">
        <f t="shared" si="73"/>
        <v>69132.474595686246</v>
      </c>
      <c r="BA59" s="4">
        <f t="shared" si="73"/>
        <v>82849.363844848631</v>
      </c>
      <c r="BB59" s="4">
        <f t="shared" si="73"/>
        <v>89680.571085306787</v>
      </c>
      <c r="BC59" s="4">
        <f t="shared" si="73"/>
        <v>97049.277259982962</v>
      </c>
      <c r="BD59" s="4">
        <f t="shared" si="73"/>
        <v>104997.47250589772</v>
      </c>
      <c r="BE59" s="4">
        <f t="shared" si="73"/>
        <v>113570.43566476676</v>
      </c>
      <c r="BF59" s="4">
        <f t="shared" si="73"/>
        <v>122816.99350335145</v>
      </c>
    </row>
    <row r="60" spans="2:58" s="4" customFormat="1" x14ac:dyDescent="0.25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f t="shared" ref="AC60:AD61" si="74">+Y60*1.1</f>
        <v>1277.1000000000001</v>
      </c>
      <c r="AD60" s="5">
        <f t="shared" si="74"/>
        <v>1203.4000000000001</v>
      </c>
      <c r="AE60" s="5"/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4705.5</v>
      </c>
      <c r="AV60" s="4">
        <f>AU60*1.04</f>
        <v>4893.72</v>
      </c>
      <c r="AW60" s="4">
        <f t="shared" ref="AW60:BA60" si="76">AV60*1.04</f>
        <v>5089.4688000000006</v>
      </c>
      <c r="AX60" s="4">
        <f t="shared" si="76"/>
        <v>5293.0475520000009</v>
      </c>
      <c r="AY60" s="4">
        <f t="shared" si="76"/>
        <v>5504.7694540800012</v>
      </c>
      <c r="AZ60" s="4">
        <f t="shared" si="76"/>
        <v>5724.9602322432011</v>
      </c>
      <c r="BA60" s="4">
        <f t="shared" si="76"/>
        <v>5953.9586415329295</v>
      </c>
      <c r="BB60" s="4">
        <f t="shared" ref="BB60:BF60" si="77">BA60*1.04</f>
        <v>6192.1169871942466</v>
      </c>
      <c r="BC60" s="4">
        <f t="shared" si="77"/>
        <v>6439.8016666820167</v>
      </c>
      <c r="BD60" s="4">
        <f t="shared" si="77"/>
        <v>6697.3937333492977</v>
      </c>
      <c r="BE60" s="4">
        <f t="shared" si="77"/>
        <v>6965.2894826832699</v>
      </c>
      <c r="BF60" s="4">
        <f t="shared" si="77"/>
        <v>7243.9010619906012</v>
      </c>
    </row>
    <row r="61" spans="2:58" s="4" customFormat="1" x14ac:dyDescent="0.25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f t="shared" si="74"/>
        <v>1378.3000000000002</v>
      </c>
      <c r="AD61" s="5">
        <f t="shared" si="74"/>
        <v>1408</v>
      </c>
      <c r="AE61" s="5"/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5437.3</v>
      </c>
      <c r="AV61" s="4">
        <f>AU61*1.04</f>
        <v>5654.7920000000004</v>
      </c>
      <c r="AW61" s="4">
        <f t="shared" ref="AW61:BA61" si="78">AV61*1.04</f>
        <v>5880.9836800000003</v>
      </c>
      <c r="AX61" s="4">
        <f t="shared" si="78"/>
        <v>6116.2230272000006</v>
      </c>
      <c r="AY61" s="4">
        <f t="shared" si="78"/>
        <v>6360.8719482880006</v>
      </c>
      <c r="AZ61" s="4">
        <f t="shared" si="78"/>
        <v>6615.3068262195211</v>
      </c>
      <c r="BA61" s="4">
        <f t="shared" si="78"/>
        <v>6879.9190992683025</v>
      </c>
      <c r="BB61" s="4">
        <f t="shared" ref="BB61:BF61" si="79">BA61*1.04</f>
        <v>7155.1158632390352</v>
      </c>
      <c r="BC61" s="4">
        <f t="shared" si="79"/>
        <v>7441.3204977685973</v>
      </c>
      <c r="BD61" s="4">
        <f t="shared" si="79"/>
        <v>7738.9733176793416</v>
      </c>
      <c r="BE61" s="4">
        <f t="shared" si="79"/>
        <v>8048.5322503865154</v>
      </c>
      <c r="BF61" s="4">
        <f t="shared" si="79"/>
        <v>8370.4735404019757</v>
      </c>
    </row>
    <row r="62" spans="2:58" s="4" customFormat="1" x14ac:dyDescent="0.25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2655.4000000000005</v>
      </c>
      <c r="AD62" s="5">
        <f t="shared" si="85"/>
        <v>2611.4</v>
      </c>
      <c r="AE62" s="5"/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10142.799999999999</v>
      </c>
      <c r="AV62" s="4">
        <f>+AV60+AV61</f>
        <v>10548.512000000001</v>
      </c>
      <c r="AW62" s="4">
        <f t="shared" si="87"/>
        <v>10970.45248</v>
      </c>
      <c r="AX62" s="4">
        <f t="shared" si="87"/>
        <v>11409.270579200002</v>
      </c>
      <c r="AY62" s="4">
        <f t="shared" si="87"/>
        <v>11865.641402368001</v>
      </c>
      <c r="AZ62" s="4">
        <f t="shared" ref="AZ62" si="88">+AZ60+AZ61</f>
        <v>12340.267058462723</v>
      </c>
      <c r="BA62" s="4">
        <f t="shared" ref="BA62:BF62" si="89">+BA60+BA61</f>
        <v>12833.877740801232</v>
      </c>
      <c r="BB62" s="4">
        <f t="shared" si="89"/>
        <v>13347.232850433282</v>
      </c>
      <c r="BC62" s="4">
        <f t="shared" si="89"/>
        <v>13881.122164450615</v>
      </c>
      <c r="BD62" s="4">
        <f t="shared" si="89"/>
        <v>14436.367051028639</v>
      </c>
      <c r="BE62" s="4">
        <f t="shared" si="89"/>
        <v>15013.821733069784</v>
      </c>
      <c r="BF62" s="4">
        <f t="shared" si="89"/>
        <v>15614.374602392578</v>
      </c>
    </row>
    <row r="63" spans="2:58" s="4" customFormat="1" x14ac:dyDescent="0.25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1382.7748832825764</v>
      </c>
      <c r="AD63" s="5">
        <f t="shared" si="95"/>
        <v>1820.3546705981557</v>
      </c>
      <c r="AE63" s="5"/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6601.1295538807317</v>
      </c>
      <c r="AV63" s="5">
        <f>AV59-AV62</f>
        <v>12785.114741429641</v>
      </c>
      <c r="AW63" s="5">
        <f t="shared" si="97"/>
        <v>22641.471024468614</v>
      </c>
      <c r="AX63" s="5">
        <f t="shared" si="97"/>
        <v>29981.32354272882</v>
      </c>
      <c r="AY63" s="5">
        <f t="shared" si="97"/>
        <v>42985.006058908533</v>
      </c>
      <c r="AZ63" s="5">
        <f t="shared" si="97"/>
        <v>56792.207537223527</v>
      </c>
      <c r="BA63" s="5">
        <f t="shared" si="97"/>
        <v>70015.486104047392</v>
      </c>
      <c r="BB63" s="5">
        <f t="shared" ref="BB63:BF63" si="98">BB59-BB62</f>
        <v>76333.338234873503</v>
      </c>
      <c r="BC63" s="5">
        <f t="shared" si="98"/>
        <v>83168.155095532347</v>
      </c>
      <c r="BD63" s="5">
        <f t="shared" si="98"/>
        <v>90561.105454869074</v>
      </c>
      <c r="BE63" s="5">
        <f t="shared" si="98"/>
        <v>98556.613931696978</v>
      </c>
      <c r="BF63" s="5">
        <f t="shared" si="98"/>
        <v>107202.61890095887</v>
      </c>
    </row>
    <row r="64" spans="2:58" s="4" customFormat="1" x14ac:dyDescent="0.25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/>
      <c r="AD64" s="5"/>
      <c r="AE64" s="5"/>
      <c r="AF64" s="5"/>
      <c r="AG64" s="5"/>
      <c r="AH64" s="5"/>
      <c r="AT64" s="4">
        <f t="shared" si="56"/>
        <v>1082</v>
      </c>
      <c r="AU64" s="4">
        <f t="shared" ref="AU64" si="99">SUM(AA64:AD64)</f>
        <v>664</v>
      </c>
      <c r="AV64" s="4">
        <f t="shared" ref="AV64:BF64" si="100">AU94*$BH$81</f>
        <v>2965.5503643104585</v>
      </c>
      <c r="AW64" s="4">
        <f t="shared" si="100"/>
        <v>4304.356898298367</v>
      </c>
      <c r="AX64" s="4">
        <f t="shared" si="100"/>
        <v>6594.7522717335614</v>
      </c>
      <c r="AY64" s="4">
        <f t="shared" si="100"/>
        <v>9703.7187159628647</v>
      </c>
      <c r="AZ64" s="4">
        <f t="shared" si="100"/>
        <v>14182.260321826934</v>
      </c>
      <c r="BA64" s="4">
        <f t="shared" si="100"/>
        <v>20215.090089846224</v>
      </c>
      <c r="BB64" s="4">
        <f t="shared" si="100"/>
        <v>27884.689066327177</v>
      </c>
      <c r="BC64" s="4">
        <f t="shared" si="100"/>
        <v>36743.221386929239</v>
      </c>
      <c r="BD64" s="4">
        <f t="shared" si="100"/>
        <v>46935.688387938477</v>
      </c>
      <c r="BE64" s="4">
        <f t="shared" si="100"/>
        <v>58622.915864577124</v>
      </c>
      <c r="BF64" s="4">
        <f t="shared" si="100"/>
        <v>71983.175897260415</v>
      </c>
    </row>
    <row r="65" spans="2:109" s="4" customFormat="1" x14ac:dyDescent="0.25">
      <c r="B65" s="4" t="s">
        <v>51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1382.7748832825764</v>
      </c>
      <c r="AD65" s="5">
        <f t="shared" si="103"/>
        <v>1820.3546705981557</v>
      </c>
      <c r="AE65" s="5"/>
      <c r="AF65" s="5"/>
      <c r="AG65" s="5"/>
      <c r="AH65" s="5"/>
      <c r="AT65" s="4">
        <f>+AT63+AT64</f>
        <v>9973</v>
      </c>
      <c r="AU65" s="4">
        <f t="shared" ref="AU65:BF65" si="104">+AU63+AU64</f>
        <v>7265.1295538807317</v>
      </c>
      <c r="AV65" s="4">
        <f t="shared" si="104"/>
        <v>15750.6651057401</v>
      </c>
      <c r="AW65" s="4">
        <f t="shared" si="104"/>
        <v>26945.827922766981</v>
      </c>
      <c r="AX65" s="4">
        <f t="shared" si="104"/>
        <v>36576.075814462383</v>
      </c>
      <c r="AY65" s="4">
        <f t="shared" si="104"/>
        <v>52688.7247748714</v>
      </c>
      <c r="AZ65" s="4">
        <f t="shared" si="104"/>
        <v>70974.467859050463</v>
      </c>
      <c r="BA65" s="4">
        <f t="shared" si="104"/>
        <v>90230.576193893619</v>
      </c>
      <c r="BB65" s="4">
        <f t="shared" si="104"/>
        <v>104218.02730120068</v>
      </c>
      <c r="BC65" s="4">
        <f t="shared" si="104"/>
        <v>119911.37648246158</v>
      </c>
      <c r="BD65" s="4">
        <f t="shared" si="104"/>
        <v>137496.79384280756</v>
      </c>
      <c r="BE65" s="4">
        <f t="shared" si="104"/>
        <v>157179.52979627409</v>
      </c>
      <c r="BF65" s="4">
        <f t="shared" si="104"/>
        <v>179185.79479821929</v>
      </c>
    </row>
    <row r="66" spans="2:109" s="4" customFormat="1" x14ac:dyDescent="0.25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+AC65*0.2</f>
        <v>276.55497665651529</v>
      </c>
      <c r="AD66" s="5">
        <f>+AD65*0.2</f>
        <v>364.07093411963115</v>
      </c>
      <c r="AE66" s="5"/>
      <c r="AF66" s="5"/>
      <c r="AG66" s="5"/>
      <c r="AH66" s="5"/>
      <c r="AT66" s="4">
        <f t="shared" si="56"/>
        <v>728</v>
      </c>
      <c r="AU66" s="4">
        <f t="shared" ref="AU66" si="105">SUM(AA66:AD66)</f>
        <v>1473.6259107761464</v>
      </c>
      <c r="AV66" s="4">
        <f t="shared" ref="AV66:BA66" si="106">+AV65*0.15</f>
        <v>2362.5997658610149</v>
      </c>
      <c r="AW66" s="4">
        <f t="shared" si="106"/>
        <v>4041.8741884150468</v>
      </c>
      <c r="AX66" s="4">
        <f t="shared" si="106"/>
        <v>5486.4113721693575</v>
      </c>
      <c r="AY66" s="4">
        <f t="shared" si="106"/>
        <v>7903.3087162307093</v>
      </c>
      <c r="AZ66" s="4">
        <f t="shared" si="106"/>
        <v>10646.170178857568</v>
      </c>
      <c r="BA66" s="4">
        <f t="shared" si="106"/>
        <v>13534.586429084042</v>
      </c>
      <c r="BB66" s="4">
        <f t="shared" ref="BB66:BF66" si="107">+BB65*0.15</f>
        <v>15632.704095180101</v>
      </c>
      <c r="BC66" s="4">
        <f t="shared" si="107"/>
        <v>17986.706472369235</v>
      </c>
      <c r="BD66" s="4">
        <f t="shared" si="107"/>
        <v>20624.519076421133</v>
      </c>
      <c r="BE66" s="4">
        <f t="shared" si="107"/>
        <v>23576.929469441111</v>
      </c>
      <c r="BF66" s="4">
        <f t="shared" si="107"/>
        <v>26877.869219732893</v>
      </c>
    </row>
    <row r="67" spans="2:109" s="4" customFormat="1" x14ac:dyDescent="0.25">
      <c r="B67" s="4" t="s">
        <v>53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1106.2199066260612</v>
      </c>
      <c r="AD67" s="5">
        <f t="shared" si="110"/>
        <v>1456.2837364785246</v>
      </c>
      <c r="AE67" s="5"/>
      <c r="AF67" s="5"/>
      <c r="AG67" s="5"/>
      <c r="AH67" s="5"/>
      <c r="AT67" s="4">
        <f>+AT65-AT66</f>
        <v>9245</v>
      </c>
      <c r="AU67" s="4">
        <f t="shared" ref="AU67" si="111">+AU65-AU66</f>
        <v>5791.5036431045855</v>
      </c>
      <c r="AV67" s="4">
        <f t="shared" ref="AV67:BA67" si="112">+AV65-AV66</f>
        <v>13388.065339879086</v>
      </c>
      <c r="AW67" s="4">
        <f t="shared" si="112"/>
        <v>22903.953734351933</v>
      </c>
      <c r="AX67" s="4">
        <f t="shared" si="112"/>
        <v>31089.664442293026</v>
      </c>
      <c r="AY67" s="4">
        <f t="shared" si="112"/>
        <v>44785.416058640694</v>
      </c>
      <c r="AZ67" s="4">
        <f t="shared" si="112"/>
        <v>60328.297680192896</v>
      </c>
      <c r="BA67" s="4">
        <f t="shared" si="112"/>
        <v>76695.989764809579</v>
      </c>
      <c r="BB67" s="4">
        <f t="shared" ref="BB67:BF67" si="113">+BB65-BB66</f>
        <v>88585.323206020577</v>
      </c>
      <c r="BC67" s="4">
        <f t="shared" si="113"/>
        <v>101924.67001009235</v>
      </c>
      <c r="BD67" s="4">
        <f t="shared" si="113"/>
        <v>116872.27476638643</v>
      </c>
      <c r="BE67" s="4">
        <f t="shared" si="113"/>
        <v>133602.60032683297</v>
      </c>
      <c r="BF67" s="4">
        <f t="shared" si="113"/>
        <v>152307.92557848641</v>
      </c>
      <c r="BG67" s="4">
        <f t="shared" ref="BG67:CL67" si="114">BF67*(1+$BH$78)</f>
        <v>150784.84632270155</v>
      </c>
      <c r="BH67" s="4">
        <f t="shared" si="114"/>
        <v>149276.99785947453</v>
      </c>
      <c r="BI67" s="4">
        <f t="shared" si="114"/>
        <v>147784.2278808798</v>
      </c>
      <c r="BJ67" s="4">
        <f t="shared" si="114"/>
        <v>146306.38560207101</v>
      </c>
      <c r="BK67" s="4">
        <f t="shared" si="114"/>
        <v>144843.32174605029</v>
      </c>
      <c r="BL67" s="4">
        <f t="shared" si="114"/>
        <v>143394.8885285898</v>
      </c>
      <c r="BM67" s="4">
        <f t="shared" si="114"/>
        <v>141960.93964330389</v>
      </c>
      <c r="BN67" s="4">
        <f t="shared" si="114"/>
        <v>140541.33024687084</v>
      </c>
      <c r="BO67" s="4">
        <f t="shared" si="114"/>
        <v>139135.91694440212</v>
      </c>
      <c r="BP67" s="4">
        <f t="shared" si="114"/>
        <v>137744.55777495811</v>
      </c>
      <c r="BQ67" s="4">
        <f t="shared" si="114"/>
        <v>136367.11219720854</v>
      </c>
      <c r="BR67" s="4">
        <f t="shared" si="114"/>
        <v>135003.44107523645</v>
      </c>
      <c r="BS67" s="4">
        <f t="shared" si="114"/>
        <v>133653.40666448409</v>
      </c>
      <c r="BT67" s="4">
        <f t="shared" si="114"/>
        <v>132316.87259783925</v>
      </c>
      <c r="BU67" s="4">
        <f t="shared" si="114"/>
        <v>130993.70387186085</v>
      </c>
      <c r="BV67" s="4">
        <f t="shared" si="114"/>
        <v>129683.76683314225</v>
      </c>
      <c r="BW67" s="4">
        <f t="shared" si="114"/>
        <v>128386.92916481082</v>
      </c>
      <c r="BX67" s="4">
        <f t="shared" si="114"/>
        <v>127103.05987316271</v>
      </c>
      <c r="BY67" s="4">
        <f t="shared" si="114"/>
        <v>125832.02927443109</v>
      </c>
      <c r="BZ67" s="4">
        <f t="shared" si="114"/>
        <v>124573.70898168678</v>
      </c>
      <c r="CA67" s="4">
        <f t="shared" si="114"/>
        <v>123327.97189186991</v>
      </c>
      <c r="CB67" s="4">
        <f t="shared" si="114"/>
        <v>122094.69217295121</v>
      </c>
      <c r="CC67" s="4">
        <f t="shared" si="114"/>
        <v>120873.7452512217</v>
      </c>
      <c r="CD67" s="4">
        <f t="shared" si="114"/>
        <v>119665.00779870948</v>
      </c>
      <c r="CE67" s="4">
        <f t="shared" si="114"/>
        <v>118468.35772072239</v>
      </c>
      <c r="CF67" s="4">
        <f t="shared" si="114"/>
        <v>117283.67414351516</v>
      </c>
      <c r="CG67" s="4">
        <f t="shared" si="114"/>
        <v>116110.83740208001</v>
      </c>
      <c r="CH67" s="4">
        <f t="shared" si="114"/>
        <v>114949.72902805921</v>
      </c>
      <c r="CI67" s="4">
        <f t="shared" si="114"/>
        <v>113800.23173777862</v>
      </c>
      <c r="CJ67" s="4">
        <f t="shared" si="114"/>
        <v>112662.22942040084</v>
      </c>
      <c r="CK67" s="4">
        <f t="shared" si="114"/>
        <v>111535.60712619683</v>
      </c>
      <c r="CL67" s="4">
        <f t="shared" si="114"/>
        <v>110420.25105493487</v>
      </c>
      <c r="CM67" s="4">
        <f t="shared" ref="CM67:DE67" si="115">CL67*(1+$BH$78)</f>
        <v>109316.04854438551</v>
      </c>
      <c r="CN67" s="4">
        <f t="shared" si="115"/>
        <v>108222.88805894165</v>
      </c>
      <c r="CO67" s="4">
        <f t="shared" si="115"/>
        <v>107140.65917835223</v>
      </c>
      <c r="CP67" s="4">
        <f t="shared" si="115"/>
        <v>106069.25258656871</v>
      </c>
      <c r="CQ67" s="4">
        <f t="shared" si="115"/>
        <v>105008.56006070302</v>
      </c>
      <c r="CR67" s="4">
        <f t="shared" si="115"/>
        <v>103958.474460096</v>
      </c>
      <c r="CS67" s="4">
        <f t="shared" si="115"/>
        <v>102918.88971549504</v>
      </c>
      <c r="CT67" s="4">
        <f t="shared" si="115"/>
        <v>101889.70081834009</v>
      </c>
      <c r="CU67" s="4">
        <f t="shared" si="115"/>
        <v>100870.80381015669</v>
      </c>
      <c r="CV67" s="4">
        <f t="shared" si="115"/>
        <v>99862.095772055123</v>
      </c>
      <c r="CW67" s="4">
        <f t="shared" si="115"/>
        <v>98863.474814334564</v>
      </c>
      <c r="CX67" s="4">
        <f t="shared" si="115"/>
        <v>97874.840066191216</v>
      </c>
      <c r="CY67" s="4">
        <f t="shared" si="115"/>
        <v>96896.091665529297</v>
      </c>
      <c r="CZ67" s="4">
        <f t="shared" si="115"/>
        <v>95927.130748873999</v>
      </c>
      <c r="DA67" s="4">
        <f t="shared" si="115"/>
        <v>94967.859441385255</v>
      </c>
      <c r="DB67" s="4">
        <f t="shared" si="115"/>
        <v>94018.180846971401</v>
      </c>
      <c r="DC67" s="4">
        <f t="shared" si="115"/>
        <v>93077.999038501686</v>
      </c>
      <c r="DD67" s="4">
        <f t="shared" si="115"/>
        <v>92147.219048116662</v>
      </c>
      <c r="DE67" s="4">
        <f t="shared" si="115"/>
        <v>91225.746857635488</v>
      </c>
    </row>
    <row r="68" spans="2:109" x14ac:dyDescent="0.25">
      <c r="B68" s="1" t="s">
        <v>54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D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0.31778796513245078</v>
      </c>
      <c r="AD68" s="3">
        <f t="shared" si="123"/>
        <v>0.41835212194154686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4">+AU67/AU69</f>
        <v>1.6633887105922556</v>
      </c>
      <c r="AV68" s="20">
        <f t="shared" si="124"/>
        <v>3.8452115573717487</v>
      </c>
      <c r="AW68" s="20">
        <f t="shared" si="124"/>
        <v>6.5782878536230154</v>
      </c>
      <c r="AX68" s="20">
        <f t="shared" si="124"/>
        <v>8.9293213017284483</v>
      </c>
      <c r="AY68" s="20">
        <f t="shared" si="124"/>
        <v>12.862904016267882</v>
      </c>
      <c r="AZ68" s="20">
        <f t="shared" si="124"/>
        <v>17.327004431734874</v>
      </c>
      <c r="BA68" s="20">
        <f t="shared" si="124"/>
        <v>22.028000219662406</v>
      </c>
      <c r="BB68" s="20">
        <f t="shared" ref="BB68:BF68" si="125">+BB67/BB69</f>
        <v>25.442758154956724</v>
      </c>
      <c r="BC68" s="20">
        <f t="shared" si="125"/>
        <v>29.273977169553341</v>
      </c>
      <c r="BD68" s="20">
        <f t="shared" si="125"/>
        <v>33.567106991135617</v>
      </c>
      <c r="BE68" s="20">
        <f t="shared" si="125"/>
        <v>38.372255425241036</v>
      </c>
      <c r="BF68" s="20">
        <f t="shared" si="125"/>
        <v>43.744647254537632</v>
      </c>
    </row>
    <row r="69" spans="2:109" s="4" customFormat="1" x14ac:dyDescent="0.25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f>+AB69</f>
        <v>3481</v>
      </c>
      <c r="AD69" s="5">
        <f>+AC69</f>
        <v>3481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3481.75</v>
      </c>
      <c r="AV69" s="4">
        <f t="shared" ref="AV69:AY69" si="126">AU69</f>
        <v>3481.75</v>
      </c>
      <c r="AW69" s="4">
        <f t="shared" si="126"/>
        <v>3481.75</v>
      </c>
      <c r="AX69" s="4">
        <f t="shared" si="126"/>
        <v>3481.75</v>
      </c>
      <c r="AY69" s="4">
        <f t="shared" si="126"/>
        <v>3481.75</v>
      </c>
      <c r="AZ69" s="4">
        <f t="shared" ref="AZ69:BA69" si="127">AY69</f>
        <v>3481.75</v>
      </c>
      <c r="BA69" s="4">
        <f t="shared" si="127"/>
        <v>3481.75</v>
      </c>
      <c r="BB69" s="4">
        <f t="shared" ref="BB69" si="128">BA69</f>
        <v>3481.75</v>
      </c>
      <c r="BC69" s="4">
        <f t="shared" ref="BC69" si="129">BB69</f>
        <v>3481.75</v>
      </c>
      <c r="BD69" s="4">
        <f t="shared" ref="BD69" si="130">BC69</f>
        <v>3481.75</v>
      </c>
      <c r="BE69" s="4">
        <f t="shared" ref="BE69" si="131">BD69</f>
        <v>3481.75</v>
      </c>
      <c r="BF69" s="4">
        <f t="shared" ref="BF69" si="132">BE69</f>
        <v>3481.75</v>
      </c>
    </row>
    <row r="71" spans="2:109" s="23" customFormat="1" ht="13" x14ac:dyDescent="0.3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D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9.9496040908658712E-2</v>
      </c>
      <c r="AD71" s="22">
        <f t="shared" si="139"/>
        <v>0.13521798932415607</v>
      </c>
      <c r="AE71" s="22"/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4.9961432049623555E-2</v>
      </c>
      <c r="AV71" s="25">
        <f t="shared" si="141"/>
        <v>-2.4706752918682851E-3</v>
      </c>
      <c r="AW71" s="25">
        <f t="shared" si="141"/>
        <v>0.29878099511543299</v>
      </c>
      <c r="AX71" s="25">
        <f t="shared" si="141"/>
        <v>0.2451805291856175</v>
      </c>
      <c r="AY71" s="25">
        <f t="shared" si="141"/>
        <v>0.24426256208475916</v>
      </c>
      <c r="AZ71" s="25">
        <f t="shared" ref="AZ71:BA71" si="142">+AZ51/AY51-1</f>
        <v>0.19140397345777682</v>
      </c>
      <c r="BA71" s="25">
        <f t="shared" si="142"/>
        <v>0.13882460267794272</v>
      </c>
      <c r="BB71" s="25">
        <f t="shared" ref="BB71" si="143">+BB51/BA51-1</f>
        <v>8.172833905638166E-2</v>
      </c>
      <c r="BC71" s="25">
        <f t="shared" ref="BC71" si="144">+BC51/BB51-1</f>
        <v>8.1659655884052551E-2</v>
      </c>
      <c r="BD71" s="25">
        <f t="shared" ref="BD71" si="145">+BD51/BC51-1</f>
        <v>8.1595567158416982E-2</v>
      </c>
      <c r="BE71" s="25">
        <f t="shared" ref="BE71" si="146">+BE51/BD51-1</f>
        <v>8.1535794169422138E-2</v>
      </c>
      <c r="BF71" s="25">
        <f t="shared" ref="BF71" si="147">+BF51/BE51-1</f>
        <v>8.1480076734737006E-2</v>
      </c>
    </row>
    <row r="72" spans="2:109" x14ac:dyDescent="0.25">
      <c r="B72" s="21" t="s">
        <v>92</v>
      </c>
      <c r="K72" s="17">
        <f t="shared" ref="K72:Z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8.0000000000000071E-2</v>
      </c>
      <c r="AD72" s="17">
        <f>+AD37/Z37-1</f>
        <v>0.10948139036174909</v>
      </c>
      <c r="AE72" s="17"/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1.6366543715763848E-2</v>
      </c>
      <c r="AV72" s="26">
        <f t="shared" si="149"/>
        <v>0.23349282830775531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5">
      <c r="B73" s="21" t="s">
        <v>93</v>
      </c>
      <c r="K73" s="17">
        <f t="shared" ref="K73:AD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8.0000000000000071E-2</v>
      </c>
      <c r="AD73" s="17">
        <f t="shared" si="151"/>
        <v>0</v>
      </c>
      <c r="AE73" s="17"/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-5.5170524137520105E-2</v>
      </c>
      <c r="AV73" s="26">
        <f t="shared" si="152"/>
        <v>0.30000000000000004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5">
      <c r="B74" s="19" t="s">
        <v>91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D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4.484084356997009E-2</v>
      </c>
      <c r="AD74" s="17">
        <f t="shared" si="160"/>
        <v>0.16495545987983684</v>
      </c>
      <c r="AE74" s="17"/>
      <c r="AF74" s="17"/>
      <c r="AG74" s="17"/>
      <c r="AH74" s="17"/>
    </row>
    <row r="75" spans="2:109" x14ac:dyDescent="0.25">
      <c r="B75" s="19" t="s">
        <v>90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0.14999999999999994</v>
      </c>
      <c r="AD75" s="17">
        <f t="shared" si="165"/>
        <v>0.15000000000000002</v>
      </c>
      <c r="AE75" s="17"/>
      <c r="AF75" s="17"/>
      <c r="AG75" s="17"/>
      <c r="AH75" s="17"/>
      <c r="AQ75" s="17">
        <f t="shared" ref="AQ75:AU75" si="166">AQ53/AQ45</f>
        <v>0</v>
      </c>
      <c r="AR75" s="17">
        <f t="shared" si="166"/>
        <v>0.38841926345609062</v>
      </c>
      <c r="AS75" s="17">
        <f t="shared" si="166"/>
        <v>0.27064584436209632</v>
      </c>
      <c r="AT75" s="17">
        <f t="shared" si="166"/>
        <v>0.17052821969455731</v>
      </c>
      <c r="AU75" s="17">
        <f t="shared" si="166"/>
        <v>0.14850200661681426</v>
      </c>
      <c r="AV75" s="17"/>
      <c r="AW75" s="17"/>
      <c r="AX75" s="17"/>
    </row>
    <row r="76" spans="2:109" x14ac:dyDescent="0.25">
      <c r="B76" s="19" t="s">
        <v>45</v>
      </c>
      <c r="C76" s="17"/>
      <c r="D76" s="17"/>
      <c r="E76" s="17"/>
      <c r="F76" s="17"/>
      <c r="G76" s="17">
        <f t="shared" ref="G76:K76" si="167">+G59/G51</f>
        <v>0.1246421493063202</v>
      </c>
      <c r="H76" s="17">
        <f t="shared" si="167"/>
        <v>0.14503937007874015</v>
      </c>
      <c r="I76" s="17">
        <f t="shared" si="167"/>
        <v>0.18895763921941933</v>
      </c>
      <c r="J76" s="17">
        <f t="shared" si="167"/>
        <v>0.18838028169014084</v>
      </c>
      <c r="K76" s="17">
        <f t="shared" si="167"/>
        <v>0.20618212197159566</v>
      </c>
      <c r="L76" s="17">
        <f t="shared" ref="L76" si="168">+L59/L51</f>
        <v>0.20990722332670642</v>
      </c>
      <c r="M76" s="17">
        <f t="shared" ref="M76" si="169">+M59/M51</f>
        <v>0.23520693193478509</v>
      </c>
      <c r="N76" s="17">
        <f>+N59/N51</f>
        <v>0.19229337304542071</v>
      </c>
      <c r="O76" s="17">
        <f t="shared" ref="O76:AD76" si="170">+O59/O51</f>
        <v>0.21320627586870727</v>
      </c>
      <c r="P76" s="17">
        <f t="shared" si="170"/>
        <v>0.24117745442381669</v>
      </c>
      <c r="Q76" s="17">
        <f t="shared" si="170"/>
        <v>0.26604637639020134</v>
      </c>
      <c r="R76" s="17">
        <f t="shared" si="170"/>
        <v>0.27354816863254133</v>
      </c>
      <c r="S76" s="17">
        <f t="shared" si="170"/>
        <v>0.29110684580934099</v>
      </c>
      <c r="T76" s="17">
        <f t="shared" si="170"/>
        <v>0.24997047360340144</v>
      </c>
      <c r="U76" s="17">
        <f t="shared" si="170"/>
        <v>0.25086231005873033</v>
      </c>
      <c r="V76" s="17">
        <f t="shared" si="170"/>
        <v>0.25257794296679104</v>
      </c>
      <c r="W76" s="17">
        <f t="shared" si="170"/>
        <v>0.19336448197522396</v>
      </c>
      <c r="X76" s="17">
        <f t="shared" si="170"/>
        <v>0.18185100493440848</v>
      </c>
      <c r="Y76" s="17">
        <f t="shared" si="170"/>
        <v>0.17892933618843684</v>
      </c>
      <c r="Z76" s="17">
        <f t="shared" si="170"/>
        <v>0.17634203520483172</v>
      </c>
      <c r="AA76" s="17">
        <f t="shared" si="170"/>
        <v>0.1735129806112389</v>
      </c>
      <c r="AB76" s="41">
        <f t="shared" si="170"/>
        <v>0.17952941176470588</v>
      </c>
      <c r="AC76" s="17">
        <f t="shared" si="170"/>
        <v>0.15729125168002889</v>
      </c>
      <c r="AD76" s="17">
        <f t="shared" si="170"/>
        <v>0.15511900037130005</v>
      </c>
      <c r="AE76" s="17"/>
      <c r="AF76" s="17"/>
      <c r="AG76" s="17"/>
      <c r="AH76" s="17"/>
      <c r="AQ76" s="17">
        <f t="shared" ref="AQ76:BF76" si="171">+AQ59/AQ51</f>
        <v>0</v>
      </c>
      <c r="AR76" s="17">
        <f t="shared" si="171"/>
        <v>0</v>
      </c>
      <c r="AS76" s="17">
        <f t="shared" si="171"/>
        <v>0.25</v>
      </c>
      <c r="AT76" s="17">
        <f t="shared" si="171"/>
        <v>0.18248891736331416</v>
      </c>
      <c r="AU76" s="17">
        <f t="shared" si="171"/>
        <v>0.16478961422369839</v>
      </c>
      <c r="AV76" s="17">
        <f t="shared" si="171"/>
        <v>0.23021256493666575</v>
      </c>
      <c r="AW76" s="17">
        <f t="shared" si="171"/>
        <v>0.25533139541686989</v>
      </c>
      <c r="AX76" s="17">
        <f t="shared" si="171"/>
        <v>0.25251093588128304</v>
      </c>
      <c r="AY76" s="17">
        <f t="shared" si="171"/>
        <v>0.26893557542457436</v>
      </c>
      <c r="AZ76" s="17">
        <f t="shared" si="171"/>
        <v>0.28450477229339577</v>
      </c>
      <c r="BA76" s="17">
        <f t="shared" si="171"/>
        <v>0.29939172332077485</v>
      </c>
      <c r="BB76" s="17">
        <f t="shared" si="171"/>
        <v>0.29959238460424897</v>
      </c>
      <c r="BC76" s="17">
        <f t="shared" si="171"/>
        <v>0.29973266733294335</v>
      </c>
      <c r="BD76" s="17">
        <f t="shared" si="171"/>
        <v>0.2998166306473995</v>
      </c>
      <c r="BE76" s="17">
        <f t="shared" si="171"/>
        <v>0.29984807761816812</v>
      </c>
      <c r="BF76" s="17">
        <f t="shared" si="171"/>
        <v>0.29983057370922234</v>
      </c>
    </row>
    <row r="77" spans="2:109" x14ac:dyDescent="0.25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5">
      <c r="BG78" s="28" t="s">
        <v>110</v>
      </c>
      <c r="BH78" s="26">
        <v>-0.01</v>
      </c>
    </row>
    <row r="79" spans="2:109" s="4" customFormat="1" x14ac:dyDescent="0.25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2">M67</f>
        <v>300</v>
      </c>
      <c r="N79" s="5">
        <f t="shared" si="172"/>
        <v>270</v>
      </c>
      <c r="O79" s="5">
        <f t="shared" si="172"/>
        <v>337</v>
      </c>
      <c r="P79" s="5">
        <f t="shared" si="172"/>
        <v>1165</v>
      </c>
      <c r="Q79" s="5">
        <f t="shared" si="172"/>
        <v>1669</v>
      </c>
      <c r="R79" s="5">
        <f t="shared" si="172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3">V67</f>
        <v>3468.7999999999984</v>
      </c>
      <c r="W79" s="5">
        <f t="shared" si="173"/>
        <v>2513</v>
      </c>
      <c r="X79" s="5">
        <f t="shared" si="173"/>
        <v>2703</v>
      </c>
      <c r="Y79" s="5">
        <f t="shared" si="173"/>
        <v>1853</v>
      </c>
      <c r="Z79" s="5">
        <f t="shared" si="173"/>
        <v>2176</v>
      </c>
      <c r="AA79" s="5">
        <f t="shared" si="173"/>
        <v>1129</v>
      </c>
      <c r="AB79" s="5">
        <f t="shared" si="173"/>
        <v>2100</v>
      </c>
      <c r="AC79" s="5">
        <f>AC67</f>
        <v>1106.2199066260612</v>
      </c>
      <c r="AD79" s="5">
        <f t="shared" si="173"/>
        <v>1456.2837364785246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5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1204471.4704534928</v>
      </c>
    </row>
    <row r="81" spans="2:60" s="4" customFormat="1" x14ac:dyDescent="0.25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5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377.02880887565959</v>
      </c>
    </row>
    <row r="83" spans="2:60" s="4" customFormat="1" x14ac:dyDescent="0.25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5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5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5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5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5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4">SUM(N80:N87)</f>
        <v>3019</v>
      </c>
      <c r="O88" s="5">
        <f t="shared" si="174"/>
        <v>1641</v>
      </c>
      <c r="P88" s="5">
        <f t="shared" si="174"/>
        <v>2124</v>
      </c>
      <c r="Q88" s="5">
        <f t="shared" si="174"/>
        <v>3147</v>
      </c>
      <c r="R88" s="5">
        <f t="shared" si="174"/>
        <v>4585</v>
      </c>
      <c r="S88" s="5">
        <f t="shared" ref="S88:AA88" si="175">SUM(S80:S87)</f>
        <v>3995</v>
      </c>
      <c r="T88" s="5">
        <f t="shared" si="175"/>
        <v>2351</v>
      </c>
      <c r="U88" s="5">
        <f t="shared" si="175"/>
        <v>5100</v>
      </c>
      <c r="V88" s="5">
        <f t="shared" si="175"/>
        <v>3278</v>
      </c>
      <c r="W88" s="5">
        <f t="shared" si="175"/>
        <v>2513</v>
      </c>
      <c r="X88" s="5">
        <f t="shared" si="175"/>
        <v>3065</v>
      </c>
      <c r="Y88" s="5">
        <f t="shared" si="175"/>
        <v>3308</v>
      </c>
      <c r="Z88" s="5">
        <f t="shared" si="175"/>
        <v>4370</v>
      </c>
      <c r="AA88" s="5">
        <f t="shared" si="175"/>
        <v>242</v>
      </c>
      <c r="AB88" s="5">
        <v>3612</v>
      </c>
      <c r="AC88" s="5"/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5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5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6">O88-O90</f>
        <v>293</v>
      </c>
      <c r="P91" s="5">
        <f t="shared" si="176"/>
        <v>619</v>
      </c>
      <c r="Q91" s="5">
        <f t="shared" si="176"/>
        <v>1328</v>
      </c>
      <c r="R91" s="5">
        <f t="shared" si="176"/>
        <v>2775</v>
      </c>
      <c r="S91" s="5">
        <f t="shared" ref="S91" si="177">S88-S90</f>
        <v>2228</v>
      </c>
      <c r="T91" s="5">
        <f t="shared" ref="T91:AB91" si="178">T88-T90</f>
        <v>621</v>
      </c>
      <c r="U91" s="5">
        <f t="shared" si="178"/>
        <v>3297</v>
      </c>
      <c r="V91" s="5">
        <f t="shared" si="178"/>
        <v>1420</v>
      </c>
      <c r="W91" s="5">
        <f t="shared" si="178"/>
        <v>441</v>
      </c>
      <c r="X91" s="5">
        <f t="shared" si="178"/>
        <v>1005</v>
      </c>
      <c r="Y91" s="5">
        <f t="shared" si="178"/>
        <v>848</v>
      </c>
      <c r="Z91" s="5">
        <f t="shared" si="178"/>
        <v>2064</v>
      </c>
      <c r="AA91" s="5">
        <f t="shared" si="178"/>
        <v>-2531</v>
      </c>
      <c r="AB91" s="5">
        <f t="shared" si="178"/>
        <v>1342</v>
      </c>
      <c r="AC91" s="5"/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ht="13" x14ac:dyDescent="0.3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79">SUM(N91:Q91)</f>
        <v>4108</v>
      </c>
      <c r="R92" s="7">
        <f t="shared" si="179"/>
        <v>5015</v>
      </c>
      <c r="S92" s="7">
        <f t="shared" si="179"/>
        <v>6950</v>
      </c>
      <c r="T92" s="7">
        <f t="shared" si="179"/>
        <v>6952</v>
      </c>
      <c r="U92" s="7">
        <f t="shared" si="179"/>
        <v>8921</v>
      </c>
      <c r="V92" s="7">
        <f t="shared" si="179"/>
        <v>7566</v>
      </c>
      <c r="W92" s="7">
        <f t="shared" ref="W92:AB92" si="180">SUM(T91:W91)</f>
        <v>5779</v>
      </c>
      <c r="X92" s="7">
        <f t="shared" si="180"/>
        <v>6163</v>
      </c>
      <c r="Y92" s="7">
        <f t="shared" si="180"/>
        <v>3714</v>
      </c>
      <c r="Z92" s="7">
        <f t="shared" si="180"/>
        <v>4358</v>
      </c>
      <c r="AA92" s="7">
        <f t="shared" si="180"/>
        <v>1386</v>
      </c>
      <c r="AB92" s="7">
        <f t="shared" si="180"/>
        <v>1723</v>
      </c>
      <c r="AC92" s="5"/>
      <c r="AD92" s="5"/>
      <c r="AE92" s="5"/>
      <c r="AF92" s="5"/>
      <c r="AG92" s="5"/>
      <c r="AH92" s="5"/>
    </row>
    <row r="93" spans="2:60" s="4" customForma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5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1">X95-X112</f>
        <v>25105</v>
      </c>
      <c r="Y94" s="5">
        <f t="shared" si="181"/>
        <v>26958</v>
      </c>
      <c r="Z94" s="5">
        <f t="shared" si="181"/>
        <v>23864</v>
      </c>
      <c r="AA94" s="5">
        <f t="shared" si="181"/>
        <v>21503</v>
      </c>
      <c r="AB94" s="5">
        <f t="shared" si="181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29655.503643104585</v>
      </c>
      <c r="AV94" s="4">
        <f t="shared" ref="AV94:BA94" si="182">AU94+AV67</f>
        <v>43043.56898298367</v>
      </c>
      <c r="AW94" s="4">
        <f t="shared" si="182"/>
        <v>65947.522717335611</v>
      </c>
      <c r="AX94" s="4">
        <f t="shared" si="182"/>
        <v>97037.187159628636</v>
      </c>
      <c r="AY94" s="4">
        <f t="shared" si="182"/>
        <v>141822.60321826933</v>
      </c>
      <c r="AZ94" s="4">
        <f t="shared" si="182"/>
        <v>202150.90089846222</v>
      </c>
      <c r="BA94" s="4">
        <f t="shared" si="182"/>
        <v>278846.89066327177</v>
      </c>
      <c r="BB94" s="4">
        <f t="shared" ref="BB94" si="183">BA94+BB67</f>
        <v>367432.21386929235</v>
      </c>
      <c r="BC94" s="4">
        <f t="shared" ref="BC94" si="184">BB94+BC67</f>
        <v>469356.88387938472</v>
      </c>
      <c r="BD94" s="4">
        <f t="shared" ref="BD94" si="185">BC94+BD67</f>
        <v>586229.15864577121</v>
      </c>
      <c r="BE94" s="4">
        <f t="shared" ref="BE94" si="186">BD94+BE67</f>
        <v>719831.75897260418</v>
      </c>
      <c r="BF94" s="4">
        <f t="shared" ref="BF94" si="187">BE94+BF67</f>
        <v>872139.68455109058</v>
      </c>
    </row>
    <row r="95" spans="2:60" s="4" customFormat="1" x14ac:dyDescent="0.25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88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5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5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5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5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5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5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2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5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5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5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5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5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89">SUM(T95:T105)</f>
        <v>68513</v>
      </c>
      <c r="U106" s="5">
        <f t="shared" si="189"/>
        <v>74426</v>
      </c>
      <c r="V106" s="5">
        <f t="shared" si="189"/>
        <v>0</v>
      </c>
      <c r="W106" s="5">
        <f t="shared" si="189"/>
        <v>86833</v>
      </c>
      <c r="X106" s="5">
        <f t="shared" si="189"/>
        <v>25105</v>
      </c>
      <c r="Y106" s="5">
        <f t="shared" si="189"/>
        <v>26958</v>
      </c>
      <c r="Z106" s="5">
        <f t="shared" si="189"/>
        <v>106618</v>
      </c>
      <c r="AA106" s="5">
        <f t="shared" si="189"/>
        <v>109226</v>
      </c>
      <c r="AB106" s="5">
        <f t="shared" si="189"/>
        <v>112832</v>
      </c>
      <c r="AC106" s="5"/>
      <c r="AD106" s="5"/>
      <c r="AE106" s="5"/>
      <c r="AF106" s="5"/>
      <c r="AG106" s="5"/>
      <c r="AH106" s="5"/>
    </row>
    <row r="107" spans="2:34" x14ac:dyDescent="0.25">
      <c r="S107" s="5"/>
      <c r="T107" s="5"/>
      <c r="U107" s="5"/>
      <c r="AA107" s="5"/>
      <c r="AB107" s="5"/>
    </row>
    <row r="108" spans="2:34" x14ac:dyDescent="0.25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5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5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5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5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5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5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5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5">
      <c r="S116" s="5"/>
    </row>
    <row r="117" spans="2:58" x14ac:dyDescent="0.25">
      <c r="B117" s="33" t="s">
        <v>155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5">
      <c r="B118" s="33" t="s">
        <v>161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0">+AU37*AU123*8/1000</f>
        <v>1764.6539711999999</v>
      </c>
      <c r="AV118" s="4">
        <f t="shared" si="190"/>
        <v>2902.2506905599998</v>
      </c>
      <c r="AW118" s="4">
        <f t="shared" si="190"/>
        <v>4534.7667039999997</v>
      </c>
      <c r="AX118" s="4">
        <f t="shared" si="190"/>
        <v>6530.0640537599993</v>
      </c>
      <c r="AY118" s="4">
        <f t="shared" si="190"/>
        <v>9142.0896752640001</v>
      </c>
      <c r="AZ118" s="4">
        <f t="shared" si="190"/>
        <v>12015.317858918397</v>
      </c>
      <c r="BA118" s="4">
        <f t="shared" si="190"/>
        <v>14868.955850411518</v>
      </c>
      <c r="BB118" s="4">
        <f t="shared" ref="BB118:BF118" si="191">+BB37*BB123*8/1000</f>
        <v>16046.08152190243</v>
      </c>
      <c r="BC118" s="4">
        <f t="shared" si="191"/>
        <v>17303.747370916408</v>
      </c>
      <c r="BD118" s="4">
        <f t="shared" si="191"/>
        <v>18647.064601027025</v>
      </c>
      <c r="BE118" s="4">
        <f t="shared" si="191"/>
        <v>20081.45418572141</v>
      </c>
      <c r="BF118" s="4">
        <f t="shared" si="191"/>
        <v>21612.665067382663</v>
      </c>
    </row>
    <row r="119" spans="2:58" x14ac:dyDescent="0.25">
      <c r="B119" s="33" t="s">
        <v>162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5">
      <c r="B120" s="33"/>
      <c r="S120" s="5"/>
      <c r="Z120" s="5"/>
      <c r="AA120" s="5"/>
      <c r="AB120" s="5"/>
      <c r="AS120" s="4"/>
      <c r="AT120" s="4"/>
    </row>
    <row r="121" spans="2:58" ht="13" x14ac:dyDescent="0.3">
      <c r="B121" s="33" t="s">
        <v>163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220.58174639999999</v>
      </c>
      <c r="AV121" s="4">
        <f t="shared" ref="AV121:BA121" si="192">+AV118/8</f>
        <v>362.78133631999998</v>
      </c>
      <c r="AW121" s="4">
        <f t="shared" si="192"/>
        <v>566.84583799999996</v>
      </c>
      <c r="AX121" s="4">
        <f t="shared" si="192"/>
        <v>816.25800671999991</v>
      </c>
      <c r="AY121" s="4">
        <f t="shared" si="192"/>
        <v>1142.761209408</v>
      </c>
      <c r="AZ121" s="4">
        <f t="shared" si="192"/>
        <v>1501.9147323647996</v>
      </c>
      <c r="BA121" s="4">
        <f t="shared" si="192"/>
        <v>1858.6194813014397</v>
      </c>
      <c r="BB121" s="4">
        <f t="shared" ref="BB121:BF121" si="193">+BB118/8</f>
        <v>2005.7601902378037</v>
      </c>
      <c r="BC121" s="4">
        <f t="shared" si="193"/>
        <v>2162.968421364551</v>
      </c>
      <c r="BD121" s="4">
        <f t="shared" si="193"/>
        <v>2330.8830751283781</v>
      </c>
      <c r="BE121" s="4">
        <f t="shared" si="193"/>
        <v>2510.1817732151762</v>
      </c>
      <c r="BF121" s="4">
        <f t="shared" si="193"/>
        <v>2701.5831334228328</v>
      </c>
    </row>
    <row r="122" spans="2:58" x14ac:dyDescent="0.25">
      <c r="B122" s="33" t="s">
        <v>164</v>
      </c>
      <c r="S122" s="5"/>
      <c r="AT122" s="26">
        <f>+AT117/AS117-1</f>
        <v>0.21386886371438374</v>
      </c>
    </row>
    <row r="123" spans="2:58" x14ac:dyDescent="0.25">
      <c r="B123" s="33" t="s">
        <v>165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4F39-E644-46A9-B245-D7F03606ADCB}">
  <dimension ref="B2"/>
  <sheetViews>
    <sheetView tabSelected="1" workbookViewId="0">
      <selection activeCell="C3" sqref="C3"/>
    </sheetView>
  </sheetViews>
  <sheetFormatPr defaultRowHeight="14.5" x14ac:dyDescent="0.35"/>
  <sheetData>
    <row r="2" spans="2:2" x14ac:dyDescent="0.35">
      <c r="B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796875" defaultRowHeight="12.5" x14ac:dyDescent="0.25"/>
  <cols>
    <col min="1" max="1" width="5" style="28" bestFit="1" customWidth="1"/>
    <col min="2" max="2" width="9.1796875" style="28"/>
    <col min="3" max="3" width="11.7265625" style="28" customWidth="1"/>
    <col min="4" max="16384" width="9.1796875" style="28"/>
  </cols>
  <sheetData>
    <row r="1" spans="1:5" ht="14.5" x14ac:dyDescent="0.35">
      <c r="A1" s="34" t="s">
        <v>8</v>
      </c>
    </row>
    <row r="4" spans="1:5" x14ac:dyDescent="0.25">
      <c r="B4" s="28" t="s">
        <v>98</v>
      </c>
      <c r="C4" s="28" t="s">
        <v>99</v>
      </c>
      <c r="D4" s="28">
        <v>100000</v>
      </c>
    </row>
    <row r="5" spans="1:5" x14ac:dyDescent="0.25">
      <c r="C5" s="28" t="s">
        <v>100</v>
      </c>
      <c r="D5" s="28">
        <v>550000</v>
      </c>
    </row>
    <row r="6" spans="1:5" x14ac:dyDescent="0.25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5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5">
      <c r="B8" s="28" t="s">
        <v>104</v>
      </c>
      <c r="C8" s="28" t="s">
        <v>103</v>
      </c>
      <c r="D8" s="28">
        <v>250000</v>
      </c>
    </row>
    <row r="9" spans="1:5" x14ac:dyDescent="0.25">
      <c r="C9" s="28" t="s">
        <v>105</v>
      </c>
      <c r="D9" s="28">
        <v>300000</v>
      </c>
      <c r="E9" s="28">
        <v>125000</v>
      </c>
    </row>
    <row r="10" spans="1:5" x14ac:dyDescent="0.25">
      <c r="B10" s="28" t="s">
        <v>106</v>
      </c>
      <c r="C10" s="28" t="s">
        <v>107</v>
      </c>
      <c r="D10" s="28">
        <v>300000</v>
      </c>
    </row>
    <row r="11" spans="1:5" x14ac:dyDescent="0.25">
      <c r="C11" s="28" t="s">
        <v>108</v>
      </c>
      <c r="D11" s="28">
        <v>300000</v>
      </c>
    </row>
    <row r="12" spans="1:5" x14ac:dyDescent="0.25">
      <c r="C12" s="28" t="s">
        <v>109</v>
      </c>
      <c r="D12" s="28">
        <v>300000</v>
      </c>
    </row>
    <row r="13" spans="1:5" x14ac:dyDescent="0.25">
      <c r="B13" s="33" t="s">
        <v>158</v>
      </c>
    </row>
    <row r="14" spans="1:5" x14ac:dyDescent="0.25">
      <c r="B14" s="33" t="s">
        <v>159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 x14ac:dyDescent="0.25"/>
  <cols>
    <col min="1" max="1" width="5" style="33" bestFit="1" customWidth="1"/>
    <col min="2" max="16384" width="9.1796875" style="33"/>
  </cols>
  <sheetData>
    <row r="1" spans="1:1" x14ac:dyDescent="0.25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Earnings Call Notes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2024-11-23T20:54:02Z</dcterms:modified>
  <cp:category/>
  <cp:contentStatus/>
</cp:coreProperties>
</file>