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2906c935fa0eb4f/models/"/>
    </mc:Choice>
  </mc:AlternateContent>
  <xr:revisionPtr revIDLastSave="335" documentId="8_{2959E65E-55D8-40F5-B350-6BD91C9C1EC2}" xr6:coauthVersionLast="47" xr6:coauthVersionMax="47" xr10:uidLastSave="{E1680582-4DAC-4E38-B087-8F12DA1F9348}"/>
  <bookViews>
    <workbookView xWindow="-90" yWindow="0" windowWidth="9780" windowHeight="10170" activeTab="2" xr2:uid="{00000000-000D-0000-FFFF-FFFF00000000}"/>
  </bookViews>
  <sheets>
    <sheet name="Main" sheetId="1" r:id="rId1"/>
    <sheet name="Parts" sheetId="5" r:id="rId2"/>
    <sheet name="Model" sheetId="2" r:id="rId3"/>
    <sheet name="Manufacturing" sheetId="3" r:id="rId4"/>
    <sheet name="IP" sheetId="4" r:id="rId5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94" i="2" l="1"/>
  <c r="E94" i="2"/>
  <c r="D94" i="2"/>
  <c r="C94" i="2"/>
  <c r="L94" i="2"/>
  <c r="K94" i="2"/>
  <c r="J94" i="2"/>
  <c r="I94" i="2"/>
  <c r="H94" i="2"/>
  <c r="G94" i="2"/>
  <c r="G90" i="2" l="1"/>
  <c r="G89" i="2"/>
  <c r="G88" i="2"/>
  <c r="G87" i="2"/>
  <c r="G86" i="2"/>
  <c r="G85" i="2"/>
  <c r="G84" i="2"/>
  <c r="G83" i="2"/>
  <c r="F11" i="2"/>
  <c r="E11" i="2"/>
  <c r="D11" i="2"/>
  <c r="G72" i="2"/>
  <c r="C72" i="2"/>
  <c r="G68" i="2"/>
  <c r="G69" i="2" s="1"/>
  <c r="C68" i="2"/>
  <c r="C69" i="2" s="1"/>
  <c r="X67" i="2"/>
  <c r="X66" i="2"/>
  <c r="K6" i="1"/>
  <c r="K5" i="1"/>
  <c r="G45" i="2"/>
  <c r="G44" i="2"/>
  <c r="G39" i="2"/>
  <c r="G40" i="2"/>
  <c r="X136" i="2"/>
  <c r="X137" i="2"/>
  <c r="V62" i="2"/>
  <c r="S11" i="2"/>
  <c r="X45" i="2"/>
  <c r="X44" i="2"/>
  <c r="X105" i="2"/>
  <c r="V105" i="2"/>
  <c r="V2" i="2"/>
  <c r="W2" i="2" s="1"/>
  <c r="X2" i="2" s="1"/>
  <c r="H45" i="2"/>
  <c r="H44" i="2"/>
  <c r="X49" i="2"/>
  <c r="X11" i="2" s="1"/>
  <c r="C99" i="2"/>
  <c r="C103" i="2" s="1"/>
  <c r="C106" i="2" s="1"/>
  <c r="H65" i="2"/>
  <c r="H64" i="2"/>
  <c r="H60" i="2"/>
  <c r="H59" i="2"/>
  <c r="H57" i="2"/>
  <c r="H50" i="2"/>
  <c r="H40" i="2"/>
  <c r="H39" i="2"/>
  <c r="X40" i="2"/>
  <c r="X39" i="2"/>
  <c r="X59" i="2"/>
  <c r="X57" i="2"/>
  <c r="X50" i="2"/>
  <c r="C41" i="2"/>
  <c r="H46" i="2"/>
  <c r="H81" i="2" s="1"/>
  <c r="C46" i="2"/>
  <c r="C23" i="2" s="1"/>
  <c r="P61" i="2"/>
  <c r="Q79" i="2" s="1"/>
  <c r="O61" i="2"/>
  <c r="N61" i="2"/>
  <c r="S79" i="2"/>
  <c r="R79" i="2"/>
  <c r="W64" i="2"/>
  <c r="T60" i="2"/>
  <c r="T59" i="2"/>
  <c r="T57" i="2"/>
  <c r="T50" i="2"/>
  <c r="T49" i="2"/>
  <c r="T11" i="2" s="1"/>
  <c r="U60" i="2"/>
  <c r="U59" i="2"/>
  <c r="U57" i="2"/>
  <c r="U50" i="2"/>
  <c r="U45" i="2"/>
  <c r="U44" i="2"/>
  <c r="U40" i="2"/>
  <c r="U39" i="2"/>
  <c r="T45" i="2"/>
  <c r="T44" i="2"/>
  <c r="T40" i="2"/>
  <c r="T39" i="2"/>
  <c r="V40" i="2"/>
  <c r="V39" i="2"/>
  <c r="V59" i="2"/>
  <c r="V45" i="2"/>
  <c r="V44" i="2"/>
  <c r="W45" i="2"/>
  <c r="W44" i="2"/>
  <c r="W40" i="2"/>
  <c r="W39" i="2"/>
  <c r="V60" i="2"/>
  <c r="V57" i="2"/>
  <c r="V50" i="2"/>
  <c r="K4" i="1"/>
  <c r="H68" i="2" l="1"/>
  <c r="Y45" i="2"/>
  <c r="Y77" i="2"/>
  <c r="Y40" i="2"/>
  <c r="Y44" i="2"/>
  <c r="Y39" i="2"/>
  <c r="V103" i="2"/>
  <c r="V106" i="2" s="1"/>
  <c r="X103" i="2"/>
  <c r="X106" i="2" s="1"/>
  <c r="W105" i="2"/>
  <c r="Y2" i="2"/>
  <c r="Z2" i="2" s="1"/>
  <c r="AA2" i="2" s="1"/>
  <c r="AB2" i="2" s="1"/>
  <c r="AC2" i="2" s="1"/>
  <c r="AD2" i="2" s="1"/>
  <c r="AE2" i="2" s="1"/>
  <c r="AF2" i="2" s="1"/>
  <c r="AG2" i="2" s="1"/>
  <c r="AH2" i="2" s="1"/>
  <c r="AI2" i="2" s="1"/>
  <c r="AJ2" i="2" s="1"/>
  <c r="X41" i="2"/>
  <c r="X23" i="2" s="1"/>
  <c r="G46" i="2"/>
  <c r="Y64" i="2"/>
  <c r="Z64" i="2" s="1"/>
  <c r="Y65" i="2"/>
  <c r="Z65" i="2" s="1"/>
  <c r="AA65" i="2" s="1"/>
  <c r="AB65" i="2" s="1"/>
  <c r="AC65" i="2" s="1"/>
  <c r="AD65" i="2" s="1"/>
  <c r="AE65" i="2" s="1"/>
  <c r="AF65" i="2" s="1"/>
  <c r="AG65" i="2" s="1"/>
  <c r="AH65" i="2" s="1"/>
  <c r="AI65" i="2" s="1"/>
  <c r="AJ65" i="2" s="1"/>
  <c r="G41" i="2"/>
  <c r="G80" i="2" s="1"/>
  <c r="T41" i="2"/>
  <c r="T42" i="2" s="1"/>
  <c r="X46" i="2"/>
  <c r="Y50" i="2"/>
  <c r="W41" i="2"/>
  <c r="Y57" i="2"/>
  <c r="Y59" i="2"/>
  <c r="C81" i="2"/>
  <c r="O79" i="2"/>
  <c r="C80" i="2"/>
  <c r="X58" i="2"/>
  <c r="P79" i="2"/>
  <c r="C42" i="2"/>
  <c r="C107" i="2"/>
  <c r="H41" i="2"/>
  <c r="H80" i="2" s="1"/>
  <c r="H42" i="2"/>
  <c r="K7" i="1"/>
  <c r="T58" i="2"/>
  <c r="T61" i="2" s="1"/>
  <c r="T79" i="2" s="1"/>
  <c r="W65" i="2"/>
  <c r="W68" i="2" s="1"/>
  <c r="V46" i="2"/>
  <c r="W46" i="2"/>
  <c r="U41" i="2"/>
  <c r="U46" i="2"/>
  <c r="U49" i="2"/>
  <c r="U11" i="2" s="1"/>
  <c r="V41" i="2"/>
  <c r="T46" i="2"/>
  <c r="X77" i="2"/>
  <c r="W60" i="2"/>
  <c r="V49" i="2"/>
  <c r="V11" i="2" s="1"/>
  <c r="C58" i="2"/>
  <c r="X65" i="2"/>
  <c r="W49" i="2"/>
  <c r="W11" i="2" s="1"/>
  <c r="X64" i="2"/>
  <c r="C82" i="2"/>
  <c r="W59" i="2"/>
  <c r="W50" i="2"/>
  <c r="W57" i="2"/>
  <c r="C63" i="2" l="1"/>
  <c r="C70" i="2" s="1"/>
  <c r="C73" i="2" s="1"/>
  <c r="C74" i="2" s="1"/>
  <c r="C11" i="2"/>
  <c r="G81" i="2"/>
  <c r="G23" i="2"/>
  <c r="C60" i="2"/>
  <c r="Y46" i="2"/>
  <c r="Z46" i="2" s="1"/>
  <c r="Z68" i="2"/>
  <c r="AA64" i="2"/>
  <c r="AB64" i="2" s="1"/>
  <c r="AC64" i="2" s="1"/>
  <c r="AD64" i="2" s="1"/>
  <c r="AE64" i="2" s="1"/>
  <c r="AF64" i="2" s="1"/>
  <c r="Y41" i="2"/>
  <c r="Y133" i="2" s="1"/>
  <c r="Y48" i="2" s="1"/>
  <c r="X138" i="2"/>
  <c r="W103" i="2"/>
  <c r="W106" i="2" s="1"/>
  <c r="X80" i="2"/>
  <c r="U80" i="2"/>
  <c r="H49" i="2"/>
  <c r="H82" i="2" s="1"/>
  <c r="Z77" i="2"/>
  <c r="AA77" i="2" s="1"/>
  <c r="AB77" i="2" s="1"/>
  <c r="AC77" i="2" s="1"/>
  <c r="AD77" i="2" s="1"/>
  <c r="AE77" i="2" s="1"/>
  <c r="AF77" i="2" s="1"/>
  <c r="AG77" i="2" s="1"/>
  <c r="AH77" i="2" s="1"/>
  <c r="AI77" i="2" s="1"/>
  <c r="V81" i="2"/>
  <c r="U81" i="2"/>
  <c r="V80" i="2"/>
  <c r="W81" i="2"/>
  <c r="X42" i="2"/>
  <c r="V58" i="2"/>
  <c r="V61" i="2" s="1"/>
  <c r="V91" i="2" s="1"/>
  <c r="V42" i="2"/>
  <c r="Y68" i="2"/>
  <c r="U58" i="2"/>
  <c r="U61" i="2" s="1"/>
  <c r="U79" i="2" s="1"/>
  <c r="U42" i="2"/>
  <c r="W80" i="2"/>
  <c r="X68" i="2"/>
  <c r="C75" i="2" l="1"/>
  <c r="X60" i="2"/>
  <c r="X61" i="2" s="1"/>
  <c r="C61" i="2"/>
  <c r="C79" i="2" s="1"/>
  <c r="Y81" i="2"/>
  <c r="Y23" i="2"/>
  <c r="Y37" i="2"/>
  <c r="AG64" i="2"/>
  <c r="AF68" i="2"/>
  <c r="Y136" i="2"/>
  <c r="AJ77" i="2"/>
  <c r="H62" i="2"/>
  <c r="H58" i="2"/>
  <c r="W42" i="2"/>
  <c r="W58" i="2"/>
  <c r="W61" i="2" s="1"/>
  <c r="X81" i="2"/>
  <c r="V79" i="2"/>
  <c r="U91" i="2"/>
  <c r="X62" i="2"/>
  <c r="W62" i="2"/>
  <c r="H69" i="2" l="1"/>
  <c r="H61" i="2"/>
  <c r="H63" i="2"/>
  <c r="H70" i="2" s="1"/>
  <c r="C91" i="2"/>
  <c r="AH64" i="2"/>
  <c r="AG68" i="2"/>
  <c r="W79" i="2"/>
  <c r="W63" i="2"/>
  <c r="W70" i="2" s="1"/>
  <c r="AA68" i="2"/>
  <c r="H91" i="2" l="1"/>
  <c r="H71" i="2"/>
  <c r="H73" i="2" s="1"/>
  <c r="H74" i="2" s="1"/>
  <c r="AH68" i="2"/>
  <c r="AI64" i="2"/>
  <c r="H79" i="2"/>
  <c r="C110" i="2"/>
  <c r="Y80" i="2"/>
  <c r="AB68" i="2"/>
  <c r="Z41" i="2"/>
  <c r="Z133" i="2" s="1"/>
  <c r="AA46" i="2"/>
  <c r="Z81" i="2"/>
  <c r="W91" i="2"/>
  <c r="X79" i="2"/>
  <c r="H75" i="2" l="1"/>
  <c r="AJ64" i="2"/>
  <c r="AJ68" i="2" s="1"/>
  <c r="AI68" i="2"/>
  <c r="Z136" i="2"/>
  <c r="Z48" i="2"/>
  <c r="C109" i="2"/>
  <c r="C121" i="2"/>
  <c r="Z80" i="2"/>
  <c r="AC68" i="2"/>
  <c r="AA41" i="2"/>
  <c r="AA133" i="2" s="1"/>
  <c r="AA81" i="2"/>
  <c r="AB46" i="2"/>
  <c r="X63" i="2"/>
  <c r="X70" i="2" s="1"/>
  <c r="AA136" i="2" l="1"/>
  <c r="AA48" i="2"/>
  <c r="AA80" i="2"/>
  <c r="X91" i="2"/>
  <c r="AC46" i="2"/>
  <c r="AB81" i="2"/>
  <c r="AB41" i="2"/>
  <c r="AB133" i="2" s="1"/>
  <c r="AE68" i="2"/>
  <c r="AD68" i="2"/>
  <c r="X71" i="2"/>
  <c r="AB136" i="2" l="1"/>
  <c r="AB48" i="2"/>
  <c r="X109" i="2"/>
  <c r="X74" i="2"/>
  <c r="AB80" i="2"/>
  <c r="AD46" i="2"/>
  <c r="AC41" i="2"/>
  <c r="AC133" i="2" s="1"/>
  <c r="AC81" i="2"/>
  <c r="AC136" i="2" l="1"/>
  <c r="AC48" i="2"/>
  <c r="AC80" i="2"/>
  <c r="AD41" i="2"/>
  <c r="AD133" i="2" s="1"/>
  <c r="AE46" i="2"/>
  <c r="AF46" i="2" s="1"/>
  <c r="AD81" i="2"/>
  <c r="AF41" i="2" l="1"/>
  <c r="AG46" i="2"/>
  <c r="AF81" i="2"/>
  <c r="AD136" i="2"/>
  <c r="AD48" i="2"/>
  <c r="AD80" i="2"/>
  <c r="AE41" i="2"/>
  <c r="AE133" i="2" s="1"/>
  <c r="AE81" i="2"/>
  <c r="AE136" i="2" l="1"/>
  <c r="AE48" i="2"/>
  <c r="AH46" i="2"/>
  <c r="AG41" i="2"/>
  <c r="AG81" i="2"/>
  <c r="AF80" i="2"/>
  <c r="AF133" i="2"/>
  <c r="AE80" i="2"/>
  <c r="AF136" i="2" l="1"/>
  <c r="AF48" i="2"/>
  <c r="AG80" i="2"/>
  <c r="AG133" i="2"/>
  <c r="AI46" i="2"/>
  <c r="AH41" i="2"/>
  <c r="AH81" i="2"/>
  <c r="G42" i="2"/>
  <c r="AG136" i="2" l="1"/>
  <c r="AG48" i="2"/>
  <c r="AH80" i="2"/>
  <c r="AH133" i="2"/>
  <c r="AJ46" i="2"/>
  <c r="AI41" i="2"/>
  <c r="AI81" i="2"/>
  <c r="Y62" i="2"/>
  <c r="G58" i="2"/>
  <c r="Y49" i="2"/>
  <c r="G82" i="2"/>
  <c r="G63" i="2" l="1"/>
  <c r="G70" i="2" s="1"/>
  <c r="G73" i="2" s="1"/>
  <c r="G75" i="2" s="1"/>
  <c r="G11" i="2"/>
  <c r="G60" i="2"/>
  <c r="Y11" i="2"/>
  <c r="Y58" i="2"/>
  <c r="AI133" i="2"/>
  <c r="AI80" i="2"/>
  <c r="AJ41" i="2"/>
  <c r="AJ81" i="2"/>
  <c r="AH136" i="2"/>
  <c r="AH48" i="2"/>
  <c r="Y42" i="2"/>
  <c r="Z42" i="2" s="1"/>
  <c r="G74" i="2" l="1"/>
  <c r="G61" i="2"/>
  <c r="G79" i="2" s="1"/>
  <c r="Y60" i="2"/>
  <c r="Y61" i="2" s="1"/>
  <c r="Y79" i="2" s="1"/>
  <c r="AJ133" i="2"/>
  <c r="AJ80" i="2"/>
  <c r="AI136" i="2"/>
  <c r="AI48" i="2"/>
  <c r="Z49" i="2"/>
  <c r="AA42" i="2"/>
  <c r="Y63" i="2"/>
  <c r="Y70" i="2" s="1"/>
  <c r="G91" i="2" l="1"/>
  <c r="Z58" i="2"/>
  <c r="Z61" i="2" s="1"/>
  <c r="Z79" i="2" s="1"/>
  <c r="Z62" i="2"/>
  <c r="AJ136" i="2"/>
  <c r="AJ48" i="2"/>
  <c r="AB42" i="2"/>
  <c r="AA49" i="2"/>
  <c r="Y71" i="2"/>
  <c r="Y91" i="2"/>
  <c r="AA58" i="2" l="1"/>
  <c r="AA61" i="2" s="1"/>
  <c r="AA79" i="2" s="1"/>
  <c r="AA62" i="2"/>
  <c r="Z63" i="2"/>
  <c r="Z70" i="2" s="1"/>
  <c r="AC42" i="2"/>
  <c r="AB49" i="2"/>
  <c r="AB58" i="2" s="1"/>
  <c r="AB61" i="2" s="1"/>
  <c r="Y74" i="2"/>
  <c r="Z91" i="2" l="1"/>
  <c r="AB62" i="2"/>
  <c r="AB63" i="2" s="1"/>
  <c r="AB70" i="2" s="1"/>
  <c r="AA63" i="2"/>
  <c r="AA70" i="2" s="1"/>
  <c r="AB79" i="2"/>
  <c r="AD42" i="2"/>
  <c r="AC49" i="2"/>
  <c r="AC58" i="2" s="1"/>
  <c r="AC61" i="2" s="1"/>
  <c r="Y109" i="2"/>
  <c r="AA91" i="2" l="1"/>
  <c r="Z71" i="2"/>
  <c r="Z74" i="2" s="1"/>
  <c r="AC62" i="2"/>
  <c r="AC63" i="2" s="1"/>
  <c r="AC70" i="2" s="1"/>
  <c r="AB91" i="2"/>
  <c r="AC79" i="2"/>
  <c r="AE42" i="2"/>
  <c r="AD49" i="2"/>
  <c r="AD58" i="2" s="1"/>
  <c r="AD61" i="2" s="1"/>
  <c r="AE49" i="2" l="1"/>
  <c r="AE58" i="2" s="1"/>
  <c r="AE61" i="2" s="1"/>
  <c r="AE79" i="2" s="1"/>
  <c r="AF42" i="2"/>
  <c r="Z109" i="2"/>
  <c r="AA71" i="2" s="1"/>
  <c r="AA74" i="2" s="1"/>
  <c r="AD62" i="2"/>
  <c r="AD63" i="2" s="1"/>
  <c r="AD70" i="2" s="1"/>
  <c r="AC91" i="2"/>
  <c r="AD79" i="2"/>
  <c r="AE62" i="2" l="1"/>
  <c r="AE63" i="2" s="1"/>
  <c r="AE70" i="2" s="1"/>
  <c r="AA109" i="2"/>
  <c r="AG42" i="2"/>
  <c r="AF49" i="2"/>
  <c r="AF58" i="2" s="1"/>
  <c r="AF61" i="2" s="1"/>
  <c r="AD91" i="2"/>
  <c r="AE91" i="2" l="1"/>
  <c r="AF62" i="2"/>
  <c r="AF63" i="2" s="1"/>
  <c r="AF70" i="2" s="1"/>
  <c r="AF79" i="2"/>
  <c r="AH42" i="2"/>
  <c r="AG49" i="2"/>
  <c r="AG58" i="2" s="1"/>
  <c r="AG61" i="2" s="1"/>
  <c r="AB71" i="2"/>
  <c r="AG79" i="2" l="1"/>
  <c r="AG62" i="2"/>
  <c r="AG63" i="2" s="1"/>
  <c r="AG70" i="2" s="1"/>
  <c r="AI42" i="2"/>
  <c r="AH49" i="2"/>
  <c r="AH58" i="2" s="1"/>
  <c r="AH61" i="2" s="1"/>
  <c r="AF91" i="2"/>
  <c r="AB74" i="2"/>
  <c r="AB109" i="2"/>
  <c r="AG91" i="2" l="1"/>
  <c r="AH62" i="2"/>
  <c r="AH63" i="2" s="1"/>
  <c r="AH70" i="2" s="1"/>
  <c r="AH79" i="2"/>
  <c r="AJ42" i="2"/>
  <c r="AJ49" i="2" s="1"/>
  <c r="AJ58" i="2" s="1"/>
  <c r="AJ61" i="2" s="1"/>
  <c r="AI49" i="2"/>
  <c r="AI58" i="2" s="1"/>
  <c r="AI61" i="2" s="1"/>
  <c r="AH91" i="2" l="1"/>
  <c r="AI79" i="2"/>
  <c r="AI62" i="2"/>
  <c r="AI63" i="2" s="1"/>
  <c r="AI70" i="2" s="1"/>
  <c r="AJ62" i="2"/>
  <c r="AJ63" i="2" s="1"/>
  <c r="AJ70" i="2" s="1"/>
  <c r="AJ79" i="2"/>
  <c r="AC71" i="2"/>
  <c r="AJ91" i="2" l="1"/>
  <c r="AI91" i="2"/>
  <c r="AC74" i="2"/>
  <c r="AC109" i="2"/>
  <c r="AD71" i="2" l="1"/>
  <c r="AD74" i="2" l="1"/>
  <c r="AD109" i="2"/>
  <c r="AE71" i="2" l="1"/>
  <c r="AE74" i="2" l="1"/>
  <c r="AE109" i="2"/>
  <c r="AF71" i="2" l="1"/>
  <c r="AF74" i="2" l="1"/>
  <c r="AF109" i="2"/>
  <c r="AG71" i="2" l="1"/>
  <c r="AG74" i="2" l="1"/>
  <c r="AG109" i="2"/>
  <c r="AH71" i="2" l="1"/>
  <c r="AH74" i="2" l="1"/>
  <c r="AH109" i="2"/>
  <c r="AI71" i="2" l="1"/>
  <c r="AI74" i="2" l="1"/>
  <c r="AI109" i="2"/>
  <c r="AJ71" i="2" l="1"/>
  <c r="AJ74" i="2" l="1"/>
  <c r="AJ109" i="2"/>
  <c r="AL95" i="2" l="1"/>
  <c r="AL97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tc={7D7449AA-B6F8-4EBC-88EB-E7879CDB3FAB}</author>
    <author>Martin Shkreli</author>
  </authors>
  <commentList>
    <comment ref="X46" authorId="0" shapeId="0" xr:uid="{7D7449AA-B6F8-4EBC-88EB-E7879CDB3FAB}">
      <text>
        <t>[Threaded comment]
Your version of Excel allows you to read this threaded comment; however, any edits to it will get removed if the file is opened in a newer version of Excel. Learn more: https://go.microsoft.com/fwlink/?linkid=870924
Comment:
    Q123: 1.8m/year</t>
      </text>
    </comment>
    <comment ref="W49" authorId="1" shapeId="0" xr:uid="{967D8758-D7BC-41A6-B5D6-1925877D7989}">
      <text>
        <r>
          <rPr>
            <b/>
            <sz val="9"/>
            <color indexed="81"/>
            <rFont val="Tahoma"/>
            <family val="2"/>
          </rPr>
          <t>Martin Shkreli:</t>
        </r>
        <r>
          <rPr>
            <sz val="9"/>
            <color indexed="81"/>
            <rFont val="Tahoma"/>
            <family val="2"/>
          </rPr>
          <t xml:space="preserve">
67210 actual</t>
        </r>
      </text>
    </comment>
  </commentList>
</comments>
</file>

<file path=xl/sharedStrings.xml><?xml version="1.0" encoding="utf-8"?>
<sst xmlns="http://schemas.openxmlformats.org/spreadsheetml/2006/main" count="200" uniqueCount="171">
  <si>
    <t>Price</t>
  </si>
  <si>
    <t>Shares</t>
  </si>
  <si>
    <t>MC</t>
  </si>
  <si>
    <t>Cash</t>
  </si>
  <si>
    <t>Debt</t>
  </si>
  <si>
    <t>EV</t>
  </si>
  <si>
    <t>Main</t>
  </si>
  <si>
    <t>Model S/X Deliveries</t>
  </si>
  <si>
    <t>Model 3/Y Deliveries</t>
  </si>
  <si>
    <t>Deliveries</t>
  </si>
  <si>
    <t>Deliveries ASP</t>
  </si>
  <si>
    <t>Model S/X Production</t>
  </si>
  <si>
    <t>Model 3/Y Production</t>
  </si>
  <si>
    <t>Production</t>
  </si>
  <si>
    <t>Gross Margin</t>
  </si>
  <si>
    <t>R&amp;D</t>
  </si>
  <si>
    <t>SG&amp;A</t>
  </si>
  <si>
    <t>Operating Expenses</t>
  </si>
  <si>
    <t>Interest Expense</t>
  </si>
  <si>
    <t>Taxes</t>
  </si>
  <si>
    <t>EPS</t>
  </si>
  <si>
    <t>Model NI</t>
  </si>
  <si>
    <t>Reported NI</t>
  </si>
  <si>
    <t>D&amp;A</t>
  </si>
  <si>
    <t>SBC</t>
  </si>
  <si>
    <t>Inventory</t>
  </si>
  <si>
    <t>Non-Cash Interest</t>
  </si>
  <si>
    <t>WC</t>
  </si>
  <si>
    <t>CFFO</t>
  </si>
  <si>
    <t>AR</t>
  </si>
  <si>
    <t>Prepaids</t>
  </si>
  <si>
    <t>Operating Lease</t>
  </si>
  <si>
    <t>Energy Systems</t>
  </si>
  <si>
    <t>PP&amp;E</t>
  </si>
  <si>
    <t>Operating Lease ROU</t>
  </si>
  <si>
    <t>Digital Assets</t>
  </si>
  <si>
    <t>Goodwill</t>
  </si>
  <si>
    <t>ONCA</t>
  </si>
  <si>
    <t>Assets</t>
  </si>
  <si>
    <t>AP</t>
  </si>
  <si>
    <t>AL</t>
  </si>
  <si>
    <t>DR</t>
  </si>
  <si>
    <t>Customer Deposits</t>
  </si>
  <si>
    <t>OLTL</t>
  </si>
  <si>
    <t>SE</t>
  </si>
  <si>
    <t>L+SE</t>
  </si>
  <si>
    <t>FX/Other</t>
  </si>
  <si>
    <t>CapEx</t>
  </si>
  <si>
    <t>FCF</t>
  </si>
  <si>
    <t>TTM FCF</t>
  </si>
  <si>
    <t>FSD Beta</t>
  </si>
  <si>
    <t>Q323</t>
  </si>
  <si>
    <t>Q423</t>
  </si>
  <si>
    <t>Revenue y/y</t>
  </si>
  <si>
    <t>Deliveries y/y</t>
  </si>
  <si>
    <t>Production y/y</t>
  </si>
  <si>
    <t>California</t>
  </si>
  <si>
    <t>Model S/X</t>
  </si>
  <si>
    <t>Model 3/Y</t>
  </si>
  <si>
    <t>Shanghai</t>
  </si>
  <si>
    <t>Berlin</t>
  </si>
  <si>
    <t>Model Y</t>
  </si>
  <si>
    <t>Texas</t>
  </si>
  <si>
    <t>Cybertruck</t>
  </si>
  <si>
    <t>Nevada</t>
  </si>
  <si>
    <t>Semi</t>
  </si>
  <si>
    <t>Roadaster</t>
  </si>
  <si>
    <t>Robotaxi</t>
  </si>
  <si>
    <t>Maturity</t>
  </si>
  <si>
    <t>Discount</t>
  </si>
  <si>
    <t>NPV</t>
  </si>
  <si>
    <t>Share</t>
  </si>
  <si>
    <t>ROIC</t>
  </si>
  <si>
    <t>Net Cash</t>
  </si>
  <si>
    <t>Q124</t>
  </si>
  <si>
    <t>Q224</t>
  </si>
  <si>
    <t>Q324</t>
  </si>
  <si>
    <t>Q424</t>
  </si>
  <si>
    <t>Q125</t>
  </si>
  <si>
    <t>Q225</t>
  </si>
  <si>
    <t>Q325</t>
  </si>
  <si>
    <t>Q425</t>
  </si>
  <si>
    <t>BYD Revenue</t>
  </si>
  <si>
    <t>Porsche Revenue</t>
  </si>
  <si>
    <t>Porsche Deliveries</t>
  </si>
  <si>
    <t>Volkswagen Revenue</t>
  </si>
  <si>
    <t>Volkswagen Deliveries</t>
  </si>
  <si>
    <t>Volkswagen ASP</t>
  </si>
  <si>
    <t>Porsche ASP</t>
  </si>
  <si>
    <t>FSD DR</t>
  </si>
  <si>
    <t>Buffalo</t>
  </si>
  <si>
    <t>Lahtrop, CA</t>
  </si>
  <si>
    <t>FSD DR Additions</t>
  </si>
  <si>
    <t>FSD DR RevRec</t>
  </si>
  <si>
    <t>Estimated FSD users added</t>
  </si>
  <si>
    <t>FSD DR y/y</t>
  </si>
  <si>
    <t>FSD penetration</t>
  </si>
  <si>
    <t>Production Ag</t>
  </si>
  <si>
    <r>
      <t xml:space="preserve">AGCO, </t>
    </r>
    <r>
      <rPr>
        <strike/>
        <sz val="10"/>
        <rFont val="Arial"/>
        <family val="2"/>
      </rPr>
      <t>CAT</t>
    </r>
  </si>
  <si>
    <t>Small Ag</t>
  </si>
  <si>
    <t>Turf</t>
  </si>
  <si>
    <t>Construction</t>
  </si>
  <si>
    <t>Compaction Construction</t>
  </si>
  <si>
    <t>Roadbuilding</t>
  </si>
  <si>
    <t>Forestry</t>
  </si>
  <si>
    <t>Financial Products</t>
  </si>
  <si>
    <t>Other</t>
  </si>
  <si>
    <t>Brands</t>
  </si>
  <si>
    <t>Wirtgen</t>
  </si>
  <si>
    <t>Hagie</t>
  </si>
  <si>
    <t>Bear Flag Robotics</t>
  </si>
  <si>
    <t>Monosem</t>
  </si>
  <si>
    <t>a&amp;i products</t>
  </si>
  <si>
    <t>PLA</t>
  </si>
  <si>
    <t>Mozzotti</t>
  </si>
  <si>
    <t>Blue River Technology</t>
  </si>
  <si>
    <t>Kreisel</t>
  </si>
  <si>
    <t>Harvest Profit</t>
  </si>
  <si>
    <t>Product Lines</t>
  </si>
  <si>
    <t xml:space="preserve"> </t>
  </si>
  <si>
    <t>Parts</t>
  </si>
  <si>
    <t xml:space="preserve">Net </t>
  </si>
  <si>
    <t>Total Net Sales</t>
  </si>
  <si>
    <t>Parts % of Total</t>
  </si>
  <si>
    <t>Year</t>
  </si>
  <si>
    <t>Parts Sales</t>
  </si>
  <si>
    <t>of Equipment</t>
  </si>
  <si>
    <t>Equipment Sales</t>
  </si>
  <si>
    <t>(1) Wirtgen is included starting in FY2018</t>
  </si>
  <si>
    <r>
      <t>Deere &amp; Company Net Sales of Service Parts</t>
    </r>
    <r>
      <rPr>
        <b/>
        <vertAlign val="superscript"/>
        <sz val="11"/>
        <rFont val="Calibri"/>
        <family val="2"/>
        <scheme val="minor"/>
      </rPr>
      <t>(1)</t>
    </r>
    <r>
      <rPr>
        <i/>
        <sz val="11"/>
        <rFont val="Calibri"/>
        <family val="2"/>
        <scheme val="minor"/>
      </rPr>
      <t xml:space="preserve"> (billions of dollars)</t>
    </r>
  </si>
  <si>
    <t>AGCO Revenue</t>
  </si>
  <si>
    <t>DEERE Revenue</t>
  </si>
  <si>
    <t>CNH Revenue</t>
  </si>
  <si>
    <t>CLAAS Revenue</t>
  </si>
  <si>
    <t>Kubota Revenue</t>
  </si>
  <si>
    <t>CAT Revenue</t>
  </si>
  <si>
    <t>Kuhn Revenue</t>
  </si>
  <si>
    <t>Lindsay Revenue</t>
  </si>
  <si>
    <t>AGCO Production</t>
  </si>
  <si>
    <t>CNH Deliveries</t>
  </si>
  <si>
    <t>CLAAS Production</t>
  </si>
  <si>
    <t>Lindsay Production</t>
  </si>
  <si>
    <t>AGCO ASP</t>
  </si>
  <si>
    <t>CNH ASP</t>
  </si>
  <si>
    <t>CLAAS ASP</t>
  </si>
  <si>
    <t>Kubota ASP</t>
  </si>
  <si>
    <t>Kubota Deliveries</t>
  </si>
  <si>
    <t>Kuhn Deliveries</t>
  </si>
  <si>
    <t>CAT Production</t>
  </si>
  <si>
    <t>CAT ASP</t>
  </si>
  <si>
    <t>DEERE</t>
  </si>
  <si>
    <t>Deere Production</t>
  </si>
  <si>
    <t>Kuhn ASP</t>
  </si>
  <si>
    <t>Lindsay ASP</t>
  </si>
  <si>
    <t>Production and Precision Ag</t>
  </si>
  <si>
    <t>Compact Construction</t>
  </si>
  <si>
    <t>Product Line Revenue</t>
  </si>
  <si>
    <t>US Revenue</t>
  </si>
  <si>
    <t>Other Geographic</t>
  </si>
  <si>
    <t>Geography Revenue</t>
  </si>
  <si>
    <t>Cost of Sales</t>
  </si>
  <si>
    <t>Other Op Expense</t>
  </si>
  <si>
    <t>Total Expenses (W/ COGS)</t>
  </si>
  <si>
    <t>Operating Income (Pre-Tax)</t>
  </si>
  <si>
    <t>Adjustments for Affiliates</t>
  </si>
  <si>
    <t>Net Income Attributable to Deere and Co.</t>
  </si>
  <si>
    <t>Shares (Diluted)</t>
  </si>
  <si>
    <t>EPS (Diluted)</t>
  </si>
  <si>
    <t>*Collect this info as proxy for what is possible for growth</t>
  </si>
  <si>
    <t>Forever growth rate</t>
  </si>
  <si>
    <t>Risk level - higher = more risk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</si>
</sst>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3" formatCode="_(* #,##0.00_);_(* \(#,##0.00\);_(* &quot;-&quot;??_);_(@_)"/>
    <numFmt numFmtId="164" formatCode="0.0%"/>
    <numFmt numFmtId="165" formatCode="_(* #,##0.0_);_(* \(#,##0.0\);_(* &quot;-&quot;?_);_(@_)"/>
  </numFmts>
  <fonts count="2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0"/>
      <color rgb="FFFF0000"/>
      <name val="Arial"/>
      <family val="2"/>
    </font>
    <font>
      <u/>
      <sz val="10"/>
      <color rgb="FFFF0000"/>
      <name val="Arial"/>
      <family val="2"/>
    </font>
    <font>
      <b/>
      <sz val="10"/>
      <color rgb="FFFF0000"/>
      <name val="Arial"/>
      <family val="2"/>
    </font>
    <font>
      <u/>
      <sz val="11"/>
      <color rgb="FFFF0000"/>
      <name val="Calibri"/>
      <family val="2"/>
      <scheme val="minor"/>
    </font>
    <font>
      <sz val="10"/>
      <name val="Arial"/>
      <family val="2"/>
    </font>
    <font>
      <strike/>
      <sz val="10"/>
      <name val="Arial"/>
      <family val="2"/>
    </font>
    <font>
      <sz val="9"/>
      <name val="Geneva"/>
    </font>
    <font>
      <b/>
      <sz val="11"/>
      <name val="Calibri"/>
      <family val="2"/>
      <scheme val="minor"/>
    </font>
    <font>
      <i/>
      <sz val="11"/>
      <name val="Calibri"/>
      <family val="2"/>
      <scheme val="minor"/>
    </font>
    <font>
      <sz val="11"/>
      <name val="Calibri"/>
      <family val="2"/>
      <scheme val="minor"/>
    </font>
    <font>
      <b/>
      <vertAlign val="superscript"/>
      <sz val="11"/>
      <name val="Calibri"/>
      <family val="2"/>
      <scheme val="minor"/>
    </font>
    <font>
      <strike/>
      <sz val="11"/>
      <name val="Calibri"/>
      <family val="2"/>
      <scheme val="minor"/>
    </font>
    <font>
      <u/>
      <sz val="10"/>
      <name val="Arial"/>
      <family val="2"/>
    </font>
    <font>
      <b/>
      <u/>
      <sz val="10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0" fontId="2" fillId="0" borderId="0" applyNumberFormat="0" applyFill="0" applyBorder="0" applyAlignment="0" applyProtection="0"/>
    <xf numFmtId="9" fontId="5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9" fontId="12" fillId="0" borderId="0" applyFont="0" applyFill="0" applyBorder="0" applyAlignment="0" applyProtection="0"/>
  </cellStyleXfs>
  <cellXfs count="49">
    <xf numFmtId="0" fontId="0" fillId="0" borderId="0" xfId="0"/>
    <xf numFmtId="0" fontId="1" fillId="0" borderId="0" xfId="0" applyFont="1"/>
    <xf numFmtId="0" fontId="6" fillId="0" borderId="0" xfId="0" applyFont="1"/>
    <xf numFmtId="3" fontId="6" fillId="0" borderId="0" xfId="0" applyNumberFormat="1" applyFont="1"/>
    <xf numFmtId="0" fontId="6" fillId="0" borderId="0" xfId="0" applyFont="1" applyAlignment="1">
      <alignment horizontal="right"/>
    </xf>
    <xf numFmtId="0" fontId="7" fillId="0" borderId="0" xfId="1" applyFont="1"/>
    <xf numFmtId="3" fontId="6" fillId="0" borderId="0" xfId="0" applyNumberFormat="1" applyFont="1" applyAlignment="1">
      <alignment horizontal="right"/>
    </xf>
    <xf numFmtId="0" fontId="8" fillId="0" borderId="0" xfId="0" applyFont="1"/>
    <xf numFmtId="3" fontId="8" fillId="0" borderId="0" xfId="0" applyNumberFormat="1" applyFont="1" applyAlignment="1">
      <alignment horizontal="right"/>
    </xf>
    <xf numFmtId="0" fontId="8" fillId="0" borderId="0" xfId="0" applyFont="1" applyAlignment="1">
      <alignment horizontal="right"/>
    </xf>
    <xf numFmtId="3" fontId="8" fillId="0" borderId="0" xfId="0" applyNumberFormat="1" applyFont="1"/>
    <xf numFmtId="9" fontId="6" fillId="0" borderId="0" xfId="0" applyNumberFormat="1" applyFont="1"/>
    <xf numFmtId="3" fontId="6" fillId="2" borderId="0" xfId="0" applyNumberFormat="1" applyFont="1" applyFill="1"/>
    <xf numFmtId="4" fontId="6" fillId="0" borderId="0" xfId="0" applyNumberFormat="1" applyFont="1"/>
    <xf numFmtId="9" fontId="6" fillId="0" borderId="0" xfId="0" applyNumberFormat="1" applyFont="1" applyAlignment="1">
      <alignment horizontal="right"/>
    </xf>
    <xf numFmtId="0" fontId="9" fillId="0" borderId="0" xfId="1" applyFont="1"/>
    <xf numFmtId="0" fontId="10" fillId="0" borderId="0" xfId="0" applyFont="1" applyAlignment="1">
      <alignment horizontal="right"/>
    </xf>
    <xf numFmtId="3" fontId="10" fillId="0" borderId="0" xfId="0" applyNumberFormat="1" applyFont="1"/>
    <xf numFmtId="0" fontId="10" fillId="0" borderId="0" xfId="0" applyFont="1"/>
    <xf numFmtId="2" fontId="10" fillId="0" borderId="0" xfId="0" applyNumberFormat="1" applyFont="1"/>
    <xf numFmtId="0" fontId="10" fillId="0" borderId="1" xfId="0" applyFont="1" applyBorder="1"/>
    <xf numFmtId="0" fontId="13" fillId="0" borderId="1" xfId="3" applyFont="1" applyBorder="1"/>
    <xf numFmtId="0" fontId="14" fillId="0" borderId="1" xfId="3" applyFont="1" applyBorder="1"/>
    <xf numFmtId="0" fontId="15" fillId="0" borderId="1" xfId="3" applyFont="1" applyBorder="1"/>
    <xf numFmtId="0" fontId="15" fillId="0" borderId="0" xfId="3" applyFont="1"/>
    <xf numFmtId="0" fontId="17" fillId="0" borderId="0" xfId="3" applyFont="1"/>
    <xf numFmtId="0" fontId="15" fillId="0" borderId="0" xfId="3" applyFont="1" applyAlignment="1">
      <alignment horizontal="center"/>
    </xf>
    <xf numFmtId="0" fontId="15" fillId="0" borderId="1" xfId="3" applyFont="1" applyBorder="1" applyAlignment="1">
      <alignment horizontal="center"/>
    </xf>
    <xf numFmtId="0" fontId="15" fillId="0" borderId="0" xfId="3" applyFont="1" applyAlignment="1">
      <alignment horizontal="left"/>
    </xf>
    <xf numFmtId="165" fontId="15" fillId="0" borderId="0" xfId="4" applyNumberFormat="1" applyFont="1" applyFill="1" applyAlignment="1">
      <alignment horizontal="right"/>
    </xf>
    <xf numFmtId="165" fontId="15" fillId="0" borderId="0" xfId="3" applyNumberFormat="1" applyFont="1"/>
    <xf numFmtId="9" fontId="15" fillId="0" borderId="0" xfId="5" applyFont="1" applyFill="1"/>
    <xf numFmtId="9" fontId="15" fillId="0" borderId="0" xfId="2" applyFont="1"/>
    <xf numFmtId="10" fontId="15" fillId="0" borderId="0" xfId="2" applyNumberFormat="1" applyFont="1"/>
    <xf numFmtId="0" fontId="14" fillId="0" borderId="0" xfId="3" applyFont="1" applyAlignment="1">
      <alignment vertical="center"/>
    </xf>
    <xf numFmtId="0" fontId="18" fillId="0" borderId="0" xfId="1" applyFont="1"/>
    <xf numFmtId="3" fontId="10" fillId="0" borderId="0" xfId="0" applyNumberFormat="1" applyFont="1" applyAlignment="1">
      <alignment horizontal="right"/>
    </xf>
    <xf numFmtId="0" fontId="19" fillId="0" borderId="0" xfId="1" applyFont="1"/>
    <xf numFmtId="0" fontId="20" fillId="0" borderId="0" xfId="0" applyFont="1"/>
    <xf numFmtId="0" fontId="20" fillId="0" borderId="0" xfId="0" applyFont="1" applyAlignment="1">
      <alignment horizontal="right"/>
    </xf>
    <xf numFmtId="3" fontId="20" fillId="0" borderId="0" xfId="0" applyNumberFormat="1" applyFont="1" applyAlignment="1">
      <alignment horizontal="right"/>
    </xf>
    <xf numFmtId="3" fontId="20" fillId="0" borderId="0" xfId="0" applyNumberFormat="1" applyFont="1"/>
    <xf numFmtId="2" fontId="10" fillId="0" borderId="0" xfId="0" applyNumberFormat="1" applyFont="1" applyAlignment="1">
      <alignment horizontal="right"/>
    </xf>
    <xf numFmtId="4" fontId="10" fillId="0" borderId="0" xfId="0" applyNumberFormat="1" applyFont="1"/>
    <xf numFmtId="9" fontId="10" fillId="0" borderId="0" xfId="0" applyNumberFormat="1" applyFont="1" applyAlignment="1">
      <alignment horizontal="right"/>
    </xf>
    <xf numFmtId="9" fontId="20" fillId="0" borderId="0" xfId="0" applyNumberFormat="1" applyFont="1" applyAlignment="1">
      <alignment horizontal="right"/>
    </xf>
    <xf numFmtId="9" fontId="20" fillId="0" borderId="0" xfId="0" applyNumberFormat="1" applyFont="1"/>
    <xf numFmtId="164" fontId="10" fillId="0" borderId="0" xfId="0" applyNumberFormat="1" applyFont="1"/>
    <xf numFmtId="0" fontId="19" fillId="2" borderId="0" xfId="1" applyFont="1" applyFill="1"/>
  </cellXfs>
  <cellStyles count="6">
    <cellStyle name="Comma 4" xfId="4" xr:uid="{53160A16-4E56-4B37-B3A7-EE75BE0E2D5E}"/>
    <cellStyle name="Hyperlink" xfId="1" builtinId="8"/>
    <cellStyle name="Normal" xfId="0" builtinId="0"/>
    <cellStyle name="Normal 2" xfId="3" xr:uid="{D5FB3390-BAE4-4B58-BD02-26EA2F228DEC}"/>
    <cellStyle name="Percent" xfId="2" builtinId="5"/>
    <cellStyle name="Percent 3" xfId="5" xr:uid="{D6750650-6A9A-41F9-A9B5-D3AB798DDB31}"/>
  </cellStyles>
  <dxfs count="0"/>
  <tableStyles count="1" defaultTableStyle="TableStyleMedium2" defaultPivotStyle="PivotStyleMedium9">
    <tableStyle name="Invisible" pivot="0" table="0" count="0" xr9:uid="{9A85FFF9-FF3A-40EE-9B1C-0C6B1C4AC55A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665604</xdr:colOff>
      <xdr:row>0</xdr:row>
      <xdr:rowOff>0</xdr:rowOff>
    </xdr:from>
    <xdr:to>
      <xdr:col>7</xdr:col>
      <xdr:colOff>11735</xdr:colOff>
      <xdr:row>151</xdr:row>
      <xdr:rowOff>69705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1C9F4EFC-85A1-B100-118E-835840BA6272}"/>
            </a:ext>
          </a:extLst>
        </xdr:cNvPr>
        <xdr:cNvCxnSpPr>
          <a:cxnSpLocks/>
        </xdr:cNvCxnSpPr>
      </xdr:nvCxnSpPr>
      <xdr:spPr>
        <a:xfrm>
          <a:off x="6183239" y="0"/>
          <a:ext cx="15455" cy="2468882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21322</xdr:colOff>
      <xdr:row>0</xdr:row>
      <xdr:rowOff>0</xdr:rowOff>
    </xdr:from>
    <xdr:to>
      <xdr:col>24</xdr:col>
      <xdr:colOff>21322</xdr:colOff>
      <xdr:row>142</xdr:row>
      <xdr:rowOff>20053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97A9A93D-510F-23C5-BB9A-3A7D0D7364B0}"/>
            </a:ext>
          </a:extLst>
        </xdr:cNvPr>
        <xdr:cNvCxnSpPr/>
      </xdr:nvCxnSpPr>
      <xdr:spPr>
        <a:xfrm>
          <a:off x="28857006" y="0"/>
          <a:ext cx="0" cy="1959142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DB2BD1D3-B51E-4CED-BC74-064ACA9A1F13}" userId="9ffda80931a57275" providerId="Windows Live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X46" dT="2023-04-23T20:32:30.18" personId="{DB2BD1D3-B51E-4CED-BC74-064ACA9A1F13}" id="{7D7449AA-B6F8-4EBC-88EB-E7879CDB3FAB}">
    <text>Q123: 1.8m/year</text>
  </threadedComment>
</ThreadedComment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23"/>
  <sheetViews>
    <sheetView zoomScale="135" zoomScaleNormal="205" workbookViewId="0">
      <selection activeCell="C5" sqref="C5"/>
    </sheetView>
  </sheetViews>
  <sheetFormatPr defaultColWidth="9.1796875" defaultRowHeight="12.5"/>
  <cols>
    <col min="1" max="1" width="9.1796875" style="2"/>
    <col min="2" max="2" width="21.6328125" style="2" bestFit="1" customWidth="1"/>
    <col min="3" max="16384" width="9.1796875" style="2"/>
  </cols>
  <sheetData>
    <row r="2" spans="2:12">
      <c r="B2" s="20" t="s">
        <v>118</v>
      </c>
      <c r="C2" s="18"/>
      <c r="J2" s="18" t="s">
        <v>0</v>
      </c>
      <c r="K2" s="19">
        <v>400.09</v>
      </c>
    </row>
    <row r="3" spans="2:12">
      <c r="B3" s="18" t="s">
        <v>97</v>
      </c>
      <c r="C3" s="18" t="s">
        <v>98</v>
      </c>
      <c r="J3" s="18" t="s">
        <v>1</v>
      </c>
      <c r="K3" s="17">
        <v>273.60000000000002</v>
      </c>
      <c r="L3" s="16" t="s">
        <v>76</v>
      </c>
    </row>
    <row r="4" spans="2:12">
      <c r="B4" s="18" t="s">
        <v>99</v>
      </c>
      <c r="D4" s="2" t="s">
        <v>119</v>
      </c>
      <c r="J4" s="18" t="s">
        <v>2</v>
      </c>
      <c r="K4" s="17">
        <f>K2*K3</f>
        <v>109464.624</v>
      </c>
    </row>
    <row r="5" spans="2:12">
      <c r="B5" s="18" t="s">
        <v>100</v>
      </c>
      <c r="C5" s="18"/>
      <c r="J5" s="18" t="s">
        <v>3</v>
      </c>
      <c r="K5" s="17">
        <f>7004+1140</f>
        <v>8144</v>
      </c>
      <c r="L5" s="16" t="s">
        <v>76</v>
      </c>
    </row>
    <row r="6" spans="2:12">
      <c r="B6" s="18" t="s">
        <v>101</v>
      </c>
      <c r="C6" s="18"/>
      <c r="J6" s="18" t="s">
        <v>4</v>
      </c>
      <c r="K6" s="17">
        <f>15294+42692</f>
        <v>57986</v>
      </c>
      <c r="L6" s="16" t="s">
        <v>76</v>
      </c>
    </row>
    <row r="7" spans="2:12">
      <c r="B7" s="18" t="s">
        <v>102</v>
      </c>
      <c r="C7" s="18"/>
      <c r="J7" s="18" t="s">
        <v>5</v>
      </c>
      <c r="K7" s="17">
        <f>K4-K5+K6</f>
        <v>159306.62400000001</v>
      </c>
    </row>
    <row r="8" spans="2:12">
      <c r="B8" s="18" t="s">
        <v>103</v>
      </c>
      <c r="C8" s="18"/>
    </row>
    <row r="9" spans="2:12">
      <c r="B9" s="18" t="s">
        <v>104</v>
      </c>
      <c r="C9" s="18"/>
    </row>
    <row r="10" spans="2:12">
      <c r="B10" s="18" t="s">
        <v>105</v>
      </c>
      <c r="C10" s="18"/>
    </row>
    <row r="11" spans="2:12">
      <c r="B11" s="18" t="s">
        <v>106</v>
      </c>
      <c r="C11" s="18"/>
    </row>
    <row r="13" spans="2:12">
      <c r="B13" s="20" t="s">
        <v>107</v>
      </c>
    </row>
    <row r="14" spans="2:12">
      <c r="B14" s="18" t="s">
        <v>108</v>
      </c>
    </row>
    <row r="15" spans="2:12">
      <c r="B15" s="18" t="s">
        <v>109</v>
      </c>
    </row>
    <row r="16" spans="2:12">
      <c r="B16" s="18" t="s">
        <v>110</v>
      </c>
    </row>
    <row r="17" spans="2:2">
      <c r="B17" s="18" t="s">
        <v>111</v>
      </c>
    </row>
    <row r="18" spans="2:2">
      <c r="B18" s="18" t="s">
        <v>112</v>
      </c>
    </row>
    <row r="19" spans="2:2">
      <c r="B19" s="18" t="s">
        <v>113</v>
      </c>
    </row>
    <row r="20" spans="2:2">
      <c r="B20" s="18" t="s">
        <v>114</v>
      </c>
    </row>
    <row r="21" spans="2:2">
      <c r="B21" s="18" t="s">
        <v>115</v>
      </c>
    </row>
    <row r="22" spans="2:2">
      <c r="B22" s="18" t="s">
        <v>116</v>
      </c>
    </row>
    <row r="23" spans="2:2">
      <c r="B23" s="18" t="s">
        <v>117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84044-8D53-4D69-86C1-ADAE3CA21267}">
  <dimension ref="A1:F18"/>
  <sheetViews>
    <sheetView workbookViewId="0">
      <selection activeCell="C1" sqref="C1"/>
    </sheetView>
  </sheetViews>
  <sheetFormatPr defaultRowHeight="14.5"/>
  <cols>
    <col min="1" max="1" width="5.1796875" bestFit="1" customWidth="1"/>
    <col min="2" max="2" width="55.7265625" bestFit="1" customWidth="1"/>
    <col min="3" max="3" width="9.6328125" bestFit="1" customWidth="1"/>
    <col min="4" max="4" width="13.08984375" bestFit="1" customWidth="1"/>
    <col min="5" max="5" width="14.6328125" bestFit="1" customWidth="1"/>
  </cols>
  <sheetData>
    <row r="1" spans="1:6">
      <c r="A1" s="21" t="s">
        <v>120</v>
      </c>
      <c r="B1" s="22"/>
      <c r="C1" s="22"/>
      <c r="D1" s="23"/>
      <c r="E1" s="22"/>
      <c r="F1" s="23"/>
    </row>
    <row r="2" spans="1:6" ht="16.5">
      <c r="A2" s="24"/>
      <c r="B2" s="21" t="s">
        <v>129</v>
      </c>
      <c r="C2" s="23"/>
      <c r="D2" s="23"/>
      <c r="E2" s="23"/>
      <c r="F2" s="23"/>
    </row>
    <row r="3" spans="1:6">
      <c r="A3" s="24"/>
      <c r="B3" s="24"/>
      <c r="C3" s="24"/>
      <c r="D3" s="24"/>
      <c r="E3" s="24"/>
      <c r="F3" s="24"/>
    </row>
    <row r="4" spans="1:6">
      <c r="A4" s="25"/>
      <c r="B4" s="26"/>
      <c r="C4" s="26" t="s">
        <v>121</v>
      </c>
      <c r="D4" s="26" t="s">
        <v>122</v>
      </c>
      <c r="E4" s="26" t="s">
        <v>123</v>
      </c>
      <c r="F4" s="24"/>
    </row>
    <row r="5" spans="1:6">
      <c r="A5" s="25"/>
      <c r="B5" s="27" t="s">
        <v>124</v>
      </c>
      <c r="C5" s="27" t="s">
        <v>125</v>
      </c>
      <c r="D5" s="27" t="s">
        <v>126</v>
      </c>
      <c r="E5" s="27" t="s">
        <v>127</v>
      </c>
      <c r="F5" s="24"/>
    </row>
    <row r="6" spans="1:6">
      <c r="A6" s="24"/>
      <c r="B6" s="28">
        <v>2014</v>
      </c>
      <c r="C6" s="29">
        <v>5.5</v>
      </c>
      <c r="D6" s="30">
        <v>32.960599999999999</v>
      </c>
      <c r="E6" s="31">
        <v>0.16686589443153341</v>
      </c>
      <c r="F6" s="24"/>
    </row>
    <row r="7" spans="1:6">
      <c r="A7" s="24"/>
      <c r="B7" s="28">
        <v>2015</v>
      </c>
      <c r="C7" s="29">
        <v>5.1829999999999998</v>
      </c>
      <c r="D7" s="30">
        <v>25.775200000000002</v>
      </c>
      <c r="E7" s="31">
        <v>0.20108476364877864</v>
      </c>
      <c r="F7" s="24"/>
    </row>
    <row r="8" spans="1:6">
      <c r="A8" s="24"/>
      <c r="B8" s="28">
        <v>2016</v>
      </c>
      <c r="C8" s="29">
        <v>5.0380000000000003</v>
      </c>
      <c r="D8" s="30">
        <v>23.3873</v>
      </c>
      <c r="E8" s="31">
        <v>0.21541605914321021</v>
      </c>
      <c r="F8" s="24"/>
    </row>
    <row r="9" spans="1:6">
      <c r="A9" s="24"/>
      <c r="B9" s="28">
        <v>2017</v>
      </c>
      <c r="C9" s="29">
        <v>5.5</v>
      </c>
      <c r="D9" s="30">
        <v>25.885100000000001</v>
      </c>
      <c r="E9" s="31">
        <v>0.21247744841627036</v>
      </c>
      <c r="F9" s="32"/>
    </row>
    <row r="10" spans="1:6">
      <c r="A10" s="24"/>
      <c r="B10" s="28">
        <v>2018</v>
      </c>
      <c r="C10" s="29">
        <v>6.3924000000000003</v>
      </c>
      <c r="D10" s="30">
        <v>33.3508</v>
      </c>
      <c r="E10" s="31">
        <v>0.19167156410041139</v>
      </c>
      <c r="F10" s="32"/>
    </row>
    <row r="11" spans="1:6">
      <c r="A11" s="24"/>
      <c r="B11" s="28">
        <v>2019</v>
      </c>
      <c r="C11" s="29">
        <v>6.7363999999999997</v>
      </c>
      <c r="D11" s="30">
        <v>34.8855</v>
      </c>
      <c r="E11" s="31">
        <v>0.19310028521878717</v>
      </c>
      <c r="F11" s="32"/>
    </row>
    <row r="12" spans="1:6">
      <c r="A12" s="24"/>
      <c r="B12" s="28">
        <v>2020</v>
      </c>
      <c r="C12" s="29">
        <v>6.8116585628694049</v>
      </c>
      <c r="D12" s="30">
        <v>31.271671455311399</v>
      </c>
      <c r="E12" s="31">
        <v>0.21782201736813353</v>
      </c>
      <c r="F12" s="32"/>
    </row>
    <row r="13" spans="1:6">
      <c r="A13" s="24"/>
      <c r="B13" s="28">
        <v>2021</v>
      </c>
      <c r="C13" s="29">
        <v>7.6804976183053997</v>
      </c>
      <c r="D13" s="30">
        <v>39.737228960419316</v>
      </c>
      <c r="E13" s="31">
        <v>0.19328216433902928</v>
      </c>
      <c r="F13" s="32"/>
    </row>
    <row r="14" spans="1:6">
      <c r="A14" s="24"/>
      <c r="B14" s="28">
        <v>2022</v>
      </c>
      <c r="C14" s="29">
        <v>8.4029094330752425</v>
      </c>
      <c r="D14" s="29">
        <v>47.916687759053097</v>
      </c>
      <c r="E14" s="31">
        <v>0.17536498923566865</v>
      </c>
      <c r="F14" s="33"/>
    </row>
    <row r="15" spans="1:6">
      <c r="A15" s="24"/>
      <c r="B15" s="28">
        <v>2023</v>
      </c>
      <c r="C15" s="29">
        <v>8.6798793161414292</v>
      </c>
      <c r="D15" s="29">
        <v>55.565436584722704</v>
      </c>
      <c r="E15" s="31">
        <v>0.15621004440245675</v>
      </c>
      <c r="F15" s="32"/>
    </row>
    <row r="16" spans="1:6">
      <c r="A16" s="24"/>
      <c r="B16" s="24"/>
      <c r="C16" s="24"/>
      <c r="D16" s="24"/>
      <c r="E16" s="24"/>
      <c r="F16" s="32"/>
    </row>
    <row r="17" spans="1:6">
      <c r="A17" s="24"/>
      <c r="B17" s="34" t="s">
        <v>128</v>
      </c>
      <c r="C17" s="24"/>
      <c r="D17" s="24"/>
      <c r="E17" s="24"/>
      <c r="F17" s="24"/>
    </row>
    <row r="18" spans="1:6">
      <c r="A18" s="24"/>
      <c r="B18" s="24"/>
      <c r="C18" s="24"/>
      <c r="D18" s="24"/>
      <c r="E18" s="24"/>
      <c r="F18" s="2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10252-7C49-48D8-9A64-7380C8DB275B}">
  <dimension ref="A1:AN138"/>
  <sheetViews>
    <sheetView tabSelected="1" zoomScale="43" zoomScaleNormal="77" workbookViewId="0">
      <pane xSplit="2" ySplit="2" topLeftCell="X34" activePane="bottomRight" state="frozen"/>
      <selection pane="topRight" activeCell="C1" sqref="C1"/>
      <selection pane="bottomLeft" activeCell="A3" sqref="A3"/>
      <selection pane="bottomRight" activeCell="AF66" sqref="AF66"/>
    </sheetView>
  </sheetViews>
  <sheetFormatPr defaultColWidth="9.1796875" defaultRowHeight="12.5"/>
  <cols>
    <col min="1" max="1" width="5.1796875" style="2" bestFit="1" customWidth="1"/>
    <col min="2" max="2" width="36.1796875" style="2" bestFit="1" customWidth="1"/>
    <col min="3" max="4" width="9.1796875" style="4"/>
    <col min="5" max="8" width="9.54296875" style="4" customWidth="1"/>
    <col min="9" max="12" width="8.453125" style="4" customWidth="1"/>
    <col min="13" max="21" width="9.1796875" style="2"/>
    <col min="22" max="24" width="9.7265625" style="2" customWidth="1"/>
    <col min="25" max="25" width="10.7265625" style="2" customWidth="1"/>
    <col min="26" max="36" width="9.7265625" style="2" customWidth="1"/>
    <col min="37" max="37" width="9.1796875" style="2"/>
    <col min="38" max="38" width="9.54296875" style="2" customWidth="1"/>
    <col min="39" max="16384" width="9.1796875" style="2"/>
  </cols>
  <sheetData>
    <row r="1" spans="1:36">
      <c r="A1" s="5" t="s">
        <v>6</v>
      </c>
    </row>
    <row r="2" spans="1:36" s="18" customFormat="1">
      <c r="A2" s="35"/>
      <c r="C2" s="16" t="s">
        <v>51</v>
      </c>
      <c r="D2" s="16" t="s">
        <v>52</v>
      </c>
      <c r="E2" s="16" t="s">
        <v>74</v>
      </c>
      <c r="F2" s="16" t="s">
        <v>75</v>
      </c>
      <c r="G2" s="16" t="s">
        <v>76</v>
      </c>
      <c r="H2" s="16" t="s">
        <v>77</v>
      </c>
      <c r="I2" s="16" t="s">
        <v>78</v>
      </c>
      <c r="J2" s="16" t="s">
        <v>79</v>
      </c>
      <c r="K2" s="16" t="s">
        <v>80</v>
      </c>
      <c r="L2" s="16" t="s">
        <v>81</v>
      </c>
      <c r="N2" s="18">
        <v>2013</v>
      </c>
      <c r="O2" s="18">
        <v>2014</v>
      </c>
      <c r="P2" s="18">
        <v>2015</v>
      </c>
      <c r="Q2" s="18">
        <v>2016</v>
      </c>
      <c r="R2" s="18">
        <v>2017</v>
      </c>
      <c r="S2" s="18">
        <v>2018</v>
      </c>
      <c r="T2" s="18">
        <v>2019</v>
      </c>
      <c r="U2" s="18">
        <v>2020</v>
      </c>
      <c r="V2" s="18">
        <f>+U2+1</f>
        <v>2021</v>
      </c>
      <c r="W2" s="18">
        <f t="shared" ref="W2" si="0">+V2+1</f>
        <v>2022</v>
      </c>
      <c r="X2" s="18">
        <f t="shared" ref="X2" si="1">+W2+1</f>
        <v>2023</v>
      </c>
      <c r="Y2" s="18">
        <f>+X2+1</f>
        <v>2024</v>
      </c>
      <c r="Z2" s="18">
        <f t="shared" ref="Z2" si="2">+Y2+1</f>
        <v>2025</v>
      </c>
      <c r="AA2" s="18">
        <f t="shared" ref="AA2" si="3">+Z2+1</f>
        <v>2026</v>
      </c>
      <c r="AB2" s="18">
        <f t="shared" ref="AB2" si="4">+AA2+1</f>
        <v>2027</v>
      </c>
      <c r="AC2" s="18">
        <f t="shared" ref="AC2" si="5">+AB2+1</f>
        <v>2028</v>
      </c>
      <c r="AD2" s="18">
        <f t="shared" ref="AD2" si="6">+AC2+1</f>
        <v>2029</v>
      </c>
      <c r="AE2" s="18">
        <f t="shared" ref="AE2" si="7">+AD2+1</f>
        <v>2030</v>
      </c>
      <c r="AF2" s="18">
        <f>+AE2+1</f>
        <v>2031</v>
      </c>
      <c r="AG2" s="18">
        <f>+AF2+1</f>
        <v>2032</v>
      </c>
      <c r="AH2" s="18">
        <f>+AG2+1</f>
        <v>2033</v>
      </c>
      <c r="AI2" s="18">
        <f>+AH2+1</f>
        <v>2034</v>
      </c>
      <c r="AJ2" s="18">
        <f>+AI2+1</f>
        <v>2035</v>
      </c>
    </row>
    <row r="3" spans="1:36">
      <c r="A3" s="5"/>
      <c r="B3" s="2" t="s">
        <v>85</v>
      </c>
      <c r="E3" s="6"/>
      <c r="F3" s="6"/>
    </row>
    <row r="4" spans="1:36">
      <c r="A4" s="5"/>
      <c r="B4" s="18" t="s">
        <v>130</v>
      </c>
      <c r="E4" s="6"/>
      <c r="F4" s="6"/>
    </row>
    <row r="5" spans="1:36">
      <c r="A5" s="5"/>
      <c r="B5" s="18" t="s">
        <v>132</v>
      </c>
      <c r="E5" s="6"/>
      <c r="F5" s="6"/>
    </row>
    <row r="6" spans="1:36">
      <c r="A6" s="5"/>
      <c r="B6" s="18" t="s">
        <v>133</v>
      </c>
      <c r="E6" s="6"/>
      <c r="F6" s="6"/>
    </row>
    <row r="7" spans="1:36">
      <c r="A7" s="5"/>
      <c r="B7" s="18" t="s">
        <v>134</v>
      </c>
      <c r="E7" s="6"/>
      <c r="F7" s="6"/>
    </row>
    <row r="8" spans="1:36">
      <c r="A8" s="5"/>
      <c r="B8" s="18" t="s">
        <v>135</v>
      </c>
      <c r="E8" s="6"/>
      <c r="F8" s="6"/>
    </row>
    <row r="9" spans="1:36">
      <c r="A9" s="5"/>
      <c r="B9" s="18" t="s">
        <v>136</v>
      </c>
      <c r="E9" s="6"/>
      <c r="F9" s="6"/>
    </row>
    <row r="10" spans="1:36">
      <c r="A10" s="5"/>
      <c r="B10" s="18" t="s">
        <v>137</v>
      </c>
      <c r="E10" s="6"/>
      <c r="F10" s="6"/>
    </row>
    <row r="11" spans="1:36" s="38" customFormat="1" ht="13">
      <c r="A11" s="48" t="s">
        <v>168</v>
      </c>
      <c r="B11" s="38" t="s">
        <v>131</v>
      </c>
      <c r="C11" s="40">
        <f>+C58</f>
        <v>15801</v>
      </c>
      <c r="D11" s="40">
        <f t="shared" ref="D11:G11" si="8">+D58</f>
        <v>0</v>
      </c>
      <c r="E11" s="40">
        <f t="shared" si="8"/>
        <v>0</v>
      </c>
      <c r="F11" s="40">
        <f t="shared" si="8"/>
        <v>0</v>
      </c>
      <c r="G11" s="40">
        <f t="shared" si="8"/>
        <v>13152</v>
      </c>
      <c r="H11" s="39"/>
      <c r="I11" s="39"/>
      <c r="J11" s="39"/>
      <c r="K11" s="39"/>
      <c r="L11" s="39"/>
      <c r="S11" s="41">
        <f t="shared" ref="S11:Y11" si="9">+S49</f>
        <v>0</v>
      </c>
      <c r="T11" s="41" t="e">
        <f t="shared" si="9"/>
        <v>#REF!</v>
      </c>
      <c r="U11" s="41" t="e">
        <f t="shared" si="9"/>
        <v>#REF!</v>
      </c>
      <c r="V11" s="41" t="e">
        <f t="shared" si="9"/>
        <v>#REF!</v>
      </c>
      <c r="W11" s="41" t="e">
        <f t="shared" si="9"/>
        <v>#REF!</v>
      </c>
      <c r="X11" s="41">
        <f t="shared" si="9"/>
        <v>6721</v>
      </c>
      <c r="Y11" s="41">
        <f t="shared" si="9"/>
        <v>5038</v>
      </c>
    </row>
    <row r="12" spans="1:36">
      <c r="A12" s="5"/>
      <c r="B12" s="2" t="s">
        <v>82</v>
      </c>
      <c r="C12" s="16"/>
      <c r="E12" s="6"/>
      <c r="F12" s="6"/>
    </row>
    <row r="13" spans="1:36">
      <c r="A13" s="5"/>
      <c r="B13" s="2" t="s">
        <v>83</v>
      </c>
      <c r="C13" s="36"/>
      <c r="D13" s="6"/>
      <c r="E13" s="6"/>
      <c r="F13" s="6"/>
    </row>
    <row r="14" spans="1:36">
      <c r="A14" s="5"/>
      <c r="C14" s="36"/>
      <c r="D14" s="6"/>
      <c r="E14" s="6"/>
      <c r="F14" s="6"/>
    </row>
    <row r="15" spans="1:36">
      <c r="A15" s="5"/>
      <c r="B15" s="2" t="s">
        <v>86</v>
      </c>
      <c r="C15" s="36"/>
      <c r="D15" s="6"/>
      <c r="E15" s="6"/>
      <c r="F15" s="6"/>
    </row>
    <row r="16" spans="1:36" s="18" customFormat="1">
      <c r="A16" s="35"/>
      <c r="B16" s="18" t="s">
        <v>138</v>
      </c>
      <c r="C16" s="36"/>
      <c r="D16" s="6"/>
      <c r="E16" s="6"/>
      <c r="F16" s="6"/>
      <c r="G16" s="16"/>
      <c r="H16" s="16"/>
      <c r="I16" s="16"/>
      <c r="J16" s="16"/>
      <c r="K16" s="16"/>
      <c r="L16" s="16"/>
    </row>
    <row r="17" spans="1:39" s="18" customFormat="1">
      <c r="A17" s="35"/>
      <c r="B17" s="18" t="s">
        <v>139</v>
      </c>
      <c r="C17" s="36"/>
      <c r="D17" s="6"/>
      <c r="E17" s="6"/>
      <c r="F17" s="6"/>
      <c r="G17" s="16"/>
      <c r="H17" s="16"/>
      <c r="I17" s="16"/>
      <c r="J17" s="16"/>
      <c r="K17" s="16"/>
      <c r="L17" s="16"/>
    </row>
    <row r="18" spans="1:39" s="18" customFormat="1">
      <c r="A18" s="35"/>
      <c r="B18" s="18" t="s">
        <v>140</v>
      </c>
      <c r="C18" s="36"/>
      <c r="D18" s="6"/>
      <c r="E18" s="6"/>
      <c r="F18" s="6"/>
      <c r="G18" s="16"/>
      <c r="H18" s="16"/>
      <c r="I18" s="16"/>
      <c r="J18" s="16"/>
      <c r="K18" s="16"/>
      <c r="L18" s="16"/>
    </row>
    <row r="19" spans="1:39" s="18" customFormat="1">
      <c r="A19" s="35"/>
      <c r="B19" s="18" t="s">
        <v>146</v>
      </c>
      <c r="C19" s="36"/>
      <c r="D19" s="6"/>
      <c r="E19" s="6"/>
      <c r="F19" s="6"/>
      <c r="G19" s="16"/>
      <c r="H19" s="16"/>
      <c r="I19" s="16"/>
      <c r="J19" s="16"/>
      <c r="K19" s="16"/>
      <c r="L19" s="16"/>
    </row>
    <row r="20" spans="1:39" s="18" customFormat="1">
      <c r="A20" s="35"/>
      <c r="B20" s="18" t="s">
        <v>148</v>
      </c>
      <c r="C20" s="36"/>
      <c r="D20" s="6"/>
      <c r="E20" s="6"/>
      <c r="F20" s="6"/>
      <c r="G20" s="16"/>
      <c r="H20" s="16"/>
      <c r="I20" s="16"/>
      <c r="J20" s="16"/>
      <c r="K20" s="16"/>
      <c r="L20" s="16"/>
    </row>
    <row r="21" spans="1:39" s="18" customFormat="1">
      <c r="A21" s="35"/>
      <c r="B21" s="18" t="s">
        <v>147</v>
      </c>
      <c r="C21" s="36"/>
      <c r="D21" s="6"/>
      <c r="E21" s="6"/>
      <c r="F21" s="6"/>
      <c r="G21" s="16"/>
      <c r="H21" s="16"/>
      <c r="I21" s="16"/>
      <c r="J21" s="16"/>
      <c r="K21" s="16"/>
      <c r="L21" s="16"/>
    </row>
    <row r="22" spans="1:39" s="18" customFormat="1">
      <c r="A22" s="35"/>
      <c r="B22" s="18" t="s">
        <v>141</v>
      </c>
      <c r="C22" s="36"/>
      <c r="D22" s="6"/>
      <c r="E22" s="6"/>
      <c r="F22" s="6"/>
      <c r="G22" s="16"/>
      <c r="H22" s="16"/>
      <c r="I22" s="16"/>
      <c r="J22" s="16"/>
      <c r="K22" s="16"/>
      <c r="L22" s="16"/>
    </row>
    <row r="23" spans="1:39" s="38" customFormat="1" ht="13">
      <c r="A23" s="37"/>
      <c r="B23" s="38" t="s">
        <v>151</v>
      </c>
      <c r="C23" s="8">
        <f t="shared" ref="C23" si="10">+C46</f>
        <v>430488</v>
      </c>
      <c r="D23" s="8"/>
      <c r="E23" s="8"/>
      <c r="F23" s="8"/>
      <c r="G23" s="8">
        <f>+G46</f>
        <v>464927.04000000004</v>
      </c>
      <c r="H23" s="9"/>
      <c r="I23" s="9"/>
      <c r="J23" s="9"/>
      <c r="K23" s="9"/>
      <c r="L23" s="9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10">
        <f>+X41</f>
        <v>435059</v>
      </c>
      <c r="Y23" s="10">
        <f>+Y41</f>
        <v>469863.72000000003</v>
      </c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</row>
    <row r="24" spans="1:39">
      <c r="A24" s="5"/>
      <c r="B24" s="2" t="s">
        <v>84</v>
      </c>
      <c r="C24" s="36"/>
      <c r="D24" s="6"/>
      <c r="E24" s="6"/>
      <c r="F24" s="6"/>
    </row>
    <row r="25" spans="1:39">
      <c r="A25" s="5"/>
      <c r="C25" s="36"/>
      <c r="D25" s="6"/>
      <c r="E25" s="6"/>
      <c r="F25" s="6"/>
    </row>
    <row r="26" spans="1:39">
      <c r="A26" s="5"/>
      <c r="B26" s="2" t="s">
        <v>87</v>
      </c>
      <c r="C26" s="6"/>
      <c r="D26" s="6"/>
      <c r="E26" s="6"/>
      <c r="F26" s="6"/>
    </row>
    <row r="27" spans="1:39">
      <c r="A27" s="5"/>
      <c r="B27" s="18" t="s">
        <v>142</v>
      </c>
      <c r="C27" s="6"/>
      <c r="D27" s="6"/>
      <c r="E27" s="6"/>
      <c r="F27" s="6"/>
    </row>
    <row r="28" spans="1:39">
      <c r="A28" s="5"/>
      <c r="B28" s="18" t="s">
        <v>143</v>
      </c>
      <c r="C28" s="6"/>
      <c r="D28" s="6"/>
      <c r="E28" s="6"/>
      <c r="F28" s="6"/>
    </row>
    <row r="29" spans="1:39">
      <c r="A29" s="5"/>
      <c r="B29" s="18" t="s">
        <v>144</v>
      </c>
      <c r="C29" s="6"/>
      <c r="D29" s="6"/>
      <c r="E29" s="6"/>
      <c r="F29" s="6"/>
    </row>
    <row r="30" spans="1:39">
      <c r="A30" s="5"/>
      <c r="B30" s="18" t="s">
        <v>145</v>
      </c>
      <c r="C30" s="6"/>
      <c r="D30" s="6"/>
      <c r="E30" s="6"/>
      <c r="F30" s="6"/>
    </row>
    <row r="31" spans="1:39" s="18" customFormat="1">
      <c r="A31" s="35"/>
      <c r="B31" s="18" t="s">
        <v>149</v>
      </c>
      <c r="C31" s="36"/>
      <c r="D31" s="36"/>
      <c r="E31" s="36"/>
      <c r="F31" s="6"/>
      <c r="G31" s="16"/>
      <c r="H31" s="16"/>
      <c r="I31" s="16"/>
      <c r="J31" s="16"/>
      <c r="K31" s="16"/>
      <c r="L31" s="16"/>
    </row>
    <row r="32" spans="1:39" s="18" customFormat="1">
      <c r="A32" s="35"/>
      <c r="B32" s="18" t="s">
        <v>152</v>
      </c>
      <c r="C32" s="36"/>
      <c r="D32" s="36"/>
      <c r="E32" s="36"/>
      <c r="F32" s="6"/>
      <c r="G32" s="16"/>
      <c r="H32" s="16"/>
      <c r="I32" s="16"/>
      <c r="J32" s="16"/>
      <c r="K32" s="16"/>
      <c r="L32" s="16"/>
    </row>
    <row r="33" spans="1:36" s="18" customFormat="1">
      <c r="A33" s="35"/>
      <c r="B33" s="18" t="s">
        <v>153</v>
      </c>
      <c r="C33" s="36"/>
      <c r="D33" s="36"/>
      <c r="E33" s="36"/>
      <c r="F33" s="6"/>
      <c r="G33" s="16"/>
      <c r="H33" s="16"/>
      <c r="I33" s="16"/>
      <c r="J33" s="16"/>
      <c r="K33" s="16"/>
      <c r="L33" s="16"/>
    </row>
    <row r="34" spans="1:36" s="18" customFormat="1">
      <c r="A34" s="35"/>
      <c r="B34" s="18" t="s">
        <v>150</v>
      </c>
      <c r="C34" s="36"/>
      <c r="D34" s="36"/>
      <c r="E34" s="36"/>
      <c r="F34" s="6"/>
      <c r="G34" s="16"/>
      <c r="H34" s="16"/>
      <c r="I34" s="16"/>
      <c r="J34" s="16"/>
      <c r="K34" s="16"/>
      <c r="L34" s="16"/>
    </row>
    <row r="35" spans="1:36">
      <c r="A35" s="5"/>
      <c r="B35" s="2" t="s">
        <v>88</v>
      </c>
      <c r="C35" s="6"/>
      <c r="D35" s="6"/>
      <c r="E35" s="6"/>
      <c r="F35" s="6"/>
    </row>
    <row r="36" spans="1:36">
      <c r="A36" s="5"/>
      <c r="C36" s="6"/>
      <c r="D36" s="6"/>
      <c r="E36" s="6"/>
      <c r="F36" s="6"/>
    </row>
    <row r="37" spans="1:36">
      <c r="A37" s="5"/>
      <c r="Y37" s="2">
        <f>+Y41*8/1000</f>
        <v>3758.9097600000005</v>
      </c>
    </row>
    <row r="38" spans="1:36" s="3" customFormat="1">
      <c r="B38" s="3" t="s">
        <v>50</v>
      </c>
      <c r="C38" s="6"/>
      <c r="D38" s="6"/>
      <c r="E38" s="6"/>
      <c r="F38" s="6"/>
      <c r="G38" s="6"/>
      <c r="H38" s="6"/>
      <c r="I38" s="6"/>
      <c r="J38" s="6"/>
      <c r="K38" s="6"/>
      <c r="L38" s="6"/>
    </row>
    <row r="39" spans="1:36" s="3" customFormat="1">
      <c r="B39" s="3" t="s">
        <v>7</v>
      </c>
      <c r="C39" s="6">
        <v>15985</v>
      </c>
      <c r="D39" s="6"/>
      <c r="E39" s="6"/>
      <c r="F39" s="6"/>
      <c r="G39" s="6">
        <f>+C39*1.08</f>
        <v>17263.800000000003</v>
      </c>
      <c r="H39" s="6">
        <f>+D39*1.3</f>
        <v>0</v>
      </c>
      <c r="I39" s="6"/>
      <c r="J39" s="6"/>
      <c r="K39" s="6"/>
      <c r="L39" s="6"/>
      <c r="T39" s="3" t="e">
        <f>SUM(#REF!)</f>
        <v>#REF!</v>
      </c>
      <c r="U39" s="3" t="e">
        <f>SUM(#REF!)</f>
        <v>#REF!</v>
      </c>
      <c r="V39" s="3" t="e">
        <f>SUM(#REF!)</f>
        <v>#REF!</v>
      </c>
      <c r="W39" s="3" t="e">
        <f>SUM(#REF!)</f>
        <v>#REF!</v>
      </c>
      <c r="X39" s="3">
        <f>SUM(C39:D39)</f>
        <v>15985</v>
      </c>
      <c r="Y39" s="3">
        <f>SUM(E39:H39)</f>
        <v>17263.800000000003</v>
      </c>
    </row>
    <row r="40" spans="1:36" s="3" customFormat="1">
      <c r="B40" s="3" t="s">
        <v>8</v>
      </c>
      <c r="C40" s="6">
        <v>419074</v>
      </c>
      <c r="D40" s="6"/>
      <c r="E40" s="6"/>
      <c r="F40" s="6"/>
      <c r="G40" s="6">
        <f>+C40*1.08</f>
        <v>452599.92000000004</v>
      </c>
      <c r="H40" s="6">
        <f>+D40*1.1</f>
        <v>0</v>
      </c>
      <c r="I40" s="6"/>
      <c r="J40" s="6"/>
      <c r="K40" s="6"/>
      <c r="L40" s="6"/>
      <c r="T40" s="3" t="e">
        <f>SUM(#REF!)</f>
        <v>#REF!</v>
      </c>
      <c r="U40" s="3" t="e">
        <f>SUM(#REF!)</f>
        <v>#REF!</v>
      </c>
      <c r="V40" s="3" t="e">
        <f>SUM(#REF!)</f>
        <v>#REF!</v>
      </c>
      <c r="W40" s="3" t="e">
        <f>SUM(#REF!)</f>
        <v>#REF!</v>
      </c>
      <c r="X40" s="3">
        <f>SUM(C40:D40)</f>
        <v>419074</v>
      </c>
      <c r="Y40" s="3">
        <f>SUM(E40:H40)</f>
        <v>452599.92000000004</v>
      </c>
    </row>
    <row r="41" spans="1:36" s="10" customFormat="1" ht="13">
      <c r="B41" s="10" t="s">
        <v>9</v>
      </c>
      <c r="C41" s="8">
        <f t="shared" ref="C41:H41" si="11">C40+C39</f>
        <v>435059</v>
      </c>
      <c r="D41" s="8"/>
      <c r="E41" s="8"/>
      <c r="F41" s="8"/>
      <c r="G41" s="8">
        <f>G40+G39</f>
        <v>469863.72000000003</v>
      </c>
      <c r="H41" s="8">
        <f t="shared" si="11"/>
        <v>0</v>
      </c>
      <c r="I41" s="8"/>
      <c r="J41" s="8"/>
      <c r="K41" s="8"/>
      <c r="L41" s="8"/>
      <c r="T41" s="10" t="e">
        <f t="shared" ref="T41:X41" si="12">+T39+T40</f>
        <v>#REF!</v>
      </c>
      <c r="U41" s="10" t="e">
        <f t="shared" si="12"/>
        <v>#REF!</v>
      </c>
      <c r="V41" s="10" t="e">
        <f t="shared" si="12"/>
        <v>#REF!</v>
      </c>
      <c r="W41" s="10" t="e">
        <f t="shared" si="12"/>
        <v>#REF!</v>
      </c>
      <c r="X41" s="10">
        <f t="shared" si="12"/>
        <v>435059</v>
      </c>
      <c r="Y41" s="10">
        <f>+Y39+Y40</f>
        <v>469863.72000000003</v>
      </c>
      <c r="Z41" s="10">
        <f t="shared" ref="Z41:AC41" si="13">Z46</f>
        <v>1146245.152</v>
      </c>
      <c r="AA41" s="10">
        <f t="shared" si="13"/>
        <v>1432806.44</v>
      </c>
      <c r="AB41" s="10">
        <f t="shared" si="13"/>
        <v>1719367.7279999999</v>
      </c>
      <c r="AC41" s="10">
        <f t="shared" si="13"/>
        <v>2063241.2735999997</v>
      </c>
      <c r="AD41" s="10">
        <f t="shared" ref="AD41:AE41" si="14">AD46</f>
        <v>2372727.4646399994</v>
      </c>
      <c r="AE41" s="10">
        <f t="shared" si="14"/>
        <v>2610000.2111039995</v>
      </c>
      <c r="AF41" s="10">
        <f t="shared" ref="AF41:AJ41" si="15">AF46</f>
        <v>2740500.2216591998</v>
      </c>
      <c r="AG41" s="10">
        <f t="shared" si="15"/>
        <v>2877525.2327421601</v>
      </c>
      <c r="AH41" s="10">
        <f t="shared" si="15"/>
        <v>3021401.494379268</v>
      </c>
      <c r="AI41" s="10">
        <f t="shared" si="15"/>
        <v>3172471.5690982314</v>
      </c>
      <c r="AJ41" s="10">
        <f t="shared" si="15"/>
        <v>3331095.1475531431</v>
      </c>
    </row>
    <row r="42" spans="1:36" s="3" customFormat="1">
      <c r="B42" s="3" t="s">
        <v>10</v>
      </c>
      <c r="C42" s="6">
        <f t="shared" ref="C42" si="16">C49*1000000/C41</f>
        <v>15448.479401644374</v>
      </c>
      <c r="D42" s="6"/>
      <c r="E42" s="6"/>
      <c r="F42" s="6"/>
      <c r="G42" s="6">
        <f>+F42*0.99</f>
        <v>0</v>
      </c>
      <c r="H42" s="6">
        <f>+D42*1.05</f>
        <v>0</v>
      </c>
      <c r="I42" s="6"/>
      <c r="J42" s="6"/>
      <c r="K42" s="6"/>
      <c r="L42" s="6"/>
      <c r="T42" s="6" t="e">
        <f t="shared" ref="T42:Y42" si="17">T49/T41*1000000</f>
        <v>#REF!</v>
      </c>
      <c r="U42" s="6" t="e">
        <f t="shared" si="17"/>
        <v>#REF!</v>
      </c>
      <c r="V42" s="6" t="e">
        <f t="shared" si="17"/>
        <v>#REF!</v>
      </c>
      <c r="W42" s="6" t="e">
        <f t="shared" si="17"/>
        <v>#REF!</v>
      </c>
      <c r="X42" s="6">
        <f t="shared" si="17"/>
        <v>15448.479401644376</v>
      </c>
      <c r="Y42" s="6">
        <f t="shared" si="17"/>
        <v>10722.257934704981</v>
      </c>
      <c r="Z42" s="3">
        <f>Y42*1.03</f>
        <v>11043.925672746131</v>
      </c>
      <c r="AA42" s="3">
        <f>Z42*1.03</f>
        <v>11375.243442928515</v>
      </c>
      <c r="AB42" s="3">
        <f>AA42*1.03</f>
        <v>11716.50074621637</v>
      </c>
      <c r="AC42" s="3">
        <f>AB42*1.03</f>
        <v>12067.995768602861</v>
      </c>
      <c r="AD42" s="3">
        <f t="shared" ref="AD42:AE42" si="18">AC42*1.03</f>
        <v>12430.035641660947</v>
      </c>
      <c r="AE42" s="3">
        <f t="shared" si="18"/>
        <v>12802.936710910775</v>
      </c>
      <c r="AF42" s="3">
        <f t="shared" ref="AF42" si="19">AE42*1.03</f>
        <v>13187.024812238098</v>
      </c>
      <c r="AG42" s="3">
        <f t="shared" ref="AG42" si="20">AF42*1.03</f>
        <v>13582.635556605241</v>
      </c>
      <c r="AH42" s="3">
        <f t="shared" ref="AH42" si="21">AG42*1.03</f>
        <v>13990.114623303398</v>
      </c>
      <c r="AI42" s="3">
        <f t="shared" ref="AI42" si="22">AH42*1.03</f>
        <v>14409.8180620025</v>
      </c>
      <c r="AJ42" s="3">
        <f t="shared" ref="AJ42" si="23">AI42*1.03</f>
        <v>14842.112603862575</v>
      </c>
    </row>
    <row r="43" spans="1:36" s="3" customFormat="1">
      <c r="C43" s="6"/>
      <c r="D43" s="6"/>
      <c r="E43" s="6"/>
      <c r="F43" s="6"/>
      <c r="G43" s="6"/>
      <c r="H43" s="6"/>
      <c r="I43" s="6"/>
      <c r="J43" s="6"/>
      <c r="K43" s="6"/>
      <c r="L43" s="6"/>
    </row>
    <row r="44" spans="1:36" s="3" customFormat="1">
      <c r="B44" s="3" t="s">
        <v>11</v>
      </c>
      <c r="C44" s="6">
        <v>13688</v>
      </c>
      <c r="D44" s="6"/>
      <c r="E44" s="6"/>
      <c r="F44" s="6"/>
      <c r="G44" s="6">
        <f>+C44*1.08</f>
        <v>14783.04</v>
      </c>
      <c r="H44" s="6">
        <f>+D44</f>
        <v>0</v>
      </c>
      <c r="I44" s="6"/>
      <c r="J44" s="6"/>
      <c r="K44" s="6"/>
      <c r="L44" s="6"/>
      <c r="T44" s="3" t="e">
        <f>SUM(#REF!)</f>
        <v>#REF!</v>
      </c>
      <c r="U44" s="3" t="e">
        <f>SUM(#REF!)</f>
        <v>#REF!</v>
      </c>
      <c r="V44" s="3" t="e">
        <f>SUM(#REF!)</f>
        <v>#REF!</v>
      </c>
      <c r="W44" s="3" t="e">
        <f>SUM(#REF!)</f>
        <v>#REF!</v>
      </c>
      <c r="X44" s="3">
        <f>SUM(C44:D44)</f>
        <v>13688</v>
      </c>
      <c r="Y44" s="3">
        <f t="shared" ref="Y44:Y45" si="24">SUM(E44:H44)</f>
        <v>14783.04</v>
      </c>
    </row>
    <row r="45" spans="1:36" s="3" customFormat="1">
      <c r="B45" s="3" t="s">
        <v>12</v>
      </c>
      <c r="C45" s="6">
        <v>416800</v>
      </c>
      <c r="D45" s="6"/>
      <c r="E45" s="6"/>
      <c r="F45" s="6"/>
      <c r="G45" s="6">
        <f>+C45*1.08</f>
        <v>450144.00000000006</v>
      </c>
      <c r="H45" s="6">
        <f>+C45</f>
        <v>416800</v>
      </c>
      <c r="I45" s="6"/>
      <c r="J45" s="6"/>
      <c r="K45" s="6"/>
      <c r="L45" s="6"/>
      <c r="T45" s="3" t="e">
        <f>SUM(#REF!)</f>
        <v>#REF!</v>
      </c>
      <c r="U45" s="3" t="e">
        <f>SUM(#REF!)</f>
        <v>#REF!</v>
      </c>
      <c r="V45" s="3" t="e">
        <f>SUM(#REF!)</f>
        <v>#REF!</v>
      </c>
      <c r="W45" s="3" t="e">
        <f>SUM(#REF!)</f>
        <v>#REF!</v>
      </c>
      <c r="X45" s="3">
        <f>SUM(C45:D45)</f>
        <v>416800</v>
      </c>
      <c r="Y45" s="3">
        <f t="shared" si="24"/>
        <v>866944</v>
      </c>
    </row>
    <row r="46" spans="1:36" s="10" customFormat="1" ht="13">
      <c r="B46" s="10" t="s">
        <v>13</v>
      </c>
      <c r="C46" s="8">
        <f t="shared" ref="C46" si="25">+C44+C45</f>
        <v>430488</v>
      </c>
      <c r="D46" s="8"/>
      <c r="E46" s="8"/>
      <c r="F46" s="8"/>
      <c r="G46" s="8">
        <f>+G44+G45</f>
        <v>464927.04000000004</v>
      </c>
      <c r="H46" s="8">
        <f>+D46</f>
        <v>0</v>
      </c>
      <c r="I46" s="8"/>
      <c r="J46" s="8"/>
      <c r="K46" s="8"/>
      <c r="L46" s="8"/>
      <c r="T46" s="10" t="e">
        <f>+T44+T45</f>
        <v>#REF!</v>
      </c>
      <c r="U46" s="10" t="e">
        <f>+U44+U45</f>
        <v>#REF!</v>
      </c>
      <c r="V46" s="10" t="e">
        <f>+V44+V45</f>
        <v>#REF!</v>
      </c>
      <c r="W46" s="10" t="e">
        <f>+W44+W45</f>
        <v>#REF!</v>
      </c>
      <c r="X46" s="10">
        <f>SUM(C46:D46)</f>
        <v>430488</v>
      </c>
      <c r="Y46" s="10">
        <f>+Y44+Y45</f>
        <v>881727.04</v>
      </c>
      <c r="Z46" s="10">
        <f>Y46*1.3</f>
        <v>1146245.152</v>
      </c>
      <c r="AA46" s="10">
        <f>Z46*1.25</f>
        <v>1432806.44</v>
      </c>
      <c r="AB46" s="10">
        <f>AA46*1.2</f>
        <v>1719367.7279999999</v>
      </c>
      <c r="AC46" s="10">
        <f>AB46*1.2</f>
        <v>2063241.2735999997</v>
      </c>
      <c r="AD46" s="10">
        <f>AC46*1.15</f>
        <v>2372727.4646399994</v>
      </c>
      <c r="AE46" s="10">
        <f>AD46*1.1</f>
        <v>2610000.2111039995</v>
      </c>
      <c r="AF46" s="10">
        <f>+AE46*1.05</f>
        <v>2740500.2216591998</v>
      </c>
      <c r="AG46" s="10">
        <f t="shared" ref="AG46:AJ46" si="26">+AF46*1.05</f>
        <v>2877525.2327421601</v>
      </c>
      <c r="AH46" s="10">
        <f t="shared" si="26"/>
        <v>3021401.494379268</v>
      </c>
      <c r="AI46" s="10">
        <f t="shared" si="26"/>
        <v>3172471.5690982314</v>
      </c>
      <c r="AJ46" s="10">
        <f t="shared" si="26"/>
        <v>3331095.1475531431</v>
      </c>
    </row>
    <row r="47" spans="1:36" s="3" customFormat="1">
      <c r="C47" s="6"/>
      <c r="D47" s="6"/>
      <c r="E47" s="6"/>
      <c r="F47" s="6"/>
      <c r="G47" s="6"/>
      <c r="H47" s="6"/>
      <c r="I47" s="6"/>
      <c r="J47" s="6"/>
      <c r="K47" s="6"/>
      <c r="L47" s="6"/>
      <c r="X47" s="11"/>
    </row>
    <row r="48" spans="1:36" s="3" customFormat="1">
      <c r="C48" s="6"/>
      <c r="D48" s="6"/>
      <c r="E48" s="6"/>
      <c r="F48" s="6"/>
      <c r="G48" s="6"/>
      <c r="H48" s="6"/>
      <c r="I48" s="6"/>
      <c r="J48" s="6"/>
      <c r="K48" s="6"/>
      <c r="L48" s="6"/>
      <c r="X48" s="11"/>
      <c r="Y48" s="3">
        <f>+Y133-X133</f>
        <v>-749.93082879999997</v>
      </c>
      <c r="Z48" s="3">
        <f>+Z133-$X$133</f>
        <v>266.19379456000001</v>
      </c>
      <c r="AA48" s="3">
        <f t="shared" ref="AA48:AJ48" si="27">+AA133-$X$133</f>
        <v>1091.4903039999999</v>
      </c>
      <c r="AB48" s="3">
        <f t="shared" si="27"/>
        <v>2100.1860377599996</v>
      </c>
      <c r="AC48" s="3">
        <f t="shared" si="27"/>
        <v>3420.660452864</v>
      </c>
      <c r="AD48" s="3">
        <f t="shared" si="27"/>
        <v>4873.1823094783986</v>
      </c>
      <c r="AE48" s="3">
        <f t="shared" si="27"/>
        <v>6315.8006079795186</v>
      </c>
      <c r="AF48" s="3">
        <f t="shared" si="27"/>
        <v>6910.8806561112315</v>
      </c>
      <c r="AG48" s="3">
        <f t="shared" si="27"/>
        <v>7546.6767075361658</v>
      </c>
      <c r="AH48" s="3">
        <f t="shared" si="27"/>
        <v>8225.772662463316</v>
      </c>
      <c r="AI48" s="3">
        <f t="shared" si="27"/>
        <v>8950.9090211143412</v>
      </c>
      <c r="AJ48" s="3">
        <f t="shared" si="27"/>
        <v>9724.9920839743099</v>
      </c>
    </row>
    <row r="49" spans="1:36" s="3" customFormat="1">
      <c r="A49" s="17"/>
      <c r="B49" s="17" t="s">
        <v>154</v>
      </c>
      <c r="C49" s="36">
        <v>6721</v>
      </c>
      <c r="D49" s="36"/>
      <c r="E49" s="36"/>
      <c r="F49" s="36"/>
      <c r="G49" s="36">
        <v>5038</v>
      </c>
      <c r="H49" s="6">
        <f>+H42*H41/1000000</f>
        <v>0</v>
      </c>
      <c r="I49" s="6"/>
      <c r="J49" s="6"/>
      <c r="K49" s="6"/>
      <c r="L49" s="6"/>
      <c r="T49" s="3" t="e">
        <f>SUM(#REF!)</f>
        <v>#REF!</v>
      </c>
      <c r="U49" s="3" t="e">
        <f>SUM(#REF!)</f>
        <v>#REF!</v>
      </c>
      <c r="V49" s="3" t="e">
        <f>SUM(#REF!)</f>
        <v>#REF!</v>
      </c>
      <c r="W49" s="12" t="e">
        <f>SUM(#REF!)</f>
        <v>#REF!</v>
      </c>
      <c r="X49" s="3">
        <f>SUM(C49:D49)</f>
        <v>6721</v>
      </c>
      <c r="Y49" s="3">
        <f>SUM(E49:H49)</f>
        <v>5038</v>
      </c>
      <c r="Z49" s="3">
        <f t="shared" ref="Z49:AE49" si="28">Z42*Z46/1000000</f>
        <v>12659.04626143359</v>
      </c>
      <c r="AA49" s="3">
        <f t="shared" si="28"/>
        <v>16298.52206159575</v>
      </c>
      <c r="AB49" s="3">
        <f t="shared" si="28"/>
        <v>20144.973268132344</v>
      </c>
      <c r="AC49" s="3">
        <f t="shared" si="28"/>
        <v>24899.186959411574</v>
      </c>
      <c r="AD49" s="3">
        <f t="shared" si="28"/>
        <v>29493.086953423008</v>
      </c>
      <c r="AE49" s="3">
        <f t="shared" si="28"/>
        <v>33415.667518228271</v>
      </c>
      <c r="AF49" s="3">
        <f t="shared" ref="AF49:AJ49" si="29">AF42*AF46/1000000</f>
        <v>36139.044420963874</v>
      </c>
      <c r="AG49" s="3">
        <f t="shared" si="29"/>
        <v>39084.376541272439</v>
      </c>
      <c r="AH49" s="3">
        <f t="shared" si="29"/>
        <v>42269.753229386137</v>
      </c>
      <c r="AI49" s="3">
        <f t="shared" si="29"/>
        <v>45714.73811758111</v>
      </c>
      <c r="AJ49" s="3">
        <f t="shared" si="29"/>
        <v>49440.489274163971</v>
      </c>
    </row>
    <row r="50" spans="1:36" s="3" customFormat="1">
      <c r="A50" s="17"/>
      <c r="B50" s="17" t="s">
        <v>99</v>
      </c>
      <c r="C50" s="36">
        <v>2688</v>
      </c>
      <c r="D50" s="36"/>
      <c r="E50" s="36"/>
      <c r="F50" s="36"/>
      <c r="G50" s="36">
        <v>2168</v>
      </c>
      <c r="H50" s="6">
        <f t="shared" ref="H50:H57" si="30">+D50</f>
        <v>0</v>
      </c>
      <c r="I50" s="6"/>
      <c r="J50" s="6"/>
      <c r="K50" s="6"/>
      <c r="L50" s="6"/>
      <c r="T50" s="3" t="e">
        <f>SUM(#REF!)</f>
        <v>#REF!</v>
      </c>
      <c r="U50" s="3" t="e">
        <f>SUM(#REF!)</f>
        <v>#REF!</v>
      </c>
      <c r="V50" s="3" t="e">
        <f>SUM(#REF!)</f>
        <v>#REF!</v>
      </c>
      <c r="W50" s="3" t="e">
        <f>SUM(#REF!)</f>
        <v>#REF!</v>
      </c>
      <c r="X50" s="3">
        <f>SUM(C50:D50)</f>
        <v>2688</v>
      </c>
      <c r="Y50" s="3">
        <f>SUM(E50:H50)</f>
        <v>2168</v>
      </c>
    </row>
    <row r="51" spans="1:36" s="3" customFormat="1">
      <c r="A51" s="17"/>
      <c r="B51" s="17" t="s">
        <v>100</v>
      </c>
      <c r="C51" s="36">
        <v>964</v>
      </c>
      <c r="D51" s="36"/>
      <c r="E51" s="36"/>
      <c r="F51" s="36"/>
      <c r="G51" s="36">
        <v>825</v>
      </c>
      <c r="H51" s="6"/>
      <c r="I51" s="6"/>
      <c r="J51" s="6"/>
      <c r="K51" s="6"/>
      <c r="L51" s="6"/>
    </row>
    <row r="52" spans="1:36" s="3" customFormat="1">
      <c r="A52" s="17"/>
      <c r="B52" s="17" t="s">
        <v>101</v>
      </c>
      <c r="C52" s="36">
        <v>1745</v>
      </c>
      <c r="D52" s="36"/>
      <c r="E52" s="36"/>
      <c r="F52" s="36"/>
      <c r="G52" s="36">
        <v>1308</v>
      </c>
      <c r="H52" s="6"/>
      <c r="I52" s="6"/>
      <c r="J52" s="6"/>
      <c r="K52" s="6"/>
      <c r="L52" s="6"/>
    </row>
    <row r="53" spans="1:36" s="3" customFormat="1">
      <c r="A53" s="17"/>
      <c r="B53" s="17" t="s">
        <v>155</v>
      </c>
      <c r="C53" s="36">
        <v>614</v>
      </c>
      <c r="D53" s="36"/>
      <c r="E53" s="36"/>
      <c r="F53" s="36"/>
      <c r="G53" s="36">
        <v>643</v>
      </c>
      <c r="H53" s="6"/>
      <c r="I53" s="6"/>
      <c r="J53" s="6"/>
      <c r="K53" s="6"/>
      <c r="L53" s="6"/>
    </row>
    <row r="54" spans="1:36" s="3" customFormat="1">
      <c r="A54" s="17"/>
      <c r="B54" s="17" t="s">
        <v>103</v>
      </c>
      <c r="C54" s="36">
        <v>987</v>
      </c>
      <c r="D54" s="36"/>
      <c r="E54" s="36"/>
      <c r="F54" s="36"/>
      <c r="G54" s="36">
        <v>961</v>
      </c>
      <c r="H54" s="6"/>
      <c r="I54" s="6"/>
      <c r="J54" s="6"/>
      <c r="K54" s="6"/>
      <c r="L54" s="6"/>
    </row>
    <row r="55" spans="1:36" s="3" customFormat="1">
      <c r="A55" s="17"/>
      <c r="B55" s="17" t="s">
        <v>104</v>
      </c>
      <c r="C55" s="36">
        <v>334</v>
      </c>
      <c r="D55" s="36"/>
      <c r="E55" s="36"/>
      <c r="F55" s="36"/>
      <c r="G55" s="36">
        <v>269</v>
      </c>
      <c r="H55" s="6"/>
      <c r="I55" s="6"/>
      <c r="J55" s="6"/>
      <c r="K55" s="6"/>
      <c r="L55" s="6"/>
    </row>
    <row r="56" spans="1:36" s="3" customFormat="1">
      <c r="A56" s="17"/>
      <c r="B56" s="17" t="s">
        <v>105</v>
      </c>
      <c r="C56" s="36">
        <v>1360</v>
      </c>
      <c r="D56" s="36"/>
      <c r="E56" s="36"/>
      <c r="F56" s="36"/>
      <c r="G56" s="36">
        <v>1595</v>
      </c>
      <c r="H56" s="6"/>
      <c r="I56" s="6"/>
      <c r="J56" s="6"/>
      <c r="K56" s="6"/>
      <c r="L56" s="6"/>
    </row>
    <row r="57" spans="1:36" s="3" customFormat="1">
      <c r="A57" s="17"/>
      <c r="B57" s="17" t="s">
        <v>106</v>
      </c>
      <c r="C57" s="36">
        <v>388</v>
      </c>
      <c r="D57" s="36"/>
      <c r="E57" s="36"/>
      <c r="F57" s="36"/>
      <c r="G57" s="36">
        <v>345</v>
      </c>
      <c r="H57" s="6">
        <f t="shared" si="30"/>
        <v>0</v>
      </c>
      <c r="I57" s="6"/>
      <c r="J57" s="6"/>
      <c r="K57" s="6"/>
      <c r="L57" s="6"/>
      <c r="T57" s="3" t="e">
        <f>SUM(#REF!)</f>
        <v>#REF!</v>
      </c>
      <c r="U57" s="3" t="e">
        <f>SUM(#REF!)</f>
        <v>#REF!</v>
      </c>
      <c r="V57" s="3" t="e">
        <f>SUM(#REF!)</f>
        <v>#REF!</v>
      </c>
      <c r="W57" s="3" t="e">
        <f>SUM(#REF!)</f>
        <v>#REF!</v>
      </c>
      <c r="X57" s="3">
        <f>SUM(C57:D57)</f>
        <v>388</v>
      </c>
      <c r="Y57" s="3">
        <f>SUM(E57:H57)</f>
        <v>345</v>
      </c>
    </row>
    <row r="58" spans="1:36" s="10" customFormat="1" ht="13">
      <c r="A58" s="41"/>
      <c r="B58" s="41" t="s">
        <v>156</v>
      </c>
      <c r="C58" s="40">
        <f t="shared" ref="C58:H58" si="31">SUM(C49:C57)</f>
        <v>15801</v>
      </c>
      <c r="D58" s="40"/>
      <c r="E58" s="40"/>
      <c r="F58" s="40"/>
      <c r="G58" s="40">
        <f>SUM(G49:G57)</f>
        <v>13152</v>
      </c>
      <c r="H58" s="8">
        <f t="shared" si="31"/>
        <v>0</v>
      </c>
      <c r="I58" s="8"/>
      <c r="J58" s="8"/>
      <c r="K58" s="8"/>
      <c r="L58" s="8"/>
      <c r="T58" s="10" t="e">
        <f>SUM(T49:T57)</f>
        <v>#REF!</v>
      </c>
      <c r="U58" s="10" t="e">
        <f>SUM(U49:U57)</f>
        <v>#REF!</v>
      </c>
      <c r="V58" s="10" t="e">
        <f>SUM(V49:V57)</f>
        <v>#REF!</v>
      </c>
      <c r="W58" s="10" t="e">
        <f>SUM(W49:W57)</f>
        <v>#REF!</v>
      </c>
      <c r="X58" s="10">
        <f>SUM(X49:X57)</f>
        <v>9797</v>
      </c>
      <c r="Y58" s="10">
        <f>Y49+Y50+Y57</f>
        <v>7551</v>
      </c>
      <c r="Z58" s="10">
        <f>Z49+Z50+Z57</f>
        <v>12659.04626143359</v>
      </c>
      <c r="AA58" s="10">
        <f>AA49+AA50+AA57</f>
        <v>16298.52206159575</v>
      </c>
      <c r="AB58" s="10">
        <f>AB49+AB50+AB57</f>
        <v>20144.973268132344</v>
      </c>
      <c r="AC58" s="10">
        <f>AC49+AC50+AC57</f>
        <v>24899.186959411574</v>
      </c>
      <c r="AD58" s="10">
        <f t="shared" ref="AD58:AJ58" si="32">AD49+AD50+AD57</f>
        <v>29493.086953423008</v>
      </c>
      <c r="AE58" s="10">
        <f t="shared" si="32"/>
        <v>33415.667518228271</v>
      </c>
      <c r="AF58" s="10">
        <f t="shared" si="32"/>
        <v>36139.044420963874</v>
      </c>
      <c r="AG58" s="10">
        <f t="shared" si="32"/>
        <v>39084.376541272439</v>
      </c>
      <c r="AH58" s="10">
        <f t="shared" si="32"/>
        <v>42269.753229386137</v>
      </c>
      <c r="AI58" s="10">
        <f t="shared" si="32"/>
        <v>45714.73811758111</v>
      </c>
      <c r="AJ58" s="10">
        <f t="shared" si="32"/>
        <v>49440.489274163971</v>
      </c>
    </row>
    <row r="59" spans="1:36" s="3" customFormat="1">
      <c r="A59" s="17"/>
      <c r="B59" s="17" t="s">
        <v>157</v>
      </c>
      <c r="C59" s="36">
        <v>8698</v>
      </c>
      <c r="D59" s="36"/>
      <c r="E59" s="36"/>
      <c r="F59" s="36"/>
      <c r="G59" s="36">
        <v>7706</v>
      </c>
      <c r="H59" s="6">
        <f t="shared" ref="H59:H60" si="33">+D59</f>
        <v>0</v>
      </c>
      <c r="I59" s="6"/>
      <c r="J59" s="6"/>
      <c r="K59" s="6"/>
      <c r="L59" s="6"/>
      <c r="N59" s="3">
        <v>1921.877</v>
      </c>
      <c r="O59" s="3">
        <v>3007.0120000000002</v>
      </c>
      <c r="P59" s="3">
        <v>3740.973</v>
      </c>
      <c r="T59" s="3" t="e">
        <f>SUM(#REF!)</f>
        <v>#REF!</v>
      </c>
      <c r="U59" s="3" t="e">
        <f>SUM(#REF!)</f>
        <v>#REF!</v>
      </c>
      <c r="V59" s="3" t="e">
        <f>SUM(#REF!)</f>
        <v>#REF!</v>
      </c>
      <c r="W59" s="3" t="e">
        <f>SUM(#REF!)</f>
        <v>#REF!</v>
      </c>
      <c r="X59" s="3">
        <f>SUM(C59:D59)</f>
        <v>8698</v>
      </c>
      <c r="Y59" s="3">
        <f>SUM(E59:H59)</f>
        <v>7706</v>
      </c>
    </row>
    <row r="60" spans="1:36" s="3" customFormat="1">
      <c r="A60" s="17"/>
      <c r="B60" s="17" t="s">
        <v>158</v>
      </c>
      <c r="C60" s="36">
        <f>C58-C59</f>
        <v>7103</v>
      </c>
      <c r="D60" s="36"/>
      <c r="E60" s="36"/>
      <c r="F60" s="36"/>
      <c r="G60" s="36">
        <f>G58-G59</f>
        <v>5446</v>
      </c>
      <c r="H60" s="6">
        <f t="shared" si="33"/>
        <v>0</v>
      </c>
      <c r="I60" s="6"/>
      <c r="J60" s="6"/>
      <c r="K60" s="6"/>
      <c r="L60" s="6"/>
      <c r="N60" s="3">
        <v>91.619</v>
      </c>
      <c r="O60" s="3">
        <v>191.34399999999999</v>
      </c>
      <c r="P60" s="3">
        <v>305.05200000000002</v>
      </c>
      <c r="T60" s="3" t="e">
        <f>SUM(#REF!)</f>
        <v>#REF!</v>
      </c>
      <c r="U60" s="3" t="e">
        <f>SUM(#REF!)</f>
        <v>#REF!</v>
      </c>
      <c r="V60" s="3" t="e">
        <f>SUM(#REF!)</f>
        <v>#REF!</v>
      </c>
      <c r="W60" s="3" t="e">
        <f>SUM(#REF!)</f>
        <v>#REF!</v>
      </c>
      <c r="X60" s="3">
        <f>SUM(C60:D60)</f>
        <v>7103</v>
      </c>
      <c r="Y60" s="3">
        <f>SUM(E60:H60)</f>
        <v>5446</v>
      </c>
    </row>
    <row r="61" spans="1:36" s="10" customFormat="1" ht="13">
      <c r="A61" s="41"/>
      <c r="B61" s="41" t="s">
        <v>159</v>
      </c>
      <c r="C61" s="40">
        <f>C60+C59</f>
        <v>15801</v>
      </c>
      <c r="D61" s="40"/>
      <c r="E61" s="40"/>
      <c r="F61" s="40"/>
      <c r="G61" s="40">
        <f>G60+G59</f>
        <v>13152</v>
      </c>
      <c r="H61" s="8">
        <f t="shared" ref="H61" si="34">SUM(H58:H60)</f>
        <v>0</v>
      </c>
      <c r="I61" s="8"/>
      <c r="J61" s="8"/>
      <c r="K61" s="8"/>
      <c r="L61" s="8"/>
      <c r="N61" s="10">
        <f>N59+N60</f>
        <v>2013.4959999999999</v>
      </c>
      <c r="O61" s="10">
        <f>O59+O60</f>
        <v>3198.3560000000002</v>
      </c>
      <c r="P61" s="10">
        <f>P59+P60</f>
        <v>4046.0250000000001</v>
      </c>
      <c r="Q61" s="10">
        <v>7000.1319999999996</v>
      </c>
      <c r="R61" s="10">
        <v>11758.751</v>
      </c>
      <c r="S61" s="10">
        <v>21461.268</v>
      </c>
      <c r="T61" s="10" t="e">
        <f t="shared" ref="T61:W61" si="35">SUM(T58:T60)</f>
        <v>#REF!</v>
      </c>
      <c r="U61" s="10" t="e">
        <f t="shared" si="35"/>
        <v>#REF!</v>
      </c>
      <c r="V61" s="10" t="e">
        <f t="shared" si="35"/>
        <v>#REF!</v>
      </c>
      <c r="W61" s="10" t="e">
        <f t="shared" si="35"/>
        <v>#REF!</v>
      </c>
      <c r="X61" s="10">
        <f>SUM(X58:X60)</f>
        <v>25598</v>
      </c>
      <c r="Y61" s="10">
        <f>SUM(Y58:Y60)+Y48</f>
        <v>19953.069171200001</v>
      </c>
      <c r="Z61" s="10">
        <f>SUM(Z58:Z60)+Z48</f>
        <v>12925.24005599359</v>
      </c>
      <c r="AA61" s="10">
        <f>SUM(AA58:AA60)+AA48</f>
        <v>17390.01236559575</v>
      </c>
      <c r="AB61" s="10">
        <f t="shared" ref="AB61:AE61" si="36">SUM(AB58:AB60)+AB48</f>
        <v>22245.159305892343</v>
      </c>
      <c r="AC61" s="10">
        <f t="shared" si="36"/>
        <v>28319.847412275572</v>
      </c>
      <c r="AD61" s="10">
        <f t="shared" si="36"/>
        <v>34366.269262901405</v>
      </c>
      <c r="AE61" s="10">
        <f t="shared" si="36"/>
        <v>39731.468126207787</v>
      </c>
      <c r="AF61" s="10">
        <f t="shared" ref="AF61" si="37">SUM(AF58:AF60)+AF48</f>
        <v>43049.925077075102</v>
      </c>
      <c r="AG61" s="10">
        <f t="shared" ref="AG61" si="38">SUM(AG58:AG60)+AG48</f>
        <v>46631.053248808603</v>
      </c>
      <c r="AH61" s="10">
        <f t="shared" ref="AH61" si="39">SUM(AH58:AH60)+AH48</f>
        <v>50495.525891849451</v>
      </c>
      <c r="AI61" s="10">
        <f t="shared" ref="AI61" si="40">SUM(AI58:AI60)+AI48</f>
        <v>54665.647138695451</v>
      </c>
      <c r="AJ61" s="10">
        <f t="shared" ref="AJ61" si="41">SUM(AJ58:AJ60)+AJ48</f>
        <v>59165.481358138277</v>
      </c>
    </row>
    <row r="62" spans="1:36" s="3" customFormat="1">
      <c r="A62" s="17"/>
      <c r="B62" s="17" t="s">
        <v>160</v>
      </c>
      <c r="C62" s="36">
        <v>9624</v>
      </c>
      <c r="D62" s="36"/>
      <c r="E62" s="36"/>
      <c r="F62" s="36"/>
      <c r="G62" s="36">
        <v>7848</v>
      </c>
      <c r="H62" s="6">
        <f>+H49*0.85</f>
        <v>0</v>
      </c>
      <c r="I62" s="6"/>
      <c r="J62" s="6"/>
      <c r="K62" s="6"/>
      <c r="L62" s="6"/>
      <c r="N62" s="3">
        <v>1483.3209999999999</v>
      </c>
      <c r="V62" s="3" t="e">
        <f>SUM(#REF!)</f>
        <v>#REF!</v>
      </c>
      <c r="W62" s="3" t="e">
        <f>SUM(#REF!)</f>
        <v>#REF!</v>
      </c>
      <c r="X62" s="3">
        <f>SUM(C62:D62)</f>
        <v>9624</v>
      </c>
      <c r="Y62" s="3">
        <f t="shared" ref="Y62:Y63" si="42">SUM(E62:H62)</f>
        <v>7848</v>
      </c>
      <c r="Z62" s="3">
        <f>Z49*0.8</f>
        <v>10127.237009146873</v>
      </c>
      <c r="AA62" s="3">
        <f>AA49*0.79</f>
        <v>12875.832428660642</v>
      </c>
      <c r="AB62" s="3">
        <f>AB61*0.78</f>
        <v>17351.224258596027</v>
      </c>
      <c r="AC62" s="3">
        <f>AC61*0.77</f>
        <v>21806.28250745219</v>
      </c>
      <c r="AD62" s="3">
        <f>AD61*0.76</f>
        <v>26118.36463980507</v>
      </c>
      <c r="AE62" s="3">
        <f>AE61*0.75</f>
        <v>29798.601094655838</v>
      </c>
      <c r="AF62" s="3">
        <f t="shared" ref="AF62:AJ62" si="43">AF61*0.75</f>
        <v>32287.443807806325</v>
      </c>
      <c r="AG62" s="3">
        <f t="shared" si="43"/>
        <v>34973.289936606452</v>
      </c>
      <c r="AH62" s="3">
        <f t="shared" si="43"/>
        <v>37871.644418887088</v>
      </c>
      <c r="AI62" s="3">
        <f t="shared" si="43"/>
        <v>40999.235354021584</v>
      </c>
      <c r="AJ62" s="3">
        <f t="shared" si="43"/>
        <v>44374.111018603711</v>
      </c>
    </row>
    <row r="63" spans="1:36" s="3" customFormat="1">
      <c r="A63" s="17"/>
      <c r="B63" s="17" t="s">
        <v>14</v>
      </c>
      <c r="C63" s="36">
        <f>C58-C62</f>
        <v>6177</v>
      </c>
      <c r="D63" s="36"/>
      <c r="E63" s="36"/>
      <c r="F63" s="36"/>
      <c r="G63" s="36">
        <f>G58-G62</f>
        <v>5304</v>
      </c>
      <c r="H63" s="36">
        <f>H58-H62</f>
        <v>0</v>
      </c>
      <c r="I63" s="6"/>
      <c r="J63" s="6"/>
      <c r="K63" s="6"/>
      <c r="L63" s="6"/>
      <c r="W63" s="6" t="e">
        <f>+W61*0.25</f>
        <v>#REF!</v>
      </c>
      <c r="X63" s="3">
        <f>SUM(C63:D63)</f>
        <v>6177</v>
      </c>
      <c r="Y63" s="3">
        <f t="shared" si="42"/>
        <v>5304</v>
      </c>
      <c r="Z63" s="3" t="e">
        <f>+#REF!+Z48</f>
        <v>#REF!</v>
      </c>
      <c r="AA63" s="3" t="e">
        <f>+#REF!+AA48</f>
        <v>#REF!</v>
      </c>
      <c r="AB63" s="3" t="e">
        <f>+#REF!+AB48</f>
        <v>#REF!</v>
      </c>
      <c r="AC63" s="3" t="e">
        <f>+#REF!+AC48</f>
        <v>#REF!</v>
      </c>
      <c r="AD63" s="3" t="e">
        <f>+#REF!+AD48</f>
        <v>#REF!</v>
      </c>
      <c r="AE63" s="3" t="e">
        <f>+#REF!+AE48</f>
        <v>#REF!</v>
      </c>
      <c r="AF63" s="3" t="e">
        <f>+#REF!+AF48</f>
        <v>#REF!</v>
      </c>
      <c r="AG63" s="3" t="e">
        <f>+#REF!+AG48</f>
        <v>#REF!</v>
      </c>
      <c r="AH63" s="3" t="e">
        <f>+#REF!+AH48</f>
        <v>#REF!</v>
      </c>
      <c r="AI63" s="3" t="e">
        <f>+#REF!+AI48</f>
        <v>#REF!</v>
      </c>
      <c r="AJ63" s="3" t="e">
        <f>+#REF!+AJ48</f>
        <v>#REF!</v>
      </c>
    </row>
    <row r="64" spans="1:36" s="17" customFormat="1">
      <c r="B64" s="17" t="s">
        <v>15</v>
      </c>
      <c r="C64" s="36">
        <v>528</v>
      </c>
      <c r="D64" s="36"/>
      <c r="E64" s="36"/>
      <c r="F64" s="36"/>
      <c r="G64" s="36">
        <v>567</v>
      </c>
      <c r="H64" s="36">
        <f t="shared" ref="H64:H65" si="44">+D64*1.1</f>
        <v>0</v>
      </c>
      <c r="I64" s="36"/>
      <c r="J64" s="36"/>
      <c r="K64" s="36"/>
      <c r="L64" s="36"/>
      <c r="W64" s="17" t="e">
        <f>SUM(#REF!)</f>
        <v>#REF!</v>
      </c>
      <c r="X64" s="17">
        <f>SUM(C64:D64)</f>
        <v>528</v>
      </c>
      <c r="Y64" s="17">
        <f t="shared" ref="Y64:Y65" si="45">SUM(E64:H64)</f>
        <v>567</v>
      </c>
      <c r="Z64" s="17">
        <f>Y64*1.04</f>
        <v>589.68000000000006</v>
      </c>
      <c r="AA64" s="17">
        <f t="shared" ref="AA64:AE64" si="46">Z64*1.04</f>
        <v>613.26720000000012</v>
      </c>
      <c r="AB64" s="17">
        <f t="shared" si="46"/>
        <v>637.79788800000017</v>
      </c>
      <c r="AC64" s="17">
        <f t="shared" si="46"/>
        <v>663.30980352000017</v>
      </c>
      <c r="AD64" s="17">
        <f t="shared" si="46"/>
        <v>689.84219566080026</v>
      </c>
      <c r="AE64" s="17">
        <f t="shared" si="46"/>
        <v>717.43588348723233</v>
      </c>
      <c r="AF64" s="17">
        <f t="shared" ref="AF64:AJ64" si="47">AE64*1.04</f>
        <v>746.13331882672162</v>
      </c>
      <c r="AG64" s="17">
        <f t="shared" si="47"/>
        <v>775.97865157979049</v>
      </c>
      <c r="AH64" s="17">
        <f t="shared" si="47"/>
        <v>807.01779764298215</v>
      </c>
      <c r="AI64" s="17">
        <f t="shared" si="47"/>
        <v>839.29850954870142</v>
      </c>
      <c r="AJ64" s="17">
        <f t="shared" si="47"/>
        <v>872.87044993064956</v>
      </c>
    </row>
    <row r="65" spans="2:36" s="17" customFormat="1">
      <c r="B65" s="17" t="s">
        <v>16</v>
      </c>
      <c r="C65" s="36">
        <v>1110</v>
      </c>
      <c r="D65" s="36"/>
      <c r="E65" s="36"/>
      <c r="F65" s="36"/>
      <c r="G65" s="36">
        <v>1278</v>
      </c>
      <c r="H65" s="36">
        <f t="shared" si="44"/>
        <v>0</v>
      </c>
      <c r="I65" s="36"/>
      <c r="J65" s="36"/>
      <c r="K65" s="36"/>
      <c r="L65" s="36"/>
      <c r="W65" s="17" t="e">
        <f>SUM(#REF!)</f>
        <v>#REF!</v>
      </c>
      <c r="X65" s="17">
        <f>SUM(C65:D65)</f>
        <v>1110</v>
      </c>
      <c r="Y65" s="17">
        <f t="shared" si="45"/>
        <v>1278</v>
      </c>
      <c r="Z65" s="17">
        <f>Y65*1.04</f>
        <v>1329.1200000000001</v>
      </c>
      <c r="AA65" s="17">
        <f t="shared" ref="AA65:AE65" si="48">Z65*1.04</f>
        <v>1382.2848000000001</v>
      </c>
      <c r="AB65" s="17">
        <f t="shared" si="48"/>
        <v>1437.5761920000002</v>
      </c>
      <c r="AC65" s="17">
        <f t="shared" si="48"/>
        <v>1495.0792396800002</v>
      </c>
      <c r="AD65" s="17">
        <f t="shared" si="48"/>
        <v>1554.8824092672003</v>
      </c>
      <c r="AE65" s="17">
        <f t="shared" si="48"/>
        <v>1617.0777056378884</v>
      </c>
      <c r="AF65" s="17">
        <f t="shared" ref="AF65:AJ65" si="49">AE65*1.04</f>
        <v>1681.7608138634039</v>
      </c>
      <c r="AG65" s="17">
        <f t="shared" si="49"/>
        <v>1749.0312464179401</v>
      </c>
      <c r="AH65" s="17">
        <f t="shared" si="49"/>
        <v>1818.9924962746577</v>
      </c>
      <c r="AI65" s="17">
        <f t="shared" si="49"/>
        <v>1891.7521961256441</v>
      </c>
      <c r="AJ65" s="17">
        <f t="shared" si="49"/>
        <v>1967.4222839706699</v>
      </c>
    </row>
    <row r="66" spans="2:36" s="17" customFormat="1">
      <c r="B66" s="17" t="s">
        <v>18</v>
      </c>
      <c r="C66" s="36">
        <v>623</v>
      </c>
      <c r="D66" s="36"/>
      <c r="E66" s="36"/>
      <c r="F66" s="36"/>
      <c r="G66" s="36">
        <v>840</v>
      </c>
      <c r="H66" s="36"/>
      <c r="I66" s="36"/>
      <c r="J66" s="36"/>
      <c r="K66" s="36"/>
      <c r="L66" s="36"/>
      <c r="X66" s="17">
        <f>SUM(C66:D66)</f>
        <v>623</v>
      </c>
    </row>
    <row r="67" spans="2:36" s="17" customFormat="1">
      <c r="B67" s="17" t="s">
        <v>161</v>
      </c>
      <c r="C67" s="36">
        <v>310</v>
      </c>
      <c r="D67" s="36"/>
      <c r="E67" s="36"/>
      <c r="F67" s="36"/>
      <c r="G67" s="36">
        <v>264</v>
      </c>
      <c r="H67" s="36"/>
      <c r="I67" s="36"/>
      <c r="J67" s="36"/>
      <c r="K67" s="36"/>
      <c r="L67" s="36"/>
      <c r="X67" s="17">
        <f>SUM(C67:D67)</f>
        <v>310</v>
      </c>
    </row>
    <row r="68" spans="2:36" s="17" customFormat="1">
      <c r="B68" s="17" t="s">
        <v>17</v>
      </c>
      <c r="C68" s="36">
        <f>C64+C65+C66+C67</f>
        <v>2571</v>
      </c>
      <c r="D68" s="36"/>
      <c r="E68" s="36"/>
      <c r="F68" s="36"/>
      <c r="G68" s="36">
        <f t="shared" ref="G68:H68" si="50">G64+G65+G66+G67</f>
        <v>2949</v>
      </c>
      <c r="H68" s="36">
        <f t="shared" si="50"/>
        <v>0</v>
      </c>
      <c r="I68" s="36"/>
      <c r="J68" s="36"/>
      <c r="K68" s="36"/>
      <c r="L68" s="36"/>
      <c r="W68" s="17" t="e">
        <f t="shared" ref="W68" si="51">+W64+W65</f>
        <v>#REF!</v>
      </c>
      <c r="X68" s="17">
        <f>+X64+X65</f>
        <v>1638</v>
      </c>
      <c r="Y68" s="17">
        <f t="shared" ref="Y68:AC68" si="52">+Y64+Y65</f>
        <v>1845</v>
      </c>
      <c r="Z68" s="17">
        <f>+Z64+Z65</f>
        <v>1918.8000000000002</v>
      </c>
      <c r="AA68" s="17">
        <f t="shared" si="52"/>
        <v>1995.5520000000001</v>
      </c>
      <c r="AB68" s="17">
        <f t="shared" si="52"/>
        <v>2075.3740800000005</v>
      </c>
      <c r="AC68" s="17">
        <f t="shared" si="52"/>
        <v>2158.3890432000003</v>
      </c>
      <c r="AD68" s="17">
        <f t="shared" ref="AD68" si="53">+AD64+AD65</f>
        <v>2244.7246049280006</v>
      </c>
      <c r="AE68" s="17">
        <f t="shared" ref="AE68:AJ68" si="54">+AE64+AE65</f>
        <v>2334.5135891251207</v>
      </c>
      <c r="AF68" s="17">
        <f t="shared" si="54"/>
        <v>2427.8941326901254</v>
      </c>
      <c r="AG68" s="17">
        <f t="shared" si="54"/>
        <v>2525.0098979977306</v>
      </c>
      <c r="AH68" s="17">
        <f t="shared" si="54"/>
        <v>2626.01029391764</v>
      </c>
      <c r="AI68" s="17">
        <f t="shared" si="54"/>
        <v>2731.0507056743454</v>
      </c>
      <c r="AJ68" s="17">
        <f t="shared" si="54"/>
        <v>2840.2927339013195</v>
      </c>
    </row>
    <row r="69" spans="2:36" s="17" customFormat="1">
      <c r="B69" s="17" t="s">
        <v>162</v>
      </c>
      <c r="C69" s="36">
        <f>C68+C62</f>
        <v>12195</v>
      </c>
      <c r="D69" s="36"/>
      <c r="E69" s="36"/>
      <c r="F69" s="36"/>
      <c r="G69" s="36">
        <f>G68+G62</f>
        <v>10797</v>
      </c>
      <c r="H69" s="36">
        <f>H68+H62</f>
        <v>0</v>
      </c>
      <c r="I69" s="36"/>
      <c r="J69" s="36"/>
      <c r="K69" s="36"/>
      <c r="L69" s="36"/>
    </row>
    <row r="70" spans="2:36" s="17" customFormat="1">
      <c r="B70" s="17" t="s">
        <v>163</v>
      </c>
      <c r="C70" s="36">
        <f t="shared" ref="C70" si="55">C63-C68</f>
        <v>3606</v>
      </c>
      <c r="D70" s="36"/>
      <c r="E70" s="36"/>
      <c r="F70" s="36"/>
      <c r="G70" s="36">
        <f t="shared" ref="G70:H70" si="56">G63-G68</f>
        <v>2355</v>
      </c>
      <c r="H70" s="36">
        <f t="shared" si="56"/>
        <v>0</v>
      </c>
      <c r="I70" s="36"/>
      <c r="J70" s="36"/>
      <c r="K70" s="36"/>
      <c r="L70" s="36"/>
      <c r="W70" s="36" t="e">
        <f t="shared" ref="W70:X70" si="57">W63-W68</f>
        <v>#REF!</v>
      </c>
      <c r="X70" s="36">
        <f t="shared" si="57"/>
        <v>4539</v>
      </c>
      <c r="Y70" s="36">
        <f t="shared" ref="Y70:AE70" si="58">Y63-Y68</f>
        <v>3459</v>
      </c>
      <c r="Z70" s="36" t="e">
        <f>Z63-Z68</f>
        <v>#REF!</v>
      </c>
      <c r="AA70" s="36" t="e">
        <f t="shared" si="58"/>
        <v>#REF!</v>
      </c>
      <c r="AB70" s="36" t="e">
        <f t="shared" si="58"/>
        <v>#REF!</v>
      </c>
      <c r="AC70" s="36" t="e">
        <f t="shared" si="58"/>
        <v>#REF!</v>
      </c>
      <c r="AD70" s="36" t="e">
        <f t="shared" si="58"/>
        <v>#REF!</v>
      </c>
      <c r="AE70" s="36" t="e">
        <f t="shared" si="58"/>
        <v>#REF!</v>
      </c>
      <c r="AF70" s="36" t="e">
        <f t="shared" ref="AF70:AJ70" si="59">AF63-AF68</f>
        <v>#REF!</v>
      </c>
      <c r="AG70" s="36" t="e">
        <f t="shared" si="59"/>
        <v>#REF!</v>
      </c>
      <c r="AH70" s="36" t="e">
        <f t="shared" si="59"/>
        <v>#REF!</v>
      </c>
      <c r="AI70" s="36" t="e">
        <f t="shared" si="59"/>
        <v>#REF!</v>
      </c>
      <c r="AJ70" s="36" t="e">
        <f t="shared" si="59"/>
        <v>#REF!</v>
      </c>
    </row>
    <row r="71" spans="2:36" s="17" customFormat="1">
      <c r="B71" s="17" t="s">
        <v>19</v>
      </c>
      <c r="C71" s="36">
        <v>636</v>
      </c>
      <c r="D71" s="36"/>
      <c r="E71" s="36"/>
      <c r="F71" s="36"/>
      <c r="G71" s="36">
        <v>625</v>
      </c>
      <c r="H71" s="36" t="e">
        <f>+#REF!*0.2</f>
        <v>#REF!</v>
      </c>
      <c r="I71" s="36"/>
      <c r="J71" s="36"/>
      <c r="K71" s="36"/>
      <c r="L71" s="36"/>
      <c r="X71" s="17">
        <f>SUM(C71:D71)</f>
        <v>636</v>
      </c>
      <c r="Y71" s="17" t="e">
        <f t="shared" ref="Y71" si="60">SUM(E71:H71)</f>
        <v>#REF!</v>
      </c>
      <c r="Z71" s="17" t="e">
        <f>+#REF!*0.15</f>
        <v>#REF!</v>
      </c>
      <c r="AA71" s="17" t="e">
        <f>+#REF!*0.15</f>
        <v>#REF!</v>
      </c>
      <c r="AB71" s="17" t="e">
        <f>+#REF!*0.15</f>
        <v>#REF!</v>
      </c>
      <c r="AC71" s="17" t="e">
        <f>+#REF!*0.15</f>
        <v>#REF!</v>
      </c>
      <c r="AD71" s="17" t="e">
        <f>+#REF!*0.15</f>
        <v>#REF!</v>
      </c>
      <c r="AE71" s="17" t="e">
        <f>+#REF!*0.15</f>
        <v>#REF!</v>
      </c>
      <c r="AF71" s="17" t="e">
        <f>+#REF!*0.15</f>
        <v>#REF!</v>
      </c>
      <c r="AG71" s="17" t="e">
        <f>+#REF!*0.15</f>
        <v>#REF!</v>
      </c>
      <c r="AH71" s="17" t="e">
        <f>+#REF!*0.15</f>
        <v>#REF!</v>
      </c>
      <c r="AI71" s="17" t="e">
        <f>+#REF!*0.15</f>
        <v>#REF!</v>
      </c>
      <c r="AJ71" s="17" t="e">
        <f>+#REF!*0.15</f>
        <v>#REF!</v>
      </c>
    </row>
    <row r="72" spans="2:36" s="18" customFormat="1">
      <c r="B72" s="18" t="s">
        <v>164</v>
      </c>
      <c r="C72" s="16">
        <f>2--6</f>
        <v>8</v>
      </c>
      <c r="D72" s="16"/>
      <c r="E72" s="16"/>
      <c r="F72" s="16"/>
      <c r="G72" s="16">
        <f>1--3</f>
        <v>4</v>
      </c>
      <c r="H72" s="16"/>
      <c r="I72" s="16"/>
      <c r="J72" s="16"/>
      <c r="K72" s="16"/>
      <c r="L72" s="16"/>
    </row>
    <row r="73" spans="2:36" s="18" customFormat="1">
      <c r="B73" s="18" t="s">
        <v>165</v>
      </c>
      <c r="C73" s="36">
        <f>C70-C71+C72</f>
        <v>2978</v>
      </c>
      <c r="D73" s="16"/>
      <c r="E73" s="16"/>
      <c r="F73" s="16"/>
      <c r="G73" s="36">
        <f>G70-G71+G72</f>
        <v>1734</v>
      </c>
      <c r="H73" s="36" t="e">
        <f>H70-H71+H72</f>
        <v>#REF!</v>
      </c>
      <c r="I73" s="16"/>
      <c r="J73" s="16"/>
      <c r="K73" s="16"/>
      <c r="L73" s="16"/>
    </row>
    <row r="74" spans="2:36" s="18" customFormat="1">
      <c r="B74" s="18" t="s">
        <v>20</v>
      </c>
      <c r="C74" s="42">
        <f>C73/C76</f>
        <v>10.240715268225584</v>
      </c>
      <c r="D74" s="42"/>
      <c r="E74" s="42"/>
      <c r="F74" s="42"/>
      <c r="G74" s="42">
        <f>G73/G76</f>
        <v>6.3169398907103824</v>
      </c>
      <c r="H74" s="42" t="e">
        <f>H73/H76</f>
        <v>#REF!</v>
      </c>
      <c r="I74" s="42"/>
      <c r="J74" s="42"/>
      <c r="K74" s="42"/>
      <c r="L74" s="42"/>
      <c r="X74" s="43" t="e">
        <f>+#REF!/X77</f>
        <v>#REF!</v>
      </c>
      <c r="Y74" s="43" t="e">
        <f>+#REF!/Y77</f>
        <v>#REF!</v>
      </c>
      <c r="Z74" s="43" t="e">
        <f>+#REF!/Z77</f>
        <v>#REF!</v>
      </c>
      <c r="AA74" s="43" t="e">
        <f>+#REF!/AA77</f>
        <v>#REF!</v>
      </c>
      <c r="AB74" s="43" t="e">
        <f>+#REF!/AB77</f>
        <v>#REF!</v>
      </c>
      <c r="AC74" s="43" t="e">
        <f>+#REF!/AC77</f>
        <v>#REF!</v>
      </c>
      <c r="AD74" s="43" t="e">
        <f>+#REF!/AD77</f>
        <v>#REF!</v>
      </c>
      <c r="AE74" s="43" t="e">
        <f>+#REF!/AE77</f>
        <v>#REF!</v>
      </c>
      <c r="AF74" s="43" t="e">
        <f>+#REF!/AF77</f>
        <v>#REF!</v>
      </c>
      <c r="AG74" s="43" t="e">
        <f>+#REF!/AG77</f>
        <v>#REF!</v>
      </c>
      <c r="AH74" s="43" t="e">
        <f>+#REF!/AH77</f>
        <v>#REF!</v>
      </c>
      <c r="AI74" s="43" t="e">
        <f>+#REF!/AI77</f>
        <v>#REF!</v>
      </c>
      <c r="AJ74" s="43" t="e">
        <f>+#REF!/AJ77</f>
        <v>#REF!</v>
      </c>
    </row>
    <row r="75" spans="2:36" s="18" customFormat="1">
      <c r="B75" s="18" t="s">
        <v>167</v>
      </c>
      <c r="C75" s="42">
        <f>C73/C77</f>
        <v>10.195138651146866</v>
      </c>
      <c r="D75" s="42"/>
      <c r="E75" s="42"/>
      <c r="F75" s="42"/>
      <c r="G75" s="42">
        <f>G73/G77</f>
        <v>6.2917271407837436</v>
      </c>
      <c r="H75" s="42" t="e">
        <f>H73/H77</f>
        <v>#REF!</v>
      </c>
      <c r="I75" s="42"/>
      <c r="J75" s="42"/>
      <c r="K75" s="42"/>
      <c r="L75" s="42"/>
      <c r="X75" s="43"/>
      <c r="Y75" s="43"/>
      <c r="Z75" s="43"/>
      <c r="AA75" s="43"/>
      <c r="AB75" s="43"/>
      <c r="AC75" s="43"/>
      <c r="AD75" s="43"/>
      <c r="AE75" s="43"/>
      <c r="AF75" s="43"/>
      <c r="AG75" s="43"/>
      <c r="AH75" s="43"/>
      <c r="AI75" s="43"/>
      <c r="AJ75" s="43"/>
    </row>
    <row r="76" spans="2:36" s="18" customFormat="1">
      <c r="B76" s="17" t="s">
        <v>1</v>
      </c>
      <c r="C76" s="36">
        <v>290.8</v>
      </c>
      <c r="D76" s="42"/>
      <c r="E76" s="42"/>
      <c r="F76" s="42"/>
      <c r="G76" s="42">
        <v>274.5</v>
      </c>
      <c r="H76" s="42"/>
      <c r="I76" s="42"/>
      <c r="J76" s="42"/>
      <c r="K76" s="42"/>
      <c r="L76" s="42"/>
      <c r="X76" s="43"/>
      <c r="Y76" s="43"/>
      <c r="Z76" s="43"/>
      <c r="AA76" s="43"/>
      <c r="AB76" s="43"/>
      <c r="AC76" s="43"/>
      <c r="AD76" s="43"/>
      <c r="AE76" s="43"/>
      <c r="AF76" s="43"/>
      <c r="AG76" s="43"/>
      <c r="AH76" s="43"/>
      <c r="AI76" s="43"/>
      <c r="AJ76" s="43"/>
    </row>
    <row r="77" spans="2:36" s="17" customFormat="1">
      <c r="B77" s="17" t="s">
        <v>166</v>
      </c>
      <c r="C77" s="36">
        <v>292.10000000000002</v>
      </c>
      <c r="D77" s="36"/>
      <c r="E77" s="36"/>
      <c r="F77" s="36"/>
      <c r="G77" s="36">
        <v>275.60000000000002</v>
      </c>
      <c r="H77" s="36"/>
      <c r="I77" s="36"/>
      <c r="J77" s="36"/>
      <c r="K77" s="36"/>
      <c r="L77" s="36"/>
      <c r="X77" s="17">
        <f>AVERAGE(C77:D77)</f>
        <v>292.10000000000002</v>
      </c>
      <c r="Y77" s="17">
        <f>AVERAGE(E77:H77)</f>
        <v>275.60000000000002</v>
      </c>
      <c r="Z77" s="17">
        <f t="shared" ref="Z77:AC77" si="61">Y77</f>
        <v>275.60000000000002</v>
      </c>
      <c r="AA77" s="17">
        <f t="shared" si="61"/>
        <v>275.60000000000002</v>
      </c>
      <c r="AB77" s="17">
        <f t="shared" si="61"/>
        <v>275.60000000000002</v>
      </c>
      <c r="AC77" s="17">
        <f t="shared" si="61"/>
        <v>275.60000000000002</v>
      </c>
      <c r="AD77" s="17">
        <f t="shared" ref="AD77:AE77" si="62">AC77</f>
        <v>275.60000000000002</v>
      </c>
      <c r="AE77" s="17">
        <f t="shared" si="62"/>
        <v>275.60000000000002</v>
      </c>
      <c r="AF77" s="17">
        <f t="shared" ref="AF77" si="63">AE77</f>
        <v>275.60000000000002</v>
      </c>
      <c r="AG77" s="17">
        <f t="shared" ref="AG77" si="64">AF77</f>
        <v>275.60000000000002</v>
      </c>
      <c r="AH77" s="17">
        <f t="shared" ref="AH77" si="65">AG77</f>
        <v>275.60000000000002</v>
      </c>
      <c r="AI77" s="17">
        <f t="shared" ref="AI77" si="66">AH77</f>
        <v>275.60000000000002</v>
      </c>
      <c r="AJ77" s="17">
        <f t="shared" ref="AJ77" si="67">AI77</f>
        <v>275.60000000000002</v>
      </c>
    </row>
    <row r="79" spans="2:36" s="38" customFormat="1" ht="13">
      <c r="B79" s="38" t="s">
        <v>53</v>
      </c>
      <c r="C79" s="45" t="e">
        <f>C61/#REF!-1</f>
        <v>#REF!</v>
      </c>
      <c r="D79" s="45"/>
      <c r="E79" s="45"/>
      <c r="F79" s="45"/>
      <c r="G79" s="45">
        <f>G61/C61-1</f>
        <v>-0.16764761723941524</v>
      </c>
      <c r="H79" s="45" t="e">
        <f>H61/D61-1</f>
        <v>#DIV/0!</v>
      </c>
      <c r="I79" s="45"/>
      <c r="J79" s="45"/>
      <c r="K79" s="45"/>
      <c r="L79" s="45"/>
      <c r="O79" s="46">
        <f>O61/N61-1</f>
        <v>0.58845907814070664</v>
      </c>
      <c r="P79" s="46">
        <f>P61/O61-1</f>
        <v>0.26503272306147285</v>
      </c>
      <c r="Q79" s="46">
        <f>Q61/P61-1</f>
        <v>0.73012574069611524</v>
      </c>
      <c r="R79" s="46">
        <f>R61/Q61-1</f>
        <v>0.67978989539054413</v>
      </c>
      <c r="S79" s="46">
        <f>S61/R61-1</f>
        <v>0.82513159773516764</v>
      </c>
      <c r="T79" s="46" t="e">
        <f>T61/S61-1</f>
        <v>#REF!</v>
      </c>
      <c r="U79" s="46" t="e">
        <f>+U61/T61-1</f>
        <v>#REF!</v>
      </c>
      <c r="V79" s="46" t="e">
        <f>+V61/U61-1</f>
        <v>#REF!</v>
      </c>
      <c r="W79" s="46" t="e">
        <f>+W61/V61-1</f>
        <v>#REF!</v>
      </c>
      <c r="X79" s="46" t="e">
        <f>+X61/W61-1</f>
        <v>#REF!</v>
      </c>
      <c r="Y79" s="46">
        <f>+Y61/X61-1</f>
        <v>-0.22052233880771932</v>
      </c>
      <c r="Z79" s="46">
        <f>+Z61/Y61-1</f>
        <v>-0.35221794977538023</v>
      </c>
      <c r="AA79" s="46">
        <f>+AA61/Z61-1</f>
        <v>0.34543051349609488</v>
      </c>
      <c r="AB79" s="46">
        <f>+AB61/AA61-1</f>
        <v>0.27919168993243337</v>
      </c>
      <c r="AC79" s="46">
        <f>+AC61/AB61-1</f>
        <v>0.27307910106870548</v>
      </c>
      <c r="AD79" s="46">
        <f>+AD61/AC61-1</f>
        <v>0.21350474678069564</v>
      </c>
      <c r="AE79" s="46">
        <f>+AE61/AD61-1</f>
        <v>0.15611816407136603</v>
      </c>
      <c r="AF79" s="46">
        <f>+AF61/AE61-1</f>
        <v>8.3522132641214553E-2</v>
      </c>
      <c r="AG79" s="46">
        <f>+AG61/AF61-1</f>
        <v>8.3185468158701203E-2</v>
      </c>
      <c r="AH79" s="46">
        <f>+AH61/AG61-1</f>
        <v>8.2873372437487935E-2</v>
      </c>
      <c r="AI79" s="46">
        <f>+AI61/AH61-1</f>
        <v>8.2583974979832941E-2</v>
      </c>
      <c r="AJ79" s="46">
        <f>+AJ61/AI61-1</f>
        <v>8.2315575776978012E-2</v>
      </c>
    </row>
    <row r="80" spans="2:36">
      <c r="B80" s="2" t="s">
        <v>54</v>
      </c>
      <c r="C80" s="14" t="e">
        <f>+C41/#REF!-1</f>
        <v>#REF!</v>
      </c>
      <c r="D80" s="14"/>
      <c r="E80" s="14"/>
      <c r="F80" s="14"/>
      <c r="G80" s="14">
        <f>+G41/C41-1</f>
        <v>8.0000000000000071E-2</v>
      </c>
      <c r="H80" s="14" t="e">
        <f>+H41/D41-1</f>
        <v>#DIV/0!</v>
      </c>
      <c r="I80" s="14"/>
      <c r="J80" s="14"/>
      <c r="K80" s="14"/>
      <c r="L80" s="14"/>
      <c r="U80" s="11" t="e">
        <f>+U41/T41-1</f>
        <v>#REF!</v>
      </c>
      <c r="V80" s="11" t="e">
        <f>+V41/U41-1</f>
        <v>#REF!</v>
      </c>
      <c r="W80" s="11" t="e">
        <f>+W41/V41-1</f>
        <v>#REF!</v>
      </c>
      <c r="X80" s="11" t="e">
        <f>+X41/W41-1</f>
        <v>#REF!</v>
      </c>
      <c r="Y80" s="11">
        <f>+Y41/X41-1</f>
        <v>8.0000000000000071E-2</v>
      </c>
      <c r="Z80" s="11">
        <f>+Z41/Y41-1</f>
        <v>1.4395268313118534</v>
      </c>
      <c r="AA80" s="11">
        <f>+AA41/Z41-1</f>
        <v>0.25</v>
      </c>
      <c r="AB80" s="11">
        <f>+AB41/AA41-1</f>
        <v>0.19999999999999996</v>
      </c>
      <c r="AC80" s="11">
        <f>+AC41/AB41-1</f>
        <v>0.19999999999999996</v>
      </c>
      <c r="AD80" s="11">
        <f>+AD41/AC41-1</f>
        <v>0.14999999999999991</v>
      </c>
      <c r="AE80" s="11">
        <f>+AE41/AD41-1</f>
        <v>0.10000000000000009</v>
      </c>
      <c r="AF80" s="11">
        <f>+AF41/AE41-1</f>
        <v>5.0000000000000044E-2</v>
      </c>
      <c r="AG80" s="11">
        <f>+AG41/AF41-1</f>
        <v>5.0000000000000044E-2</v>
      </c>
      <c r="AH80" s="11">
        <f>+AH41/AG41-1</f>
        <v>5.0000000000000044E-2</v>
      </c>
      <c r="AI80" s="11">
        <f>+AI41/AH41-1</f>
        <v>5.0000000000000044E-2</v>
      </c>
      <c r="AJ80" s="11">
        <f>+AJ41/AI41-1</f>
        <v>5.0000000000000044E-2</v>
      </c>
    </row>
    <row r="81" spans="2:40">
      <c r="B81" s="2" t="s">
        <v>55</v>
      </c>
      <c r="C81" s="14" t="e">
        <f>+C46/#REF!-1</f>
        <v>#REF!</v>
      </c>
      <c r="D81" s="14"/>
      <c r="E81" s="14"/>
      <c r="F81" s="14"/>
      <c r="G81" s="14">
        <f>+G46/C46-1</f>
        <v>8.0000000000000071E-2</v>
      </c>
      <c r="H81" s="14" t="e">
        <f>+H46/D46-1</f>
        <v>#DIV/0!</v>
      </c>
      <c r="I81" s="14"/>
      <c r="J81" s="14"/>
      <c r="K81" s="14"/>
      <c r="L81" s="14"/>
      <c r="U81" s="11" t="e">
        <f>+U46/T46-1</f>
        <v>#REF!</v>
      </c>
      <c r="V81" s="11" t="e">
        <f>+V46/U46-1</f>
        <v>#REF!</v>
      </c>
      <c r="W81" s="11" t="e">
        <f>+W46/V46-1</f>
        <v>#REF!</v>
      </c>
      <c r="X81" s="11" t="e">
        <f>+X46/W46-1</f>
        <v>#REF!</v>
      </c>
      <c r="Y81" s="11">
        <f>+Y46/X46-1</f>
        <v>1.0482035271598744</v>
      </c>
      <c r="Z81" s="11">
        <f>+Z46/Y46-1</f>
        <v>0.30000000000000004</v>
      </c>
      <c r="AA81" s="11">
        <f>+AA46/Z46-1</f>
        <v>0.25</v>
      </c>
      <c r="AB81" s="11">
        <f>+AB46/AA46-1</f>
        <v>0.19999999999999996</v>
      </c>
      <c r="AC81" s="11">
        <f>+AC46/AB46-1</f>
        <v>0.19999999999999996</v>
      </c>
      <c r="AD81" s="11">
        <f>+AD46/AC46-1</f>
        <v>0.14999999999999991</v>
      </c>
      <c r="AE81" s="11">
        <f>+AE46/AD46-1</f>
        <v>0.10000000000000009</v>
      </c>
      <c r="AF81" s="11">
        <f>+AF46/AE46-1</f>
        <v>5.0000000000000044E-2</v>
      </c>
      <c r="AG81" s="11">
        <f>+AG46/AF46-1</f>
        <v>5.0000000000000044E-2</v>
      </c>
      <c r="AH81" s="11">
        <f>+AH46/AG46-1</f>
        <v>5.0000000000000044E-2</v>
      </c>
      <c r="AI81" s="11">
        <f>+AI46/AH46-1</f>
        <v>5.0000000000000044E-2</v>
      </c>
      <c r="AJ81" s="11">
        <f>+AJ46/AI46-1</f>
        <v>5.0000000000000044E-2</v>
      </c>
    </row>
    <row r="82" spans="2:40" s="18" customFormat="1">
      <c r="B82" s="17" t="s">
        <v>154</v>
      </c>
      <c r="C82" s="44" t="e">
        <f>C49/#REF!-1</f>
        <v>#REF!</v>
      </c>
      <c r="D82" s="44"/>
      <c r="E82" s="44"/>
      <c r="F82" s="44"/>
      <c r="G82" s="44">
        <f>G49/C49-1</f>
        <v>-0.25040916530278234</v>
      </c>
      <c r="H82" s="44" t="e">
        <f>H49/D49-1</f>
        <v>#DIV/0!</v>
      </c>
      <c r="I82" s="44"/>
      <c r="J82" s="44"/>
      <c r="K82" s="44"/>
      <c r="L82" s="44"/>
    </row>
    <row r="83" spans="2:40" s="18" customFormat="1">
      <c r="B83" s="17" t="s">
        <v>99</v>
      </c>
      <c r="C83" s="44"/>
      <c r="D83" s="44"/>
      <c r="E83" s="44"/>
      <c r="F83" s="44"/>
      <c r="G83" s="44">
        <f t="shared" ref="G83:G90" si="68">G50/C50-1</f>
        <v>-0.19345238095238093</v>
      </c>
      <c r="H83" s="44"/>
      <c r="I83" s="44"/>
      <c r="J83" s="44"/>
      <c r="K83" s="44"/>
      <c r="L83" s="44"/>
    </row>
    <row r="84" spans="2:40" s="18" customFormat="1">
      <c r="B84" s="17" t="s">
        <v>100</v>
      </c>
      <c r="C84" s="44"/>
      <c r="D84" s="44"/>
      <c r="E84" s="44"/>
      <c r="F84" s="44"/>
      <c r="G84" s="44">
        <f t="shared" si="68"/>
        <v>-0.14419087136929465</v>
      </c>
      <c r="H84" s="44"/>
      <c r="I84" s="44"/>
      <c r="J84" s="44"/>
      <c r="K84" s="44"/>
      <c r="L84" s="44"/>
    </row>
    <row r="85" spans="2:40" s="18" customFormat="1">
      <c r="B85" s="17" t="s">
        <v>101</v>
      </c>
      <c r="C85" s="44"/>
      <c r="D85" s="44"/>
      <c r="E85" s="44"/>
      <c r="F85" s="44"/>
      <c r="G85" s="44">
        <f t="shared" si="68"/>
        <v>-0.25042979942693411</v>
      </c>
      <c r="H85" s="44"/>
      <c r="I85" s="44"/>
      <c r="J85" s="44"/>
      <c r="K85" s="44"/>
      <c r="L85" s="44"/>
    </row>
    <row r="86" spans="2:40" s="18" customFormat="1">
      <c r="B86" s="17" t="s">
        <v>155</v>
      </c>
      <c r="C86" s="44"/>
      <c r="D86" s="44"/>
      <c r="E86" s="44"/>
      <c r="F86" s="44"/>
      <c r="G86" s="44">
        <f t="shared" si="68"/>
        <v>4.723127035830621E-2</v>
      </c>
      <c r="H86" s="44"/>
      <c r="I86" s="44"/>
      <c r="J86" s="44"/>
      <c r="K86" s="44"/>
      <c r="L86" s="44"/>
    </row>
    <row r="87" spans="2:40" s="18" customFormat="1">
      <c r="B87" s="17" t="s">
        <v>103</v>
      </c>
      <c r="C87" s="44"/>
      <c r="D87" s="44"/>
      <c r="E87" s="44"/>
      <c r="F87" s="44"/>
      <c r="G87" s="44">
        <f t="shared" si="68"/>
        <v>-2.634245187436679E-2</v>
      </c>
      <c r="H87" s="44"/>
      <c r="I87" s="44"/>
      <c r="J87" s="44"/>
      <c r="K87" s="44"/>
      <c r="L87" s="44"/>
    </row>
    <row r="88" spans="2:40" s="18" customFormat="1">
      <c r="B88" s="17" t="s">
        <v>104</v>
      </c>
      <c r="C88" s="44"/>
      <c r="D88" s="44"/>
      <c r="E88" s="44"/>
      <c r="F88" s="44"/>
      <c r="G88" s="44">
        <f t="shared" si="68"/>
        <v>-0.19461077844311381</v>
      </c>
      <c r="H88" s="44"/>
      <c r="I88" s="44"/>
      <c r="J88" s="44"/>
      <c r="K88" s="44"/>
      <c r="L88" s="44"/>
    </row>
    <row r="89" spans="2:40" s="18" customFormat="1">
      <c r="B89" s="17" t="s">
        <v>105</v>
      </c>
      <c r="C89" s="44"/>
      <c r="D89" s="44"/>
      <c r="E89" s="44"/>
      <c r="F89" s="44"/>
      <c r="G89" s="44">
        <f t="shared" si="68"/>
        <v>0.17279411764705888</v>
      </c>
      <c r="H89" s="44"/>
      <c r="I89" s="44"/>
      <c r="J89" s="44"/>
      <c r="K89" s="44"/>
      <c r="L89" s="44"/>
    </row>
    <row r="90" spans="2:40" s="18" customFormat="1">
      <c r="B90" s="17" t="s">
        <v>106</v>
      </c>
      <c r="C90" s="44"/>
      <c r="D90" s="44"/>
      <c r="E90" s="44"/>
      <c r="F90" s="44"/>
      <c r="G90" s="44">
        <f t="shared" si="68"/>
        <v>-0.11082474226804129</v>
      </c>
      <c r="H90" s="44"/>
      <c r="I90" s="44"/>
      <c r="J90" s="44"/>
      <c r="K90" s="44"/>
      <c r="L90" s="44"/>
    </row>
    <row r="91" spans="2:40" s="18" customFormat="1">
      <c r="B91" s="18" t="s">
        <v>14</v>
      </c>
      <c r="C91" s="44">
        <f>+C63/C61</f>
        <v>0.39092462502373265</v>
      </c>
      <c r="D91" s="44"/>
      <c r="E91" s="44"/>
      <c r="F91" s="44"/>
      <c r="G91" s="44">
        <f>+G63/G61</f>
        <v>0.40328467153284669</v>
      </c>
      <c r="H91" s="44" t="e">
        <f>+H63/H61</f>
        <v>#DIV/0!</v>
      </c>
      <c r="I91" s="44"/>
      <c r="J91" s="44"/>
      <c r="K91" s="44"/>
      <c r="L91" s="44"/>
      <c r="U91" s="44" t="e">
        <f>+U63/U61</f>
        <v>#REF!</v>
      </c>
      <c r="V91" s="44" t="e">
        <f>+V63/V61</f>
        <v>#REF!</v>
      </c>
      <c r="W91" s="44" t="e">
        <f>+W63/W61</f>
        <v>#REF!</v>
      </c>
      <c r="X91" s="44">
        <f>+X63/X61</f>
        <v>0.24130791468083443</v>
      </c>
      <c r="Y91" s="44">
        <f>+Y63/Y61</f>
        <v>0.26582376648379108</v>
      </c>
      <c r="Z91" s="44" t="e">
        <f>+Z63/Z61</f>
        <v>#REF!</v>
      </c>
      <c r="AA91" s="44" t="e">
        <f>+AA63/AA61</f>
        <v>#REF!</v>
      </c>
      <c r="AB91" s="44" t="e">
        <f>+AB63/AB61</f>
        <v>#REF!</v>
      </c>
      <c r="AC91" s="44" t="e">
        <f>+AC63/AC61</f>
        <v>#REF!</v>
      </c>
      <c r="AD91" s="44" t="e">
        <f>+AD63/AD61</f>
        <v>#REF!</v>
      </c>
      <c r="AE91" s="44" t="e">
        <f>+AE63/AE61</f>
        <v>#REF!</v>
      </c>
      <c r="AF91" s="44" t="e">
        <f>+AF63/AF61</f>
        <v>#REF!</v>
      </c>
      <c r="AG91" s="44" t="e">
        <f>+AG63/AG61</f>
        <v>#REF!</v>
      </c>
      <c r="AH91" s="44" t="e">
        <f>+AH63/AH61</f>
        <v>#REF!</v>
      </c>
      <c r="AI91" s="44" t="e">
        <f>+AI63/AI61</f>
        <v>#REF!</v>
      </c>
      <c r="AJ91" s="44" t="e">
        <f>+AJ63/AJ61</f>
        <v>#REF!</v>
      </c>
    </row>
    <row r="92" spans="2:40">
      <c r="C92" s="14"/>
      <c r="D92" s="14"/>
      <c r="E92" s="14"/>
      <c r="F92" s="14"/>
      <c r="G92" s="14"/>
      <c r="H92" s="14"/>
      <c r="I92" s="14"/>
      <c r="J92" s="14"/>
      <c r="K92" s="14"/>
      <c r="L92" s="14"/>
    </row>
    <row r="93" spans="2:40">
      <c r="AK93" s="2" t="s">
        <v>68</v>
      </c>
      <c r="AL93" s="11">
        <v>-0.01</v>
      </c>
      <c r="AN93" s="2" t="s">
        <v>169</v>
      </c>
    </row>
    <row r="94" spans="2:40" s="17" customFormat="1">
      <c r="B94" s="17" t="s">
        <v>21</v>
      </c>
      <c r="C94" s="36">
        <f t="shared" ref="C94:F94" si="69">C73</f>
        <v>2978</v>
      </c>
      <c r="D94" s="36">
        <f t="shared" si="69"/>
        <v>0</v>
      </c>
      <c r="E94" s="36">
        <f t="shared" si="69"/>
        <v>0</v>
      </c>
      <c r="F94" s="36">
        <f t="shared" si="69"/>
        <v>0</v>
      </c>
      <c r="G94" s="36">
        <f>G73</f>
        <v>1734</v>
      </c>
      <c r="H94" s="36" t="e">
        <f t="shared" ref="H94:L94" si="70">H73</f>
        <v>#REF!</v>
      </c>
      <c r="I94" s="36">
        <f t="shared" si="70"/>
        <v>0</v>
      </c>
      <c r="J94" s="36">
        <f t="shared" si="70"/>
        <v>0</v>
      </c>
      <c r="K94" s="36">
        <f t="shared" si="70"/>
        <v>0</v>
      </c>
      <c r="L94" s="36">
        <f t="shared" si="70"/>
        <v>0</v>
      </c>
      <c r="AK94" s="18" t="s">
        <v>69</v>
      </c>
      <c r="AL94" s="47">
        <v>0.08</v>
      </c>
      <c r="AN94" s="17" t="s">
        <v>170</v>
      </c>
    </row>
    <row r="95" spans="2:40" s="3" customFormat="1">
      <c r="B95" s="3" t="s">
        <v>22</v>
      </c>
      <c r="C95" s="6">
        <v>1878</v>
      </c>
      <c r="D95" s="6"/>
      <c r="E95" s="6"/>
      <c r="F95" s="6"/>
      <c r="G95" s="6"/>
      <c r="H95" s="6"/>
      <c r="I95" s="6"/>
      <c r="J95" s="6"/>
      <c r="K95" s="6"/>
      <c r="L95" s="6"/>
      <c r="AK95" s="2" t="s">
        <v>70</v>
      </c>
      <c r="AL95" s="3" t="e">
        <f>NPV(AL94,#REF!)+Main!K5-Main!K6</f>
        <v>#REF!</v>
      </c>
    </row>
    <row r="96" spans="2:40" s="3" customFormat="1">
      <c r="B96" s="3" t="s">
        <v>23</v>
      </c>
      <c r="C96" s="6">
        <v>1235</v>
      </c>
      <c r="D96" s="6"/>
      <c r="E96" s="6"/>
      <c r="F96" s="6"/>
      <c r="G96" s="6"/>
      <c r="H96" s="6"/>
      <c r="I96" s="6"/>
      <c r="J96" s="6"/>
      <c r="K96" s="6"/>
      <c r="L96" s="6"/>
      <c r="AK96" s="2" t="s">
        <v>72</v>
      </c>
      <c r="AL96" s="11">
        <v>0.1</v>
      </c>
    </row>
    <row r="97" spans="2:38" s="3" customFormat="1">
      <c r="B97" s="3" t="s">
        <v>24</v>
      </c>
      <c r="C97" s="6">
        <v>465</v>
      </c>
      <c r="D97" s="6"/>
      <c r="E97" s="6"/>
      <c r="F97" s="6"/>
      <c r="G97" s="6"/>
      <c r="H97" s="6"/>
      <c r="I97" s="6"/>
      <c r="J97" s="6"/>
      <c r="K97" s="6"/>
      <c r="L97" s="6"/>
      <c r="AK97" s="2" t="s">
        <v>71</v>
      </c>
      <c r="AL97" s="13" t="e">
        <f>AL95/Main!K3</f>
        <v>#REF!</v>
      </c>
    </row>
    <row r="98" spans="2:38" s="3" customFormat="1">
      <c r="B98" s="3" t="s">
        <v>25</v>
      </c>
      <c r="C98" s="6"/>
      <c r="D98" s="6"/>
      <c r="E98" s="6"/>
      <c r="F98" s="6"/>
      <c r="G98" s="6"/>
      <c r="H98" s="6"/>
      <c r="I98" s="6"/>
      <c r="J98" s="6"/>
      <c r="K98" s="6"/>
      <c r="L98" s="6"/>
    </row>
    <row r="99" spans="2:38" s="3" customFormat="1">
      <c r="B99" s="3" t="s">
        <v>46</v>
      </c>
      <c r="C99" s="6">
        <f>-113+145</f>
        <v>32</v>
      </c>
      <c r="D99" s="6"/>
      <c r="E99" s="6"/>
      <c r="F99" s="6"/>
      <c r="G99" s="6"/>
      <c r="H99" s="6"/>
      <c r="I99" s="6"/>
      <c r="J99" s="6"/>
      <c r="K99" s="6"/>
      <c r="L99" s="6"/>
    </row>
    <row r="100" spans="2:38" s="3" customFormat="1">
      <c r="B100" s="3" t="s">
        <v>26</v>
      </c>
      <c r="C100" s="6"/>
      <c r="D100" s="6"/>
      <c r="E100" s="6"/>
      <c r="F100" s="6"/>
      <c r="G100" s="6"/>
      <c r="H100" s="6"/>
      <c r="I100" s="6"/>
      <c r="J100" s="6"/>
      <c r="K100" s="6"/>
      <c r="L100" s="6"/>
    </row>
    <row r="101" spans="2:38" s="3" customFormat="1">
      <c r="B101" s="3" t="s">
        <v>35</v>
      </c>
      <c r="C101" s="6"/>
      <c r="D101" s="6"/>
      <c r="E101" s="6"/>
      <c r="F101" s="6"/>
      <c r="G101" s="6"/>
      <c r="H101" s="6"/>
      <c r="I101" s="6"/>
      <c r="J101" s="6"/>
      <c r="K101" s="6"/>
      <c r="L101" s="6"/>
    </row>
    <row r="102" spans="2:38" s="3" customFormat="1">
      <c r="B102" s="3" t="s">
        <v>27</v>
      </c>
      <c r="C102" s="6">
        <v>-302</v>
      </c>
      <c r="D102" s="6"/>
      <c r="E102" s="6"/>
      <c r="F102" s="6"/>
      <c r="G102" s="6"/>
      <c r="H102" s="6"/>
      <c r="I102" s="6"/>
      <c r="J102" s="6"/>
      <c r="K102" s="6"/>
      <c r="L102" s="6"/>
    </row>
    <row r="103" spans="2:38" s="3" customFormat="1">
      <c r="B103" s="3" t="s">
        <v>28</v>
      </c>
      <c r="C103" s="6">
        <f t="shared" ref="C103" si="71">SUM(C95:C102)</f>
        <v>3308</v>
      </c>
      <c r="D103" s="6"/>
      <c r="E103" s="6"/>
      <c r="F103" s="6"/>
      <c r="G103" s="6"/>
      <c r="H103" s="6"/>
      <c r="I103" s="6"/>
      <c r="J103" s="6"/>
      <c r="K103" s="6"/>
      <c r="L103" s="6"/>
      <c r="V103" s="3" t="e">
        <f>SUM(#REF!)</f>
        <v>#REF!</v>
      </c>
      <c r="W103" s="3" t="e">
        <f>SUM(#REF!)</f>
        <v>#REF!</v>
      </c>
      <c r="X103" s="3">
        <f>SUM(C103:D103)</f>
        <v>3308</v>
      </c>
    </row>
    <row r="104" spans="2:38" s="3" customFormat="1">
      <c r="C104" s="6"/>
      <c r="D104" s="6"/>
      <c r="E104" s="6"/>
      <c r="F104" s="6"/>
      <c r="G104" s="6"/>
      <c r="H104" s="6"/>
      <c r="I104" s="6"/>
      <c r="J104" s="6"/>
      <c r="K104" s="6"/>
      <c r="L104" s="6"/>
    </row>
    <row r="105" spans="2:38" s="3" customFormat="1">
      <c r="B105" s="3" t="s">
        <v>47</v>
      </c>
      <c r="C105" s="6">
        <v>2460</v>
      </c>
      <c r="D105" s="6"/>
      <c r="E105" s="6"/>
      <c r="F105" s="6"/>
      <c r="G105" s="6"/>
      <c r="H105" s="6"/>
      <c r="I105" s="6"/>
      <c r="J105" s="6"/>
      <c r="K105" s="6"/>
      <c r="L105" s="6"/>
      <c r="V105" s="3" t="e">
        <f>SUM(#REF!)</f>
        <v>#REF!</v>
      </c>
      <c r="W105" s="3" t="e">
        <f>SUM(#REF!)</f>
        <v>#REF!</v>
      </c>
      <c r="X105" s="3">
        <f>SUM(C105:D105)</f>
        <v>2460</v>
      </c>
    </row>
    <row r="106" spans="2:38" s="3" customFormat="1">
      <c r="B106" s="3" t="s">
        <v>48</v>
      </c>
      <c r="C106" s="6">
        <f t="shared" ref="C106" si="72">C103-C105</f>
        <v>848</v>
      </c>
      <c r="D106" s="6"/>
      <c r="E106" s="6"/>
      <c r="F106" s="6"/>
      <c r="G106" s="6"/>
      <c r="H106" s="6"/>
      <c r="I106" s="6"/>
      <c r="J106" s="6"/>
      <c r="K106" s="6"/>
      <c r="L106" s="6"/>
      <c r="V106" s="3" t="e">
        <f>+V103-V105</f>
        <v>#REF!</v>
      </c>
      <c r="W106" s="3" t="e">
        <f>+W103-W105</f>
        <v>#REF!</v>
      </c>
      <c r="X106" s="3">
        <f>+X103-X105</f>
        <v>848</v>
      </c>
    </row>
    <row r="107" spans="2:38" s="3" customFormat="1" ht="13">
      <c r="B107" s="3" t="s">
        <v>49</v>
      </c>
      <c r="C107" s="8">
        <f>SUM(C106:C106)</f>
        <v>848</v>
      </c>
      <c r="D107" s="8"/>
      <c r="E107" s="8"/>
      <c r="F107" s="8"/>
      <c r="G107" s="6"/>
      <c r="H107" s="6"/>
      <c r="I107" s="6"/>
      <c r="J107" s="6"/>
      <c r="K107" s="6"/>
      <c r="L107" s="6"/>
    </row>
    <row r="108" spans="2:38" s="3" customFormat="1">
      <c r="C108" s="6"/>
      <c r="D108" s="6"/>
      <c r="E108" s="6"/>
      <c r="F108" s="6"/>
      <c r="G108" s="6"/>
      <c r="H108" s="6"/>
      <c r="I108" s="6"/>
      <c r="J108" s="6"/>
      <c r="K108" s="6"/>
      <c r="L108" s="6"/>
    </row>
    <row r="109" spans="2:38" s="3" customFormat="1">
      <c r="B109" s="3" t="s">
        <v>73</v>
      </c>
      <c r="C109" s="6" t="e">
        <f t="shared" ref="C109" si="73">C110-C127</f>
        <v>#REF!</v>
      </c>
      <c r="D109" s="6"/>
      <c r="E109" s="6"/>
      <c r="F109" s="6"/>
      <c r="G109" s="6"/>
      <c r="H109" s="6"/>
      <c r="I109" s="6"/>
      <c r="J109" s="6"/>
      <c r="K109" s="6"/>
      <c r="L109" s="6"/>
      <c r="X109" s="3">
        <f>D109</f>
        <v>0</v>
      </c>
      <c r="Y109" s="3" t="e">
        <f>X109+#REF!</f>
        <v>#REF!</v>
      </c>
      <c r="Z109" s="3" t="e">
        <f>Y109+#REF!</f>
        <v>#REF!</v>
      </c>
      <c r="AA109" s="3" t="e">
        <f>Z109+#REF!</f>
        <v>#REF!</v>
      </c>
      <c r="AB109" s="3" t="e">
        <f>AA109+#REF!</f>
        <v>#REF!</v>
      </c>
      <c r="AC109" s="3" t="e">
        <f>AB109+#REF!</f>
        <v>#REF!</v>
      </c>
      <c r="AD109" s="3" t="e">
        <f>AC109+#REF!</f>
        <v>#REF!</v>
      </c>
      <c r="AE109" s="3" t="e">
        <f>AD109+#REF!</f>
        <v>#REF!</v>
      </c>
      <c r="AF109" s="3" t="e">
        <f>AE109+#REF!</f>
        <v>#REF!</v>
      </c>
      <c r="AG109" s="3" t="e">
        <f>AF109+#REF!</f>
        <v>#REF!</v>
      </c>
      <c r="AH109" s="3" t="e">
        <f>AG109+#REF!</f>
        <v>#REF!</v>
      </c>
      <c r="AI109" s="3" t="e">
        <f>AH109+#REF!</f>
        <v>#REF!</v>
      </c>
      <c r="AJ109" s="3" t="e">
        <f>AI109+#REF!</f>
        <v>#REF!</v>
      </c>
    </row>
    <row r="110" spans="2:38" s="3" customFormat="1">
      <c r="B110" s="3" t="s">
        <v>3</v>
      </c>
      <c r="C110" s="6" t="e">
        <f>#REF!+#REF!</f>
        <v>#REF!</v>
      </c>
      <c r="D110" s="6"/>
      <c r="E110" s="6"/>
      <c r="F110" s="6"/>
      <c r="G110" s="6"/>
      <c r="H110" s="6"/>
      <c r="I110" s="6"/>
      <c r="J110" s="6"/>
      <c r="K110" s="6"/>
      <c r="L110" s="6"/>
    </row>
    <row r="111" spans="2:38" s="3" customFormat="1">
      <c r="B111" s="3" t="s">
        <v>29</v>
      </c>
      <c r="C111" s="6"/>
      <c r="D111" s="6"/>
      <c r="E111" s="6"/>
      <c r="F111" s="6"/>
      <c r="G111" s="6"/>
      <c r="H111" s="6"/>
      <c r="I111" s="6"/>
      <c r="J111" s="6"/>
      <c r="K111" s="6"/>
      <c r="L111" s="6"/>
    </row>
    <row r="112" spans="2:38" s="3" customFormat="1">
      <c r="B112" s="3" t="s">
        <v>25</v>
      </c>
      <c r="C112" s="6"/>
      <c r="D112" s="6"/>
      <c r="E112" s="6"/>
      <c r="F112" s="6"/>
      <c r="G112" s="6"/>
      <c r="H112" s="6"/>
      <c r="I112" s="6"/>
      <c r="J112" s="6"/>
      <c r="K112" s="6"/>
      <c r="L112" s="6"/>
    </row>
    <row r="113" spans="2:12" s="3" customFormat="1">
      <c r="B113" s="3" t="s">
        <v>30</v>
      </c>
      <c r="C113" s="6"/>
      <c r="D113" s="6"/>
      <c r="E113" s="6"/>
      <c r="F113" s="6"/>
      <c r="G113" s="6"/>
      <c r="H113" s="6"/>
      <c r="I113" s="6"/>
      <c r="J113" s="6"/>
      <c r="K113" s="6"/>
      <c r="L113" s="6"/>
    </row>
    <row r="114" spans="2:12" s="3" customFormat="1">
      <c r="B114" s="3" t="s">
        <v>31</v>
      </c>
      <c r="C114" s="6"/>
      <c r="D114" s="6"/>
      <c r="E114" s="6"/>
      <c r="F114" s="6"/>
      <c r="G114" s="6"/>
      <c r="H114" s="6"/>
      <c r="I114" s="6"/>
      <c r="J114" s="6"/>
      <c r="K114" s="6"/>
      <c r="L114" s="6"/>
    </row>
    <row r="115" spans="2:12" s="3" customFormat="1">
      <c r="B115" s="3" t="s">
        <v>32</v>
      </c>
      <c r="C115" s="6"/>
      <c r="D115" s="6"/>
      <c r="E115" s="6"/>
      <c r="F115" s="6"/>
      <c r="G115" s="6"/>
      <c r="H115" s="6"/>
      <c r="I115" s="6"/>
      <c r="J115" s="6"/>
      <c r="K115" s="6"/>
      <c r="L115" s="6"/>
    </row>
    <row r="116" spans="2:12" s="3" customFormat="1">
      <c r="B116" s="3" t="s">
        <v>33</v>
      </c>
      <c r="C116" s="6"/>
      <c r="D116" s="6"/>
      <c r="E116" s="6"/>
      <c r="F116" s="6"/>
      <c r="G116" s="6"/>
      <c r="H116" s="6"/>
      <c r="I116" s="6"/>
      <c r="J116" s="6"/>
      <c r="K116" s="6"/>
      <c r="L116" s="6"/>
    </row>
    <row r="117" spans="2:12" s="3" customFormat="1">
      <c r="B117" s="3" t="s">
        <v>34</v>
      </c>
      <c r="C117" s="6"/>
      <c r="D117" s="6"/>
      <c r="E117" s="6"/>
      <c r="F117" s="6"/>
      <c r="G117" s="6"/>
      <c r="H117" s="6"/>
      <c r="I117" s="6"/>
      <c r="J117" s="6"/>
      <c r="K117" s="6"/>
      <c r="L117" s="6"/>
    </row>
    <row r="118" spans="2:12" s="3" customFormat="1">
      <c r="B118" s="3" t="s">
        <v>35</v>
      </c>
      <c r="C118" s="6"/>
      <c r="D118" s="6"/>
      <c r="E118" s="6"/>
      <c r="F118" s="6"/>
      <c r="G118" s="6"/>
      <c r="H118" s="6"/>
      <c r="I118" s="6"/>
      <c r="J118" s="6"/>
      <c r="K118" s="6"/>
      <c r="L118" s="6"/>
    </row>
    <row r="119" spans="2:12" s="3" customFormat="1">
      <c r="B119" s="3" t="s">
        <v>36</v>
      </c>
      <c r="C119" s="6"/>
      <c r="D119" s="6"/>
      <c r="E119" s="6"/>
      <c r="F119" s="6"/>
      <c r="G119" s="6"/>
      <c r="H119" s="6"/>
      <c r="I119" s="6"/>
      <c r="J119" s="6"/>
      <c r="K119" s="6"/>
      <c r="L119" s="6"/>
    </row>
    <row r="120" spans="2:12" s="3" customFormat="1">
      <c r="B120" s="3" t="s">
        <v>37</v>
      </c>
      <c r="C120" s="6"/>
      <c r="D120" s="6"/>
      <c r="E120" s="6"/>
      <c r="F120" s="6"/>
      <c r="G120" s="6"/>
      <c r="H120" s="6"/>
      <c r="I120" s="6"/>
      <c r="J120" s="6"/>
      <c r="K120" s="6"/>
      <c r="L120" s="6"/>
    </row>
    <row r="121" spans="2:12" s="3" customFormat="1">
      <c r="B121" s="3" t="s">
        <v>38</v>
      </c>
      <c r="C121" s="6" t="e">
        <f t="shared" ref="C121" si="74">SUM(C110:C120)</f>
        <v>#REF!</v>
      </c>
      <c r="D121" s="6"/>
      <c r="E121" s="6"/>
      <c r="F121" s="6"/>
      <c r="G121" s="6"/>
      <c r="H121" s="6"/>
      <c r="I121" s="6"/>
      <c r="J121" s="6"/>
      <c r="K121" s="6"/>
      <c r="L121" s="6"/>
    </row>
    <row r="122" spans="2:12">
      <c r="E122" s="6"/>
      <c r="F122" s="6"/>
    </row>
    <row r="123" spans="2:12">
      <c r="B123" s="2" t="s">
        <v>39</v>
      </c>
      <c r="D123" s="6"/>
      <c r="E123" s="6"/>
      <c r="F123" s="6"/>
    </row>
    <row r="124" spans="2:12">
      <c r="B124" s="2" t="s">
        <v>40</v>
      </c>
      <c r="D124" s="6"/>
      <c r="E124" s="6"/>
      <c r="F124" s="6"/>
    </row>
    <row r="125" spans="2:12">
      <c r="B125" s="2" t="s">
        <v>41</v>
      </c>
      <c r="D125" s="6"/>
      <c r="E125" s="6"/>
      <c r="F125" s="6"/>
    </row>
    <row r="126" spans="2:12">
      <c r="B126" s="2" t="s">
        <v>42</v>
      </c>
      <c r="D126" s="6"/>
      <c r="E126" s="6"/>
      <c r="F126" s="6"/>
    </row>
    <row r="127" spans="2:12">
      <c r="B127" s="2" t="s">
        <v>4</v>
      </c>
      <c r="C127" s="6"/>
      <c r="D127" s="6"/>
      <c r="E127" s="6"/>
      <c r="F127" s="6"/>
      <c r="G127" s="6"/>
      <c r="H127" s="6"/>
      <c r="I127" s="6"/>
      <c r="J127" s="6"/>
      <c r="K127" s="6"/>
      <c r="L127" s="6"/>
    </row>
    <row r="128" spans="2:12">
      <c r="B128" s="2" t="s">
        <v>43</v>
      </c>
      <c r="D128" s="6"/>
      <c r="E128" s="6"/>
      <c r="F128" s="6"/>
    </row>
    <row r="129" spans="2:36">
      <c r="B129" s="2" t="s">
        <v>44</v>
      </c>
      <c r="D129" s="6"/>
      <c r="E129" s="6"/>
      <c r="F129" s="6"/>
    </row>
    <row r="130" spans="2:36">
      <c r="B130" s="2" t="s">
        <v>45</v>
      </c>
      <c r="D130" s="6"/>
      <c r="E130" s="6"/>
      <c r="F130" s="6"/>
    </row>
    <row r="132" spans="2:36">
      <c r="B132" s="2" t="s">
        <v>89</v>
      </c>
      <c r="D132" s="6"/>
      <c r="E132" s="6"/>
      <c r="F132" s="6"/>
      <c r="W132" s="3">
        <v>2913</v>
      </c>
      <c r="X132" s="3">
        <v>3536</v>
      </c>
    </row>
    <row r="133" spans="2:36">
      <c r="B133" s="2" t="s">
        <v>92</v>
      </c>
      <c r="D133" s="6"/>
      <c r="E133" s="6"/>
      <c r="F133" s="6"/>
      <c r="W133" s="3">
        <v>1178</v>
      </c>
      <c r="X133" s="3">
        <v>1201</v>
      </c>
      <c r="Y133" s="3">
        <f>+Y41*Y138*8/1000</f>
        <v>451.06917120000003</v>
      </c>
      <c r="Z133" s="3">
        <f>+Z41*Z138*8/1000</f>
        <v>1467.19379456</v>
      </c>
      <c r="AA133" s="3">
        <f>+AA41*AA138*8/1000</f>
        <v>2292.4903039999999</v>
      </c>
      <c r="AB133" s="3">
        <f>+AB41*AB138*8/1000</f>
        <v>3301.1860377599996</v>
      </c>
      <c r="AC133" s="3">
        <f>+AC41*AC138*8/1000</f>
        <v>4621.660452864</v>
      </c>
      <c r="AD133" s="3">
        <f>+AD41*AD138*8/1000</f>
        <v>6074.1823094783986</v>
      </c>
      <c r="AE133" s="3">
        <f>+AE41*AE138*8/1000</f>
        <v>7516.8006079795186</v>
      </c>
      <c r="AF133" s="3">
        <f>+AF41*AF138*8/1000</f>
        <v>8111.8806561112315</v>
      </c>
      <c r="AG133" s="3">
        <f>+AG41*AG138*8/1000</f>
        <v>8747.6767075361658</v>
      </c>
      <c r="AH133" s="3">
        <f>+AH41*AH138*8/1000</f>
        <v>9426.772662463316</v>
      </c>
      <c r="AI133" s="3">
        <f>+AI41*AI138*8/1000</f>
        <v>10151.909021114341</v>
      </c>
      <c r="AJ133" s="3">
        <f>+AJ41*AJ138*8/1000</f>
        <v>10925.99208397431</v>
      </c>
    </row>
    <row r="134" spans="2:36">
      <c r="B134" s="2" t="s">
        <v>93</v>
      </c>
      <c r="D134" s="6"/>
      <c r="E134" s="6"/>
      <c r="F134" s="6"/>
      <c r="W134" s="3">
        <v>580</v>
      </c>
      <c r="X134" s="3">
        <v>595</v>
      </c>
    </row>
    <row r="135" spans="2:36">
      <c r="D135" s="6"/>
      <c r="E135" s="6"/>
      <c r="F135" s="6"/>
      <c r="W135" s="3"/>
      <c r="X135" s="3"/>
    </row>
    <row r="136" spans="2:36" ht="13">
      <c r="B136" s="2" t="s">
        <v>94</v>
      </c>
      <c r="D136" s="6"/>
      <c r="E136" s="6"/>
      <c r="F136" s="6"/>
      <c r="W136" s="3"/>
      <c r="X136" s="10">
        <f>+X133/8</f>
        <v>150.125</v>
      </c>
      <c r="Y136" s="3">
        <f>+Y133/8</f>
        <v>56.383646400000003</v>
      </c>
      <c r="Z136" s="3">
        <f t="shared" ref="Z136:AE136" si="75">+Z133/8</f>
        <v>183.39922432</v>
      </c>
      <c r="AA136" s="3">
        <f t="shared" si="75"/>
        <v>286.56128799999999</v>
      </c>
      <c r="AB136" s="3">
        <f t="shared" si="75"/>
        <v>412.64825471999995</v>
      </c>
      <c r="AC136" s="3">
        <f t="shared" si="75"/>
        <v>577.707556608</v>
      </c>
      <c r="AD136" s="3">
        <f t="shared" si="75"/>
        <v>759.27278868479982</v>
      </c>
      <c r="AE136" s="3">
        <f t="shared" si="75"/>
        <v>939.60007599743983</v>
      </c>
      <c r="AF136" s="3">
        <f t="shared" ref="AF136:AJ136" si="76">+AF133/8</f>
        <v>1013.9850820139039</v>
      </c>
      <c r="AG136" s="3">
        <f t="shared" si="76"/>
        <v>1093.4595884420207</v>
      </c>
      <c r="AH136" s="3">
        <f t="shared" si="76"/>
        <v>1178.3465828079145</v>
      </c>
      <c r="AI136" s="3">
        <f t="shared" si="76"/>
        <v>1268.9886276392926</v>
      </c>
      <c r="AJ136" s="3">
        <f t="shared" si="76"/>
        <v>1365.7490104967887</v>
      </c>
    </row>
    <row r="137" spans="2:36">
      <c r="B137" s="2" t="s">
        <v>95</v>
      </c>
      <c r="X137" s="11">
        <f>+X132/W132-1</f>
        <v>0.21386886371438374</v>
      </c>
    </row>
    <row r="138" spans="2:36">
      <c r="B138" s="2" t="s">
        <v>96</v>
      </c>
      <c r="X138" s="11">
        <f>+X136*1000/X41</f>
        <v>0.34506814018328547</v>
      </c>
      <c r="Y138" s="11">
        <v>0.12</v>
      </c>
      <c r="Z138" s="11">
        <v>0.16</v>
      </c>
      <c r="AA138" s="11">
        <v>0.2</v>
      </c>
      <c r="AB138" s="11">
        <v>0.24</v>
      </c>
      <c r="AC138" s="11">
        <v>0.28000000000000003</v>
      </c>
      <c r="AD138" s="11">
        <v>0.32</v>
      </c>
      <c r="AE138" s="11">
        <v>0.36</v>
      </c>
      <c r="AF138" s="11">
        <v>0.37</v>
      </c>
      <c r="AG138" s="11">
        <v>0.38</v>
      </c>
      <c r="AH138" s="11">
        <v>0.39</v>
      </c>
      <c r="AI138" s="11">
        <v>0.4</v>
      </c>
      <c r="AJ138" s="11">
        <v>0.41</v>
      </c>
    </row>
  </sheetData>
  <hyperlinks>
    <hyperlink ref="A1" location="Main!A1" display="Main" xr:uid="{997EC1A7-4D47-4E8D-919D-603FB3C9B2D7}"/>
  </hyperlinks>
  <pageMargins left="0.7" right="0.7" top="0.75" bottom="0.75" header="0.3" footer="0.3"/>
  <pageSetup orientation="portrait" horizontalDpi="0" verticalDpi="0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75FF4-BC21-4380-828B-9AD627B5D152}">
  <dimension ref="A1:E14"/>
  <sheetViews>
    <sheetView zoomScale="205" zoomScaleNormal="205" workbookViewId="0">
      <selection sqref="A1:XFD1048576"/>
    </sheetView>
  </sheetViews>
  <sheetFormatPr defaultColWidth="9.1796875" defaultRowHeight="12.5"/>
  <cols>
    <col min="1" max="1" width="5" style="2" bestFit="1" customWidth="1"/>
    <col min="2" max="2" width="9.1796875" style="2"/>
    <col min="3" max="3" width="11.7265625" style="2" customWidth="1"/>
    <col min="4" max="16384" width="9.1796875" style="2"/>
  </cols>
  <sheetData>
    <row r="1" spans="1:5" ht="14.5">
      <c r="A1" s="15" t="s">
        <v>6</v>
      </c>
    </row>
    <row r="4" spans="1:5">
      <c r="B4" s="2" t="s">
        <v>56</v>
      </c>
      <c r="C4" s="2" t="s">
        <v>57</v>
      </c>
      <c r="D4" s="2">
        <v>100000</v>
      </c>
    </row>
    <row r="5" spans="1:5">
      <c r="C5" s="2" t="s">
        <v>58</v>
      </c>
      <c r="D5" s="2">
        <v>550000</v>
      </c>
    </row>
    <row r="6" spans="1:5">
      <c r="B6" s="2" t="s">
        <v>59</v>
      </c>
      <c r="C6" s="2" t="s">
        <v>58</v>
      </c>
      <c r="D6" s="2">
        <v>750000</v>
      </c>
      <c r="E6" s="2">
        <v>950000</v>
      </c>
    </row>
    <row r="7" spans="1:5">
      <c r="B7" s="2" t="s">
        <v>60</v>
      </c>
      <c r="C7" s="2" t="s">
        <v>61</v>
      </c>
      <c r="D7" s="2">
        <v>350000</v>
      </c>
      <c r="E7" s="2">
        <v>375000</v>
      </c>
    </row>
    <row r="8" spans="1:5">
      <c r="B8" s="2" t="s">
        <v>62</v>
      </c>
      <c r="C8" s="2" t="s">
        <v>61</v>
      </c>
      <c r="D8" s="2">
        <v>250000</v>
      </c>
    </row>
    <row r="9" spans="1:5">
      <c r="C9" s="2" t="s">
        <v>63</v>
      </c>
      <c r="D9" s="2">
        <v>300000</v>
      </c>
      <c r="E9" s="2">
        <v>125000</v>
      </c>
    </row>
    <row r="10" spans="1:5">
      <c r="B10" s="2" t="s">
        <v>64</v>
      </c>
      <c r="C10" s="2" t="s">
        <v>65</v>
      </c>
      <c r="D10" s="2">
        <v>300000</v>
      </c>
    </row>
    <row r="11" spans="1:5">
      <c r="C11" s="2" t="s">
        <v>66</v>
      </c>
      <c r="D11" s="2">
        <v>300000</v>
      </c>
    </row>
    <row r="12" spans="1:5">
      <c r="C12" s="2" t="s">
        <v>67</v>
      </c>
      <c r="D12" s="2">
        <v>300000</v>
      </c>
    </row>
    <row r="13" spans="1:5">
      <c r="B13" s="2" t="s">
        <v>90</v>
      </c>
    </row>
    <row r="14" spans="1:5">
      <c r="B14" s="2" t="s">
        <v>91</v>
      </c>
    </row>
  </sheetData>
  <hyperlinks>
    <hyperlink ref="A1" location="Main!A1" display="Main" xr:uid="{F7C304BC-0D0C-409F-91DB-720C6A18CEC1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81E2A2-167A-4FDD-9F1F-646C0DABC3EE}">
  <dimension ref="A1"/>
  <sheetViews>
    <sheetView zoomScale="205" zoomScaleNormal="205" workbookViewId="0">
      <selection activeCell="B5" sqref="B5"/>
    </sheetView>
  </sheetViews>
  <sheetFormatPr defaultColWidth="9.1796875" defaultRowHeight="12.5"/>
  <cols>
    <col min="1" max="1" width="5" style="1" bestFit="1" customWidth="1"/>
    <col min="2" max="16384" width="9.1796875" style="1"/>
  </cols>
  <sheetData>
    <row r="1" spans="1:1">
      <c r="A1" s="1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</vt:lpstr>
      <vt:lpstr>Parts</vt:lpstr>
      <vt:lpstr>Model</vt:lpstr>
      <vt:lpstr>Manufacturing</vt:lpstr>
      <vt:lpstr>IP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corey</dc:creator>
  <cp:keywords/>
  <dc:description/>
  <cp:lastModifiedBy>Corey Christner</cp:lastModifiedBy>
  <cp:revision/>
  <dcterms:created xsi:type="dcterms:W3CDTF">2022-07-01T16:14:29Z</dcterms:created>
  <dcterms:modified xsi:type="dcterms:W3CDTF">2024-11-23T19:48:35Z</dcterms:modified>
  <cp:category/>
  <cp:contentStatus/>
</cp:coreProperties>
</file>