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32906c935fa0eb4f/models/AGCO/"/>
    </mc:Choice>
  </mc:AlternateContent>
  <xr:revisionPtr revIDLastSave="1235" documentId="11_F25DC773A252ABDACC104889191A52245ADE58E6" xr6:coauthVersionLast="47" xr6:coauthVersionMax="47" xr10:uidLastSave="{C56B810D-99FC-4C98-B6A1-BD8059CAAF96}"/>
  <bookViews>
    <workbookView xWindow="19800" yWindow="1330" windowWidth="17580" windowHeight="19410" activeTab="1" xr2:uid="{00000000-000D-0000-FFFF-FFFF00000000}"/>
  </bookViews>
  <sheets>
    <sheet name="main" sheetId="1" r:id="rId1"/>
    <sheet name="model" sheetId="2" r:id="rId2"/>
    <sheet name="product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1" i="2" l="1"/>
  <c r="B121" i="2"/>
  <c r="B123" i="2" s="1"/>
  <c r="C131" i="2"/>
  <c r="C121" i="2"/>
  <c r="C123" i="2" s="1"/>
  <c r="D131" i="2"/>
  <c r="D121" i="2"/>
  <c r="D123" i="2" s="1"/>
  <c r="D105" i="2"/>
  <c r="D112" i="2" s="1"/>
  <c r="C105" i="2"/>
  <c r="C112" i="2" s="1"/>
  <c r="B105" i="2"/>
  <c r="B112" i="2" s="1"/>
  <c r="D87" i="2"/>
  <c r="C87" i="2"/>
  <c r="B87" i="2"/>
  <c r="B96" i="2" s="1"/>
  <c r="E63" i="2"/>
  <c r="L63" i="2" s="1"/>
  <c r="E62" i="2"/>
  <c r="L62" i="2" s="1"/>
  <c r="E52" i="2"/>
  <c r="L52" i="2" s="1"/>
  <c r="E47" i="2"/>
  <c r="L47" i="2" s="1"/>
  <c r="E46" i="2"/>
  <c r="L46" i="2" s="1"/>
  <c r="E45" i="2"/>
  <c r="L45" i="2" s="1"/>
  <c r="E43" i="2"/>
  <c r="L43" i="2" s="1"/>
  <c r="E42" i="2"/>
  <c r="L42" i="2" s="1"/>
  <c r="E39" i="2"/>
  <c r="L39" i="2" s="1"/>
  <c r="E38" i="2"/>
  <c r="L38" i="2" s="1"/>
  <c r="E37" i="2"/>
  <c r="E36" i="2"/>
  <c r="L36" i="2" s="1"/>
  <c r="E35" i="2"/>
  <c r="L35" i="2" s="1"/>
  <c r="E34" i="2"/>
  <c r="L34" i="2" s="1"/>
  <c r="E32" i="2"/>
  <c r="L32" i="2" s="1"/>
  <c r="E31" i="2"/>
  <c r="L31" i="2" s="1"/>
  <c r="K131" i="2"/>
  <c r="K121" i="2"/>
  <c r="K123" i="2" s="1"/>
  <c r="K105" i="2"/>
  <c r="K112" i="2" s="1"/>
  <c r="K87" i="2"/>
  <c r="K96" i="2" s="1"/>
  <c r="K20" i="2"/>
  <c r="K73" i="2"/>
  <c r="K33" i="2"/>
  <c r="K40" i="2"/>
  <c r="K41" i="2" s="1"/>
  <c r="K44" i="2" s="1"/>
  <c r="K48" i="2" s="1"/>
  <c r="K29" i="2"/>
  <c r="K57" i="2" s="1"/>
  <c r="K75" i="2" s="1"/>
  <c r="K27" i="2"/>
  <c r="M52" i="2"/>
  <c r="L113" i="2"/>
  <c r="L111" i="2"/>
  <c r="L94" i="2"/>
  <c r="I87" i="2"/>
  <c r="H87" i="2"/>
  <c r="H96" i="2" s="1"/>
  <c r="I105" i="2"/>
  <c r="I112" i="2" s="1"/>
  <c r="H105" i="2"/>
  <c r="H112" i="2" s="1"/>
  <c r="G105" i="2"/>
  <c r="G112" i="2" s="1"/>
  <c r="F105" i="2"/>
  <c r="F112" i="2" s="1"/>
  <c r="E105" i="2"/>
  <c r="E112" i="2" s="1"/>
  <c r="L104" i="2"/>
  <c r="G87" i="2"/>
  <c r="F87" i="2"/>
  <c r="F96" i="2" s="1"/>
  <c r="E87" i="2"/>
  <c r="E96" i="2" s="1"/>
  <c r="L86" i="2"/>
  <c r="C72" i="2"/>
  <c r="D72" i="2" s="1"/>
  <c r="E72" i="2" s="1"/>
  <c r="C71" i="2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C61" i="2"/>
  <c r="D61" i="2" s="1"/>
  <c r="E61" i="2" s="1"/>
  <c r="C59" i="2"/>
  <c r="D59" i="2" s="1"/>
  <c r="E59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M67" i="2" s="1"/>
  <c r="G66" i="2"/>
  <c r="H66" i="2" s="1"/>
  <c r="G65" i="2"/>
  <c r="H65" i="2" s="1"/>
  <c r="G64" i="2"/>
  <c r="G63" i="2"/>
  <c r="H63" i="2" s="1"/>
  <c r="G62" i="2"/>
  <c r="H62" i="2" s="1"/>
  <c r="G61" i="2"/>
  <c r="H61" i="2" s="1"/>
  <c r="G59" i="2"/>
  <c r="H59" i="2" s="1"/>
  <c r="L130" i="2"/>
  <c r="L129" i="2"/>
  <c r="L128" i="2"/>
  <c r="L127" i="2"/>
  <c r="L120" i="2"/>
  <c r="L119" i="2"/>
  <c r="L118" i="2"/>
  <c r="L117" i="2"/>
  <c r="L116" i="2"/>
  <c r="L110" i="2"/>
  <c r="L109" i="2"/>
  <c r="L108" i="2"/>
  <c r="L107" i="2"/>
  <c r="L106" i="2"/>
  <c r="L103" i="2"/>
  <c r="L102" i="2"/>
  <c r="L101" i="2"/>
  <c r="L99" i="2"/>
  <c r="L93" i="2"/>
  <c r="L92" i="2"/>
  <c r="L91" i="2"/>
  <c r="L90" i="2"/>
  <c r="L89" i="2"/>
  <c r="L88" i="2"/>
  <c r="L85" i="2"/>
  <c r="L84" i="2"/>
  <c r="L83" i="2"/>
  <c r="L82" i="2"/>
  <c r="M130" i="2"/>
  <c r="M129" i="2"/>
  <c r="M128" i="2"/>
  <c r="M127" i="2"/>
  <c r="M120" i="2"/>
  <c r="M119" i="2"/>
  <c r="M118" i="2"/>
  <c r="M117" i="2"/>
  <c r="M116" i="2"/>
  <c r="M47" i="2"/>
  <c r="M46" i="2"/>
  <c r="M45" i="2"/>
  <c r="M43" i="2"/>
  <c r="M42" i="2"/>
  <c r="M39" i="2"/>
  <c r="M38" i="2"/>
  <c r="M37" i="2"/>
  <c r="M36" i="2"/>
  <c r="M35" i="2"/>
  <c r="M34" i="2"/>
  <c r="M32" i="2"/>
  <c r="M31" i="2"/>
  <c r="M26" i="2"/>
  <c r="M25" i="2"/>
  <c r="M24" i="2"/>
  <c r="M23" i="2"/>
  <c r="M19" i="2"/>
  <c r="M18" i="2"/>
  <c r="M17" i="2"/>
  <c r="M29" i="2"/>
  <c r="M57" i="2" s="1"/>
  <c r="M75" i="2" s="1"/>
  <c r="M16" i="2"/>
  <c r="L26" i="2"/>
  <c r="L25" i="2"/>
  <c r="L24" i="2"/>
  <c r="L23" i="2"/>
  <c r="L19" i="2"/>
  <c r="L18" i="2"/>
  <c r="L17" i="2"/>
  <c r="L16" i="2"/>
  <c r="I131" i="2"/>
  <c r="H131" i="2"/>
  <c r="I121" i="2"/>
  <c r="I123" i="2" s="1"/>
  <c r="H121" i="2"/>
  <c r="H123" i="2" s="1"/>
  <c r="I73" i="2"/>
  <c r="I40" i="2"/>
  <c r="I41" i="2" s="1"/>
  <c r="I44" i="2" s="1"/>
  <c r="I48" i="2" s="1"/>
  <c r="H40" i="2"/>
  <c r="H41" i="2" s="1"/>
  <c r="H44" i="2" s="1"/>
  <c r="H48" i="2" s="1"/>
  <c r="I33" i="2"/>
  <c r="H33" i="2"/>
  <c r="I29" i="2"/>
  <c r="I57" i="2" s="1"/>
  <c r="I75" i="2" s="1"/>
  <c r="H29" i="2"/>
  <c r="H57" i="2" s="1"/>
  <c r="H75" i="2" s="1"/>
  <c r="I27" i="2"/>
  <c r="H27" i="2"/>
  <c r="I20" i="2"/>
  <c r="H20" i="2"/>
  <c r="L29" i="2"/>
  <c r="L57" i="2" s="1"/>
  <c r="L75" i="2" s="1"/>
  <c r="G40" i="2"/>
  <c r="G41" i="2" s="1"/>
  <c r="G44" i="2" s="1"/>
  <c r="G48" i="2" s="1"/>
  <c r="G131" i="2"/>
  <c r="G121" i="2"/>
  <c r="G123" i="2" s="1"/>
  <c r="G33" i="2"/>
  <c r="G29" i="2"/>
  <c r="G57" i="2" s="1"/>
  <c r="G75" i="2" s="1"/>
  <c r="G27" i="2"/>
  <c r="G20" i="2"/>
  <c r="F29" i="2"/>
  <c r="F57" i="2" s="1"/>
  <c r="F75" i="2" s="1"/>
  <c r="E29" i="2"/>
  <c r="E57" i="2" s="1"/>
  <c r="E75" i="2" s="1"/>
  <c r="D29" i="2"/>
  <c r="D57" i="2" s="1"/>
  <c r="D75" i="2" s="1"/>
  <c r="C29" i="2"/>
  <c r="C57" i="2" s="1"/>
  <c r="C75" i="2" s="1"/>
  <c r="B29" i="2"/>
  <c r="B57" i="2" s="1"/>
  <c r="B75" i="2" s="1"/>
  <c r="B27" i="2"/>
  <c r="F27" i="2"/>
  <c r="E27" i="2"/>
  <c r="D27" i="2"/>
  <c r="C27" i="2"/>
  <c r="F20" i="2"/>
  <c r="E20" i="2"/>
  <c r="D20" i="2"/>
  <c r="C20" i="2"/>
  <c r="B20" i="2"/>
  <c r="E131" i="2"/>
  <c r="F131" i="2"/>
  <c r="E121" i="2"/>
  <c r="E123" i="2" s="1"/>
  <c r="F121" i="2"/>
  <c r="F123" i="2" s="1"/>
  <c r="F40" i="2"/>
  <c r="F41" i="2" s="1"/>
  <c r="F44" i="2" s="1"/>
  <c r="F48" i="2" s="1"/>
  <c r="D40" i="2"/>
  <c r="D41" i="2" s="1"/>
  <c r="D44" i="2" s="1"/>
  <c r="D48" i="2" s="1"/>
  <c r="C40" i="2"/>
  <c r="C41" i="2" s="1"/>
  <c r="C44" i="2" s="1"/>
  <c r="C48" i="2" s="1"/>
  <c r="D33" i="2"/>
  <c r="C33" i="2"/>
  <c r="F60" i="2"/>
  <c r="F73" i="2" s="1"/>
  <c r="B60" i="2"/>
  <c r="B73" i="2" s="1"/>
  <c r="F33" i="2"/>
  <c r="B40" i="2"/>
  <c r="B41" i="2" s="1"/>
  <c r="B33" i="2"/>
  <c r="D124" i="2" l="1"/>
  <c r="B124" i="2"/>
  <c r="C124" i="2"/>
  <c r="B78" i="2"/>
  <c r="C79" i="2"/>
  <c r="C78" i="2"/>
  <c r="D78" i="2"/>
  <c r="B79" i="2"/>
  <c r="H124" i="2"/>
  <c r="B77" i="2"/>
  <c r="C96" i="2"/>
  <c r="C77" i="2" s="1"/>
  <c r="D96" i="2"/>
  <c r="D77" i="2"/>
  <c r="D79" i="2"/>
  <c r="F124" i="2"/>
  <c r="E33" i="2"/>
  <c r="E124" i="2"/>
  <c r="G124" i="2"/>
  <c r="K124" i="2"/>
  <c r="D71" i="2"/>
  <c r="E71" i="2" s="1"/>
  <c r="E64" i="2"/>
  <c r="L64" i="2" s="1"/>
  <c r="E40" i="2"/>
  <c r="E41" i="2" s="1"/>
  <c r="E44" i="2" s="1"/>
  <c r="E48" i="2" s="1"/>
  <c r="E51" i="2" s="1"/>
  <c r="L37" i="2"/>
  <c r="L40" i="2" s="1"/>
  <c r="L41" i="2" s="1"/>
  <c r="L44" i="2" s="1"/>
  <c r="L48" i="2" s="1"/>
  <c r="K50" i="2"/>
  <c r="K51" i="2"/>
  <c r="K79" i="2"/>
  <c r="K78" i="2"/>
  <c r="K77" i="2"/>
  <c r="L61" i="2"/>
  <c r="H64" i="2"/>
  <c r="M64" i="2" s="1"/>
  <c r="M68" i="2"/>
  <c r="L72" i="2"/>
  <c r="L70" i="2"/>
  <c r="L69" i="2"/>
  <c r="L68" i="2"/>
  <c r="L67" i="2"/>
  <c r="L66" i="2"/>
  <c r="L65" i="2"/>
  <c r="L59" i="2"/>
  <c r="M72" i="2"/>
  <c r="M71" i="2"/>
  <c r="M70" i="2"/>
  <c r="M69" i="2"/>
  <c r="M63" i="2"/>
  <c r="M62" i="2"/>
  <c r="M61" i="2"/>
  <c r="M65" i="2"/>
  <c r="M66" i="2"/>
  <c r="M59" i="2"/>
  <c r="L105" i="2"/>
  <c r="L112" i="2" s="1"/>
  <c r="L87" i="2"/>
  <c r="M105" i="2"/>
  <c r="M112" i="2" s="1"/>
  <c r="I79" i="2"/>
  <c r="M87" i="2"/>
  <c r="M96" i="2" s="1"/>
  <c r="M20" i="2"/>
  <c r="C60" i="2"/>
  <c r="L131" i="2"/>
  <c r="L27" i="2"/>
  <c r="M131" i="2"/>
  <c r="L121" i="2"/>
  <c r="L123" i="2" s="1"/>
  <c r="G60" i="2"/>
  <c r="M27" i="2"/>
  <c r="L20" i="2"/>
  <c r="M121" i="2"/>
  <c r="M123" i="2" s="1"/>
  <c r="H79" i="2"/>
  <c r="M40" i="2"/>
  <c r="M41" i="2" s="1"/>
  <c r="M44" i="2" s="1"/>
  <c r="M48" i="2" s="1"/>
  <c r="M33" i="2"/>
  <c r="L33" i="2"/>
  <c r="H51" i="2"/>
  <c r="H50" i="2"/>
  <c r="I50" i="2"/>
  <c r="I51" i="2"/>
  <c r="I124" i="2"/>
  <c r="H77" i="2"/>
  <c r="I96" i="2"/>
  <c r="I77" i="2" s="1"/>
  <c r="H78" i="2"/>
  <c r="I78" i="2"/>
  <c r="E77" i="2"/>
  <c r="F77" i="2"/>
  <c r="G79" i="2"/>
  <c r="G51" i="2"/>
  <c r="G50" i="2"/>
  <c r="G96" i="2"/>
  <c r="G78" i="2"/>
  <c r="E79" i="2"/>
  <c r="F78" i="2"/>
  <c r="F79" i="2"/>
  <c r="E78" i="2"/>
  <c r="F51" i="2"/>
  <c r="F50" i="2"/>
  <c r="D51" i="2"/>
  <c r="D50" i="2"/>
  <c r="C51" i="2"/>
  <c r="C50" i="2"/>
  <c r="B44" i="2"/>
  <c r="L71" i="2" l="1"/>
  <c r="E50" i="2"/>
  <c r="C73" i="2"/>
  <c r="D60" i="2"/>
  <c r="H60" i="2"/>
  <c r="H73" i="2" s="1"/>
  <c r="L124" i="2"/>
  <c r="M78" i="2"/>
  <c r="M79" i="2"/>
  <c r="L79" i="2"/>
  <c r="G73" i="2"/>
  <c r="M124" i="2"/>
  <c r="M77" i="2"/>
  <c r="L96" i="2"/>
  <c r="L77" i="2" s="1"/>
  <c r="L78" i="2"/>
  <c r="M51" i="2"/>
  <c r="M50" i="2"/>
  <c r="L50" i="2"/>
  <c r="L51" i="2"/>
  <c r="B48" i="2"/>
  <c r="B50" i="2" s="1"/>
  <c r="D73" i="2" l="1"/>
  <c r="E60" i="2"/>
  <c r="M60" i="2"/>
  <c r="M73" i="2" s="1"/>
  <c r="B51" i="2"/>
  <c r="E73" i="2" l="1"/>
  <c r="L60" i="2"/>
  <c r="L73" i="2" s="1"/>
  <c r="G7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tc={3F61D815-91EE-4CDB-8BFB-60BE5BFA476F}</author>
    <author>tc={1E3D44E4-9DA2-4E6A-A932-C941FCE37D64}</author>
    <author>tc={B7F2ED1A-30F4-4349-BDF2-FA3C9366E097}</author>
    <author>tc={B06810CB-D0EC-4A30-8A92-8EE7F9FF608D}</author>
    <author>tc={B84333F2-1C93-4D3F-B16F-9AB6CA17A9D3}</author>
    <author>corey</author>
    <author>tc={E4E13984-6499-464A-8B1F-05AEA33A5B67}</author>
    <author>tc={02045E9C-AA93-40D9-8F54-B797361D8711}</author>
    <author>tc={B4525C2A-C590-475A-B17F-1DFB19F0F4F6}</author>
    <author>tc={6523B66B-D265-437A-9D6F-E95C9B1578DD}</author>
  </authors>
  <commentList>
    <comment ref="G39" authorId="0" shapeId="0" xr:uid="{3F61D815-91EE-4CDB-8BFB-60BE5BFA47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42" authorId="1" shapeId="0" xr:uid="{1E3D44E4-9DA2-4E6A-A932-C941FCE37D64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63" authorId="2" shapeId="0" xr:uid="{B7F2ED1A-30F4-4349-BDF2-FA3C9366E09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86" authorId="3" shapeId="0" xr:uid="{B06810CB-D0EC-4A30-8A92-8EE7F9FF608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93" authorId="4" shapeId="0" xr:uid="{B84333F2-1C93-4D3F-B16F-9AB6CA17A9D3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H93" authorId="5" shapeId="0" xr:uid="{BA5495FC-E12A-4139-9B21-E103655D44E7}">
      <text>
        <r>
          <rPr>
            <b/>
            <sz val="9"/>
            <color indexed="81"/>
            <rFont val="Tahoma"/>
            <family val="2"/>
          </rPr>
          <t>corey:</t>
        </r>
        <r>
          <rPr>
            <sz val="9"/>
            <color indexed="81"/>
            <rFont val="Tahoma"/>
            <family val="2"/>
          </rPr>
          <t xml:space="preserve">
Selling Grain &amp; Protein business</t>
        </r>
      </text>
    </comment>
    <comment ref="G104" authorId="6" shapeId="0" xr:uid="{E4E13984-6499-464A-8B1F-05AEA33A5B67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06" authorId="7" shapeId="0" xr:uid="{02045E9C-AA93-40D9-8F54-B797361D8711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ag assets from Trimble via PTx Trimble ptshp</t>
      </text>
    </comment>
    <comment ref="G111" authorId="8" shapeId="0" xr:uid="{B4525C2A-C590-475A-B17F-1DFB19F0F4F6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  <comment ref="G113" authorId="9" shapeId="0" xr:uid="{6523B66B-D265-437A-9D6F-E95C9B157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Selling Grain &amp; Protein business</t>
      </text>
    </comment>
  </commentList>
</comments>
</file>

<file path=xl/sharedStrings.xml><?xml version="1.0" encoding="utf-8"?>
<sst xmlns="http://schemas.openxmlformats.org/spreadsheetml/2006/main" count="160" uniqueCount="139">
  <si>
    <t>Products</t>
  </si>
  <si>
    <t>Tractors</t>
  </si>
  <si>
    <t>Combines</t>
  </si>
  <si>
    <t>Self-propelled sprayers</t>
  </si>
  <si>
    <t>Hay tools</t>
  </si>
  <si>
    <t>Forage equipment</t>
  </si>
  <si>
    <t>Seeding and tillage equipment</t>
  </si>
  <si>
    <t>Implements</t>
  </si>
  <si>
    <t>Grain storage</t>
  </si>
  <si>
    <t>Protien production systems</t>
  </si>
  <si>
    <t>Brands</t>
  </si>
  <si>
    <t>Fendt</t>
  </si>
  <si>
    <t>GSI</t>
  </si>
  <si>
    <t>Massey Ferguson</t>
  </si>
  <si>
    <t>Precision Planting</t>
  </si>
  <si>
    <t>Valtra</t>
  </si>
  <si>
    <t>FUSE</t>
  </si>
  <si>
    <t>Joint/Ptshp</t>
  </si>
  <si>
    <t>Rabobank</t>
  </si>
  <si>
    <t>Trimble</t>
  </si>
  <si>
    <t>Tractors, Combines, Planters, etc.</t>
  </si>
  <si>
    <t>Grain Storage, Bins</t>
  </si>
  <si>
    <t>Tractors, Hay and Forage</t>
  </si>
  <si>
    <t>Aftermarket attachments for Planters, Drill, Sprayer, Combine, Fert Applicators</t>
  </si>
  <si>
    <t>Swedish/Finnish Tractors</t>
  </si>
  <si>
    <t>Gleaner</t>
  </si>
  <si>
    <t>Digital products</t>
  </si>
  <si>
    <t>Financing</t>
  </si>
  <si>
    <t xml:space="preserve">Guidance, steering, application, software, water management. Not brand or equipment specific. </t>
  </si>
  <si>
    <t>Income Statement</t>
  </si>
  <si>
    <t>Sales</t>
  </si>
  <si>
    <t>COGS</t>
  </si>
  <si>
    <t>GP</t>
  </si>
  <si>
    <t>SGA</t>
  </si>
  <si>
    <t>Engineering</t>
  </si>
  <si>
    <t>Amort</t>
  </si>
  <si>
    <t>Restructuring</t>
  </si>
  <si>
    <t>Income from Ops</t>
  </si>
  <si>
    <t>Interest</t>
  </si>
  <si>
    <t>Other Exp</t>
  </si>
  <si>
    <t>PreTax Inc</t>
  </si>
  <si>
    <t>Q123</t>
  </si>
  <si>
    <t>Q124</t>
  </si>
  <si>
    <t>Total Exp w/ COGS</t>
  </si>
  <si>
    <t>Inc affiliates</t>
  </si>
  <si>
    <t>NI</t>
  </si>
  <si>
    <t>Tax</t>
  </si>
  <si>
    <t>Loss affiliates</t>
  </si>
  <si>
    <t>EPS - Basic</t>
  </si>
  <si>
    <t>EPS - Diluted</t>
  </si>
  <si>
    <t>Shares - Basic</t>
  </si>
  <si>
    <t>Shares - Diluted</t>
  </si>
  <si>
    <t>Cash Dividends</t>
  </si>
  <si>
    <t>Reported NI</t>
  </si>
  <si>
    <t>D&amp;A</t>
  </si>
  <si>
    <t>SCE</t>
  </si>
  <si>
    <t>Inc affiliates, net of cash</t>
  </si>
  <si>
    <t>Def Tax Ben</t>
  </si>
  <si>
    <t>Other</t>
  </si>
  <si>
    <t>Delta AR</t>
  </si>
  <si>
    <t>Delta Inventories</t>
  </si>
  <si>
    <t>Delta AP</t>
  </si>
  <si>
    <t>Delta Accr Exp</t>
  </si>
  <si>
    <t>Delta Other Assets</t>
  </si>
  <si>
    <t>Delta Other Libs</t>
  </si>
  <si>
    <t>CFFO</t>
  </si>
  <si>
    <t>Q223</t>
  </si>
  <si>
    <t>Q323</t>
  </si>
  <si>
    <t>Q423</t>
  </si>
  <si>
    <t>Assets</t>
  </si>
  <si>
    <t>Cash</t>
  </si>
  <si>
    <t>AR</t>
  </si>
  <si>
    <t>Inventories</t>
  </si>
  <si>
    <t>Total Curr Assets</t>
  </si>
  <si>
    <t xml:space="preserve">PPE </t>
  </si>
  <si>
    <t>Lease assets</t>
  </si>
  <si>
    <t>Inv in affiliates</t>
  </si>
  <si>
    <t>Def Taxes</t>
  </si>
  <si>
    <t>Intangible</t>
  </si>
  <si>
    <t>Goodwill</t>
  </si>
  <si>
    <t>Total Assets</t>
  </si>
  <si>
    <t>Liabilities</t>
  </si>
  <si>
    <t>AP</t>
  </si>
  <si>
    <t>Accr Exp</t>
  </si>
  <si>
    <t>Other Curr Lib</t>
  </si>
  <si>
    <t>Total Curr Lib</t>
  </si>
  <si>
    <t>LTD</t>
  </si>
  <si>
    <t>Op lease Lib</t>
  </si>
  <si>
    <t>Pension and Ret</t>
  </si>
  <si>
    <t>Def tax Lib</t>
  </si>
  <si>
    <t>Other Noncurr lib</t>
  </si>
  <si>
    <t>Total Lib</t>
  </si>
  <si>
    <t>Equity</t>
  </si>
  <si>
    <t>Pref Stock</t>
  </si>
  <si>
    <t>Common stock</t>
  </si>
  <si>
    <t>Additional paid-in Cap</t>
  </si>
  <si>
    <t>Ret Earnings</t>
  </si>
  <si>
    <t>Accum other loss</t>
  </si>
  <si>
    <t>Total Equity</t>
  </si>
  <si>
    <t>Noncontrolling interests</t>
  </si>
  <si>
    <t>Total Stock Equity</t>
  </si>
  <si>
    <t>Lib+Equity</t>
  </si>
  <si>
    <t>Inventory</t>
  </si>
  <si>
    <t>Finished goods</t>
  </si>
  <si>
    <t>Repair and Replacement parts</t>
  </si>
  <si>
    <t>WIP</t>
  </si>
  <si>
    <t>Raw Materials</t>
  </si>
  <si>
    <t>Total</t>
  </si>
  <si>
    <t>North America</t>
  </si>
  <si>
    <t>South America</t>
  </si>
  <si>
    <t>Europe/MidEast</t>
  </si>
  <si>
    <t>Asia/Pacific/Africa</t>
  </si>
  <si>
    <t>Segments - Income from ops</t>
  </si>
  <si>
    <t>Segments - Net sales</t>
  </si>
  <si>
    <t>WC</t>
  </si>
  <si>
    <t>Leverage</t>
  </si>
  <si>
    <t>Liquidity</t>
  </si>
  <si>
    <t>Impairment charges</t>
  </si>
  <si>
    <t>Loss on bus held for sale</t>
  </si>
  <si>
    <t>Q224</t>
  </si>
  <si>
    <t>Q324</t>
  </si>
  <si>
    <t>Q424</t>
  </si>
  <si>
    <t>Loss on business held for sale</t>
  </si>
  <si>
    <t>Current assets held for sale</t>
  </si>
  <si>
    <t>Cur Libs held for sale</t>
  </si>
  <si>
    <t>Noncurrent libs held for sale</t>
  </si>
  <si>
    <t>Noncurr assets held for sale</t>
  </si>
  <si>
    <t>Redeemable noncontrolling interests</t>
  </si>
  <si>
    <t>Dealers/Distributors</t>
  </si>
  <si>
    <t>Europe</t>
  </si>
  <si>
    <t>Rest</t>
  </si>
  <si>
    <t>% of sales</t>
  </si>
  <si>
    <t>CPLTD</t>
  </si>
  <si>
    <t>Short-term borrowings</t>
  </si>
  <si>
    <t>Employees</t>
  </si>
  <si>
    <t>use for scripting</t>
  </si>
  <si>
    <t>Quarter</t>
  </si>
  <si>
    <t>q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</si>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</sst>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2" fontId="3" fillId="0" borderId="0" xfId="0" applyNumberFormat="1" applyFont="1"/>
    <xf numFmtId="3" fontId="0" fillId="0" borderId="0" xfId="0" applyNumberFormat="1"/>
    <xf numFmtId="164" fontId="0" fillId="2" borderId="0" xfId="0" applyNumberFormat="1" applyFill="1"/>
    <xf numFmtId="0" fontId="7" fillId="0" borderId="0" xfId="0" applyFont="1"/>
    <xf numFmtId="164" fontId="2" fillId="0" borderId="0" xfId="0" applyNumberFormat="1" applyFont="1"/>
    <xf numFmtId="164" fontId="7" fillId="0" borderId="0" xfId="0" applyNumberFormat="1" applyFont="1"/>
    <xf numFmtId="0" fontId="2" fillId="0" borderId="0" xfId="0" applyFont="1"/>
    <xf numFmtId="2" fontId="7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457200</xdr:colOff>
      <xdr:row>24</xdr:row>
      <xdr:rowOff>112395</xdr:rowOff>
    </xdr:to>
    <xdr:pic>
      <xdr:nvPicPr>
        <xdr:cNvPr id="2" name="Picture 1" descr="A close-up of a product description&#10;&#10;Description automatically generated">
          <a:extLst>
            <a:ext uri="{FF2B5EF4-FFF2-40B4-BE49-F238E27FC236}">
              <a16:creationId xmlns:a16="http://schemas.microsoft.com/office/drawing/2014/main" id="{F64E8063-D84B-B682-3DB7-7190EAB29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5943600" cy="43478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orey Christner" id="{25316674-F37B-4DE2-B00A-4D328FFE0822}" userId="32906c935fa0eb4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9" dT="2024-12-12T02:15:39.35" personId="{25316674-F37B-4DE2-B00A-4D328FFE0822}" id="{3F61D815-91EE-4CDB-8BFB-60BE5BFA476F}">
    <text>Selling Grain &amp; Protein business</text>
  </threadedComment>
  <threadedComment ref="G42" dT="2024-12-12T02:12:43.64" personId="{25316674-F37B-4DE2-B00A-4D328FFE0822}" id="{1E3D44E4-9DA2-4E6A-A932-C941FCE37D64}">
    <text>Acquisition of ag assets from Trimble via PTx Trimble ptshp</text>
  </threadedComment>
  <threadedComment ref="G63" dT="2024-12-12T02:15:23.15" personId="{25316674-F37B-4DE2-B00A-4D328FFE0822}" id="{B7F2ED1A-30F4-4349-BDF2-FA3C9366E097}">
    <text>Selling Grain &amp; Protein business</text>
  </threadedComment>
  <threadedComment ref="G86" dT="2024-12-12T02:15:14.14" personId="{25316674-F37B-4DE2-B00A-4D328FFE0822}" id="{B06810CB-D0EC-4A30-8A92-8EE7F9FF608D}">
    <text>Selling Grain &amp; Protein business</text>
  </threadedComment>
  <threadedComment ref="G93" dT="2024-12-12T02:15:04.03" personId="{25316674-F37B-4DE2-B00A-4D328FFE0822}" id="{B84333F2-1C93-4D3F-B16F-9AB6CA17A9D3}">
    <text>Selling Grain &amp; Protein business</text>
  </threadedComment>
  <threadedComment ref="G104" dT="2024-12-12T02:14:45.66" personId="{25316674-F37B-4DE2-B00A-4D328FFE0822}" id="{E4E13984-6499-464A-8B1F-05AEA33A5B67}">
    <text>Selling Grain &amp; Protein business</text>
  </threadedComment>
  <threadedComment ref="G106" dT="2024-12-12T02:11:50.38" personId="{25316674-F37B-4DE2-B00A-4D328FFE0822}" id="{02045E9C-AA93-40D9-8F54-B797361D8711}">
    <text>Acquisition of ag assets from Trimble via PTx Trimble ptshp</text>
  </threadedComment>
  <threadedComment ref="G111" dT="2024-12-12T02:14:55.31" personId="{25316674-F37B-4DE2-B00A-4D328FFE0822}" id="{B4525C2A-C590-475A-B17F-1DFB19F0F4F6}">
    <text>Selling Grain &amp; Protein business</text>
  </threadedComment>
  <threadedComment ref="G113" dT="2024-12-12T02:14:17.33" personId="{25316674-F37B-4DE2-B00A-4D328FFE0822}" id="{6523B66B-D265-437A-9D6F-E95C9B1578DD}">
    <text>Selling Grain &amp; Protein business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4"/>
  <sheetViews>
    <sheetView workbookViewId="0">
      <selection activeCell="D27" sqref="D27"/>
    </sheetView>
  </sheetViews>
  <sheetFormatPr defaultRowHeight="14.5" x14ac:dyDescent="0.35"/>
  <sheetData>
    <row r="2" spans="2:4" x14ac:dyDescent="0.35">
      <c r="B2" t="s">
        <v>0</v>
      </c>
    </row>
    <row r="3" spans="2:4" x14ac:dyDescent="0.35">
      <c r="C3" t="s">
        <v>1</v>
      </c>
    </row>
    <row r="4" spans="2:4" x14ac:dyDescent="0.35">
      <c r="C4" t="s">
        <v>2</v>
      </c>
    </row>
    <row r="5" spans="2:4" x14ac:dyDescent="0.35">
      <c r="C5" t="s">
        <v>3</v>
      </c>
    </row>
    <row r="6" spans="2:4" x14ac:dyDescent="0.35">
      <c r="C6" t="s">
        <v>4</v>
      </c>
    </row>
    <row r="7" spans="2:4" x14ac:dyDescent="0.35">
      <c r="C7" t="s">
        <v>5</v>
      </c>
    </row>
    <row r="8" spans="2:4" x14ac:dyDescent="0.35">
      <c r="C8" t="s">
        <v>6</v>
      </c>
    </row>
    <row r="9" spans="2:4" x14ac:dyDescent="0.35">
      <c r="C9" t="s">
        <v>7</v>
      </c>
    </row>
    <row r="10" spans="2:4" x14ac:dyDescent="0.35">
      <c r="C10" t="s">
        <v>8</v>
      </c>
    </row>
    <row r="11" spans="2:4" x14ac:dyDescent="0.35">
      <c r="C11" t="s">
        <v>9</v>
      </c>
    </row>
    <row r="13" spans="2:4" x14ac:dyDescent="0.35">
      <c r="B13" t="s">
        <v>10</v>
      </c>
    </row>
    <row r="14" spans="2:4" x14ac:dyDescent="0.35">
      <c r="C14" t="s">
        <v>11</v>
      </c>
      <c r="D14" t="s">
        <v>20</v>
      </c>
    </row>
    <row r="15" spans="2:4" x14ac:dyDescent="0.35">
      <c r="C15" t="s">
        <v>12</v>
      </c>
      <c r="D15" t="s">
        <v>21</v>
      </c>
    </row>
    <row r="16" spans="2:4" x14ac:dyDescent="0.35">
      <c r="C16" t="s">
        <v>13</v>
      </c>
      <c r="D16" t="s">
        <v>22</v>
      </c>
    </row>
    <row r="17" spans="2:4" x14ac:dyDescent="0.35">
      <c r="C17" t="s">
        <v>14</v>
      </c>
      <c r="D17" t="s">
        <v>23</v>
      </c>
    </row>
    <row r="18" spans="2:4" x14ac:dyDescent="0.35">
      <c r="C18" t="s">
        <v>15</v>
      </c>
      <c r="D18" t="s">
        <v>24</v>
      </c>
    </row>
    <row r="19" spans="2:4" x14ac:dyDescent="0.35">
      <c r="C19" t="s">
        <v>16</v>
      </c>
      <c r="D19" t="s">
        <v>26</v>
      </c>
    </row>
    <row r="20" spans="2:4" x14ac:dyDescent="0.35">
      <c r="C20" t="s">
        <v>25</v>
      </c>
      <c r="D20" t="s">
        <v>2</v>
      </c>
    </row>
    <row r="22" spans="2:4" x14ac:dyDescent="0.35">
      <c r="B22" t="s">
        <v>17</v>
      </c>
    </row>
    <row r="23" spans="2:4" x14ac:dyDescent="0.35">
      <c r="C23" t="s">
        <v>18</v>
      </c>
      <c r="D23" t="s">
        <v>27</v>
      </c>
    </row>
    <row r="24" spans="2:4" x14ac:dyDescent="0.35">
      <c r="C24" t="s">
        <v>19</v>
      </c>
      <c r="D24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D8E5B-022C-42CE-B268-F739C26FDB37}">
  <dimension ref="A1:M131"/>
  <sheetViews>
    <sheetView tabSelected="1" zoomScale="70" zoomScaleNormal="70" workbookViewId="0">
      <selection activeCell="D3" sqref="D3"/>
    </sheetView>
  </sheetViews>
  <sheetFormatPr defaultRowHeight="14.5" x14ac:dyDescent="0.35"/>
  <cols>
    <col min="1" max="1" width="31.81640625" bestFit="1" customWidth="1"/>
    <col min="2" max="4" width="9.90625" bestFit="1" customWidth="1"/>
    <col min="5" max="8" width="10.54296875" bestFit="1" customWidth="1"/>
    <col min="9" max="9" width="7.453125" bestFit="1" customWidth="1"/>
    <col min="11" max="11" width="10.54296875" style="10" hidden="1" customWidth="1"/>
    <col min="12" max="13" width="10.54296875" bestFit="1" customWidth="1"/>
  </cols>
  <sheetData>
    <row r="1" spans="1:13" x14ac:dyDescent="0.35">
      <c r="A1" t="s">
        <v>135</v>
      </c>
      <c r="B1" t="s">
        <v>137</v>
      </c>
      <c r="C1" t="s">
        <v>137</v>
      </c>
      <c r="D1" t="s">
        <v>137</v>
      </c>
      <c r="E1" t="s">
        <v>137</v>
      </c>
      <c r="F1" t="s">
        <v>137</v>
      </c>
      <c r="G1" t="s">
        <v>137</v>
      </c>
      <c r="H1" t="s">
        <v>137</v>
      </c>
      <c r="L1" t="s">
        <v>138</v>
      </c>
    </row>
    <row r="2" spans="1:13" s="1" customFormat="1" x14ac:dyDescent="0.35">
      <c r="A2" s="1" t="s">
        <v>136</v>
      </c>
      <c r="B2" s="1" t="s">
        <v>41</v>
      </c>
      <c r="C2" s="1" t="s">
        <v>66</v>
      </c>
      <c r="D2" s="1" t="s">
        <v>67</v>
      </c>
      <c r="E2" s="1" t="s">
        <v>68</v>
      </c>
      <c r="F2" s="1" t="s">
        <v>42</v>
      </c>
      <c r="G2" s="1" t="s">
        <v>119</v>
      </c>
      <c r="H2" s="1" t="s">
        <v>120</v>
      </c>
      <c r="I2" s="1" t="s">
        <v>121</v>
      </c>
      <c r="K2" s="7">
        <v>2023</v>
      </c>
      <c r="L2" s="1">
        <v>2023</v>
      </c>
      <c r="M2" s="1">
        <v>2024</v>
      </c>
    </row>
    <row r="3" spans="1:13" s="1" customFormat="1" x14ac:dyDescent="0.35">
      <c r="K3" s="7"/>
    </row>
    <row r="4" spans="1:13" x14ac:dyDescent="0.35">
      <c r="A4" s="1" t="s">
        <v>134</v>
      </c>
      <c r="E4" s="5">
        <v>27900</v>
      </c>
      <c r="M4" s="1"/>
    </row>
    <row r="5" spans="1:13" s="1" customFormat="1" x14ac:dyDescent="0.35">
      <c r="K5" s="7"/>
    </row>
    <row r="6" spans="1:13" s="1" customFormat="1" x14ac:dyDescent="0.35">
      <c r="A6" s="1" t="s">
        <v>128</v>
      </c>
      <c r="K6" s="7"/>
    </row>
    <row r="7" spans="1:13" x14ac:dyDescent="0.35">
      <c r="A7" t="s">
        <v>129</v>
      </c>
      <c r="L7" s="5">
        <v>690</v>
      </c>
    </row>
    <row r="8" spans="1:13" x14ac:dyDescent="0.35">
      <c r="A8" t="s">
        <v>131</v>
      </c>
      <c r="L8" s="12">
        <v>0.49</v>
      </c>
    </row>
    <row r="9" spans="1:13" x14ac:dyDescent="0.35">
      <c r="A9" t="s">
        <v>108</v>
      </c>
      <c r="L9" s="5">
        <v>1795</v>
      </c>
    </row>
    <row r="10" spans="1:13" x14ac:dyDescent="0.35">
      <c r="A10" t="s">
        <v>131</v>
      </c>
      <c r="L10" s="12">
        <v>0.26</v>
      </c>
    </row>
    <row r="11" spans="1:13" x14ac:dyDescent="0.35">
      <c r="A11" t="s">
        <v>109</v>
      </c>
      <c r="L11" s="5">
        <v>220</v>
      </c>
    </row>
    <row r="12" spans="1:13" x14ac:dyDescent="0.35">
      <c r="A12" t="s">
        <v>131</v>
      </c>
      <c r="L12" s="12">
        <v>0.16</v>
      </c>
    </row>
    <row r="13" spans="1:13" x14ac:dyDescent="0.35">
      <c r="A13" t="s">
        <v>130</v>
      </c>
      <c r="L13" s="5">
        <v>395</v>
      </c>
    </row>
    <row r="14" spans="1:13" x14ac:dyDescent="0.35">
      <c r="A14" t="s">
        <v>131</v>
      </c>
      <c r="L14" s="12">
        <v>0.09</v>
      </c>
    </row>
    <row r="15" spans="1:13" s="1" customFormat="1" x14ac:dyDescent="0.35">
      <c r="A15"/>
      <c r="K15" s="7"/>
    </row>
    <row r="16" spans="1:13" x14ac:dyDescent="0.35">
      <c r="A16" s="1" t="s">
        <v>113</v>
      </c>
      <c r="B16" s="2">
        <v>923.1</v>
      </c>
      <c r="C16" s="2">
        <v>996.8</v>
      </c>
      <c r="D16" s="2">
        <v>941.1</v>
      </c>
      <c r="E16" s="2"/>
      <c r="F16" s="2">
        <v>729.6</v>
      </c>
      <c r="G16" s="2">
        <v>837.8</v>
      </c>
      <c r="H16" s="2">
        <v>736.1</v>
      </c>
      <c r="I16" s="2"/>
      <c r="K16" s="8"/>
      <c r="L16" s="2">
        <f>SUM(B16:E16)</f>
        <v>2861</v>
      </c>
      <c r="M16" s="2">
        <f>SUM(F16:I16)</f>
        <v>2303.5</v>
      </c>
    </row>
    <row r="17" spans="1:13" x14ac:dyDescent="0.35">
      <c r="A17" t="s">
        <v>108</v>
      </c>
      <c r="B17" s="2">
        <v>503.8</v>
      </c>
      <c r="C17" s="2">
        <v>598.6</v>
      </c>
      <c r="D17" s="2">
        <v>719.8</v>
      </c>
      <c r="E17" s="2"/>
      <c r="F17" s="2">
        <v>303.39999999999998</v>
      </c>
      <c r="G17" s="2">
        <v>348.9</v>
      </c>
      <c r="H17" s="2">
        <v>381.6</v>
      </c>
      <c r="I17" s="2"/>
      <c r="K17" s="8"/>
      <c r="L17" s="2">
        <f t="shared" ref="L17:L19" si="0">SUM(B17:E17)</f>
        <v>1822.2</v>
      </c>
      <c r="M17" s="2">
        <f t="shared" ref="M17:M19" si="1">SUM(F17:I17)</f>
        <v>1033.9000000000001</v>
      </c>
    </row>
    <row r="18" spans="1:13" x14ac:dyDescent="0.35">
      <c r="A18" t="s">
        <v>109</v>
      </c>
      <c r="B18" s="2">
        <v>1703.8</v>
      </c>
      <c r="C18" s="2">
        <v>1990.8</v>
      </c>
      <c r="D18" s="2">
        <v>1586.9</v>
      </c>
      <c r="E18" s="2"/>
      <c r="F18" s="2">
        <v>1729</v>
      </c>
      <c r="G18" s="2">
        <v>1902.9</v>
      </c>
      <c r="H18" s="2">
        <v>1298.2</v>
      </c>
      <c r="I18" s="2"/>
      <c r="K18" s="8"/>
      <c r="L18" s="2">
        <f t="shared" si="0"/>
        <v>5281.5</v>
      </c>
      <c r="M18" s="2">
        <f t="shared" si="1"/>
        <v>4930.1000000000004</v>
      </c>
    </row>
    <row r="19" spans="1:13" x14ac:dyDescent="0.35">
      <c r="A19" t="s">
        <v>110</v>
      </c>
      <c r="B19" s="2">
        <v>202.8</v>
      </c>
      <c r="C19" s="2">
        <v>236.5</v>
      </c>
      <c r="D19" s="2">
        <v>207.7</v>
      </c>
      <c r="E19" s="2"/>
      <c r="F19" s="2">
        <v>166.7</v>
      </c>
      <c r="G19" s="2">
        <v>157</v>
      </c>
      <c r="H19" s="2">
        <v>183.4</v>
      </c>
      <c r="I19" s="2"/>
      <c r="K19" s="8"/>
      <c r="L19" s="2">
        <f t="shared" si="0"/>
        <v>647</v>
      </c>
      <c r="M19" s="2">
        <f t="shared" si="1"/>
        <v>507.1</v>
      </c>
    </row>
    <row r="20" spans="1:13" s="1" customFormat="1" x14ac:dyDescent="0.35">
      <c r="A20" t="s">
        <v>111</v>
      </c>
      <c r="B20" s="3">
        <f>SUM(B16:B19)</f>
        <v>3333.5</v>
      </c>
      <c r="C20" s="3">
        <f t="shared" ref="C20:G20" si="2">SUM(C16:C19)</f>
        <v>3822.7</v>
      </c>
      <c r="D20" s="3">
        <f t="shared" si="2"/>
        <v>3455.5</v>
      </c>
      <c r="E20" s="3">
        <f t="shared" si="2"/>
        <v>0</v>
      </c>
      <c r="F20" s="3">
        <f t="shared" si="2"/>
        <v>2928.7</v>
      </c>
      <c r="G20" s="3">
        <f t="shared" si="2"/>
        <v>3246.6</v>
      </c>
      <c r="H20" s="3">
        <f t="shared" ref="H20" si="3">SUM(H16:H19)</f>
        <v>2599.3000000000002</v>
      </c>
      <c r="I20" s="3">
        <f t="shared" ref="I20:M20" si="4">SUM(I16:I19)</f>
        <v>0</v>
      </c>
      <c r="K20" s="9">
        <f t="shared" si="4"/>
        <v>0</v>
      </c>
      <c r="L20" s="3">
        <f t="shared" si="4"/>
        <v>10611.7</v>
      </c>
      <c r="M20" s="3">
        <f t="shared" si="4"/>
        <v>8774.6</v>
      </c>
    </row>
    <row r="21" spans="1:13" s="1" customFormat="1" x14ac:dyDescent="0.35">
      <c r="A21" s="1" t="s">
        <v>107</v>
      </c>
      <c r="B21" s="3"/>
      <c r="C21" s="3"/>
      <c r="D21" s="3"/>
      <c r="E21" s="3"/>
      <c r="F21" s="3"/>
      <c r="G21" s="3"/>
      <c r="H21" s="3"/>
      <c r="I21" s="3"/>
      <c r="K21" s="7"/>
    </row>
    <row r="22" spans="1:13" x14ac:dyDescent="0.35">
      <c r="A22" s="1"/>
      <c r="B22" s="1"/>
      <c r="C22" s="1"/>
      <c r="D22" s="1"/>
      <c r="E22" s="1"/>
      <c r="F22" s="1"/>
      <c r="G22" s="1"/>
      <c r="H22" s="1"/>
      <c r="I22" s="1"/>
    </row>
    <row r="23" spans="1:13" x14ac:dyDescent="0.35">
      <c r="A23" s="1" t="s">
        <v>112</v>
      </c>
      <c r="B23">
        <v>102.1</v>
      </c>
      <c r="C23" s="2">
        <v>136.9</v>
      </c>
      <c r="D23" s="2">
        <v>139.80000000000001</v>
      </c>
      <c r="E23" s="2"/>
      <c r="F23" s="2">
        <v>42.4</v>
      </c>
      <c r="G23" s="2">
        <v>76.7</v>
      </c>
      <c r="H23" s="2">
        <v>52.7</v>
      </c>
      <c r="I23" s="2"/>
      <c r="K23" s="8"/>
      <c r="L23" s="2">
        <f t="shared" ref="L23:L26" si="5">SUM(B23:E23)</f>
        <v>378.8</v>
      </c>
      <c r="M23" s="2">
        <f t="shared" ref="M23:M26" si="6">SUM(F23:I23)</f>
        <v>171.8</v>
      </c>
    </row>
    <row r="24" spans="1:13" x14ac:dyDescent="0.35">
      <c r="A24" t="s">
        <v>108</v>
      </c>
      <c r="B24" s="2">
        <v>99.5</v>
      </c>
      <c r="C24" s="2">
        <v>121.4</v>
      </c>
      <c r="D24" s="2">
        <v>149.80000000000001</v>
      </c>
      <c r="E24" s="2"/>
      <c r="F24" s="2">
        <v>16.2</v>
      </c>
      <c r="G24" s="2">
        <v>12.6</v>
      </c>
      <c r="H24" s="2">
        <v>45.1</v>
      </c>
      <c r="I24" s="2"/>
      <c r="K24" s="8"/>
      <c r="L24" s="2">
        <f t="shared" si="5"/>
        <v>370.70000000000005</v>
      </c>
      <c r="M24" s="2">
        <f t="shared" si="6"/>
        <v>73.900000000000006</v>
      </c>
    </row>
    <row r="25" spans="1:13" x14ac:dyDescent="0.35">
      <c r="A25" t="s">
        <v>109</v>
      </c>
      <c r="B25" s="2">
        <v>239.4</v>
      </c>
      <c r="C25" s="2">
        <v>295.2</v>
      </c>
      <c r="D25" s="2">
        <v>199.3</v>
      </c>
      <c r="E25" s="2"/>
      <c r="F25" s="2">
        <v>282.89999999999998</v>
      </c>
      <c r="G25" s="2">
        <v>288.5</v>
      </c>
      <c r="H25" s="2">
        <v>83</v>
      </c>
      <c r="I25" s="2"/>
      <c r="K25" s="8"/>
      <c r="L25" s="2">
        <f t="shared" si="5"/>
        <v>733.90000000000009</v>
      </c>
      <c r="M25" s="2">
        <f t="shared" si="6"/>
        <v>654.4</v>
      </c>
    </row>
    <row r="26" spans="1:13" x14ac:dyDescent="0.35">
      <c r="A26" t="s">
        <v>110</v>
      </c>
      <c r="B26" s="2">
        <v>18.100000000000001</v>
      </c>
      <c r="C26" s="2">
        <v>20.9</v>
      </c>
      <c r="D26" s="2">
        <v>19.2</v>
      </c>
      <c r="E26" s="2"/>
      <c r="F26" s="2">
        <v>8</v>
      </c>
      <c r="G26" s="2">
        <v>12.4</v>
      </c>
      <c r="H26" s="2">
        <v>7</v>
      </c>
      <c r="I26" s="2"/>
      <c r="K26" s="8"/>
      <c r="L26" s="2">
        <f t="shared" si="5"/>
        <v>58.2</v>
      </c>
      <c r="M26" s="2">
        <f t="shared" si="6"/>
        <v>27.4</v>
      </c>
    </row>
    <row r="27" spans="1:13" x14ac:dyDescent="0.35">
      <c r="A27" t="s">
        <v>111</v>
      </c>
      <c r="B27" s="3">
        <f>SUM(B23:B26)</f>
        <v>459.1</v>
      </c>
      <c r="C27" s="3">
        <f t="shared" ref="C27" si="7">SUM(C23:C26)</f>
        <v>574.4</v>
      </c>
      <c r="D27" s="3">
        <f t="shared" ref="D27" si="8">SUM(D23:D26)</f>
        <v>508.1</v>
      </c>
      <c r="E27" s="3">
        <f t="shared" ref="E27" si="9">SUM(E23:E26)</f>
        <v>0</v>
      </c>
      <c r="F27" s="3">
        <f t="shared" ref="F27:G27" si="10">SUM(F23:F26)</f>
        <v>349.5</v>
      </c>
      <c r="G27" s="3">
        <f t="shared" si="10"/>
        <v>390.2</v>
      </c>
      <c r="H27" s="3">
        <f t="shared" ref="H27" si="11">SUM(H23:H26)</f>
        <v>187.8</v>
      </c>
      <c r="I27" s="3">
        <f t="shared" ref="I27:M27" si="12">SUM(I23:I26)</f>
        <v>0</v>
      </c>
      <c r="K27" s="9">
        <f t="shared" si="12"/>
        <v>0</v>
      </c>
      <c r="L27" s="3">
        <f t="shared" si="12"/>
        <v>1541.6000000000001</v>
      </c>
      <c r="M27" s="3">
        <f t="shared" si="12"/>
        <v>927.5</v>
      </c>
    </row>
    <row r="28" spans="1:13" x14ac:dyDescent="0.35">
      <c r="A28" s="1" t="s">
        <v>107</v>
      </c>
      <c r="B28" s="3"/>
      <c r="C28" s="3"/>
      <c r="D28" s="3"/>
      <c r="E28" s="3"/>
      <c r="F28" s="3"/>
      <c r="G28" s="3"/>
      <c r="H28" s="3"/>
      <c r="I28" s="3"/>
    </row>
    <row r="29" spans="1:13" s="1" customFormat="1" x14ac:dyDescent="0.35">
      <c r="B29" s="1" t="str">
        <f t="shared" ref="B29:I29" si="13">B2</f>
        <v>Q123</v>
      </c>
      <c r="C29" s="1" t="str">
        <f t="shared" si="13"/>
        <v>Q223</v>
      </c>
      <c r="D29" s="1" t="str">
        <f t="shared" si="13"/>
        <v>Q323</v>
      </c>
      <c r="E29" s="1" t="str">
        <f t="shared" si="13"/>
        <v>Q423</v>
      </c>
      <c r="F29" s="1" t="str">
        <f t="shared" si="13"/>
        <v>Q124</v>
      </c>
      <c r="G29" s="1" t="str">
        <f t="shared" si="13"/>
        <v>Q224</v>
      </c>
      <c r="H29" s="1" t="str">
        <f t="shared" si="13"/>
        <v>Q324</v>
      </c>
      <c r="I29" s="1" t="str">
        <f t="shared" si="13"/>
        <v>Q424</v>
      </c>
      <c r="K29" s="7">
        <f>K2</f>
        <v>2023</v>
      </c>
      <c r="L29" s="1">
        <f>L2</f>
        <v>2023</v>
      </c>
      <c r="M29" s="1">
        <f>M2</f>
        <v>2024</v>
      </c>
    </row>
    <row r="30" spans="1:13" s="1" customFormat="1" x14ac:dyDescent="0.35">
      <c r="K30" s="7"/>
    </row>
    <row r="31" spans="1:13" x14ac:dyDescent="0.35">
      <c r="A31" s="1" t="s">
        <v>29</v>
      </c>
      <c r="B31" s="2">
        <v>3333.5</v>
      </c>
      <c r="C31" s="2">
        <v>3822.7</v>
      </c>
      <c r="D31" s="2">
        <v>3455.5</v>
      </c>
      <c r="E31" s="2">
        <f>K31-D31-C31-B31</f>
        <v>3800.7</v>
      </c>
      <c r="F31" s="2">
        <v>2928.7</v>
      </c>
      <c r="G31" s="2">
        <v>3246.6</v>
      </c>
      <c r="H31" s="2">
        <v>2599.3000000000002</v>
      </c>
      <c r="I31" s="2"/>
      <c r="K31" s="8">
        <v>14412.4</v>
      </c>
      <c r="L31" s="2">
        <f t="shared" ref="L31:L32" si="14">SUM(B31:E31)</f>
        <v>14412.400000000001</v>
      </c>
      <c r="M31" s="2">
        <f t="shared" ref="M31:M32" si="15">SUM(F31:I31)</f>
        <v>8774.5999999999985</v>
      </c>
    </row>
    <row r="32" spans="1:13" x14ac:dyDescent="0.35">
      <c r="A32" t="s">
        <v>30</v>
      </c>
      <c r="B32" s="2">
        <v>2478.6</v>
      </c>
      <c r="C32" s="2">
        <v>2817</v>
      </c>
      <c r="D32" s="2">
        <v>2521.5</v>
      </c>
      <c r="E32" s="2">
        <f>K32-D32-C32-B32</f>
        <v>2817.9</v>
      </c>
      <c r="F32" s="2">
        <v>2158.9</v>
      </c>
      <c r="G32" s="2">
        <v>2409.1</v>
      </c>
      <c r="H32" s="2">
        <v>1996.2</v>
      </c>
      <c r="I32" s="2"/>
      <c r="K32" s="8">
        <v>10635</v>
      </c>
      <c r="L32" s="2">
        <f t="shared" si="14"/>
        <v>10635</v>
      </c>
      <c r="M32" s="2">
        <f t="shared" si="15"/>
        <v>6564.2</v>
      </c>
    </row>
    <row r="33" spans="1:13" s="1" customFormat="1" x14ac:dyDescent="0.35">
      <c r="A33" t="s">
        <v>31</v>
      </c>
      <c r="B33" s="3">
        <f>B31-B32</f>
        <v>854.90000000000009</v>
      </c>
      <c r="C33" s="3">
        <f t="shared" ref="C33:E33" si="16">C31-C32</f>
        <v>1005.6999999999998</v>
      </c>
      <c r="D33" s="3">
        <f t="shared" si="16"/>
        <v>934</v>
      </c>
      <c r="E33" s="3">
        <f t="shared" si="16"/>
        <v>982.79999999999973</v>
      </c>
      <c r="F33" s="3">
        <f>F31-F32</f>
        <v>769.79999999999973</v>
      </c>
      <c r="G33" s="3">
        <f>G31-G32</f>
        <v>837.5</v>
      </c>
      <c r="H33" s="3">
        <f t="shared" ref="H33:M33" si="17">H31-H32</f>
        <v>603.10000000000014</v>
      </c>
      <c r="I33" s="3">
        <f t="shared" si="17"/>
        <v>0</v>
      </c>
      <c r="K33" s="9">
        <f t="shared" si="17"/>
        <v>3777.3999999999996</v>
      </c>
      <c r="L33" s="3">
        <f t="shared" si="17"/>
        <v>3777.4000000000015</v>
      </c>
      <c r="M33" s="3">
        <f t="shared" si="17"/>
        <v>2210.3999999999987</v>
      </c>
    </row>
    <row r="34" spans="1:13" x14ac:dyDescent="0.35">
      <c r="A34" s="1" t="s">
        <v>32</v>
      </c>
      <c r="B34" s="2">
        <v>331.8</v>
      </c>
      <c r="C34" s="2">
        <v>350.3</v>
      </c>
      <c r="D34" s="2">
        <v>355.6</v>
      </c>
      <c r="E34" s="2">
        <f t="shared" ref="E34:E39" si="18">K34-D34-C34-B34</f>
        <v>416.80000000000013</v>
      </c>
      <c r="F34" s="2">
        <v>350.4</v>
      </c>
      <c r="G34" s="2">
        <v>379.8</v>
      </c>
      <c r="H34" s="2">
        <v>344.3</v>
      </c>
      <c r="I34" s="2"/>
      <c r="K34" s="8">
        <v>1454.5</v>
      </c>
      <c r="L34" s="2">
        <f t="shared" ref="L34:L39" si="19">SUM(B34:E34)</f>
        <v>1454.5000000000002</v>
      </c>
      <c r="M34" s="2">
        <f t="shared" ref="M34:M39" si="20">SUM(F34:I34)</f>
        <v>1074.5</v>
      </c>
    </row>
    <row r="35" spans="1:13" x14ac:dyDescent="0.35">
      <c r="A35" t="s">
        <v>33</v>
      </c>
      <c r="B35" s="2">
        <v>119.6</v>
      </c>
      <c r="C35" s="2">
        <v>138.80000000000001</v>
      </c>
      <c r="D35" s="2">
        <v>139.6</v>
      </c>
      <c r="E35" s="2">
        <f t="shared" si="18"/>
        <v>150.79999999999993</v>
      </c>
      <c r="F35" s="2">
        <v>130.9</v>
      </c>
      <c r="G35" s="2">
        <v>137.80000000000001</v>
      </c>
      <c r="H35" s="2">
        <v>121.3</v>
      </c>
      <c r="I35" s="2"/>
      <c r="K35" s="8">
        <v>548.79999999999995</v>
      </c>
      <c r="L35" s="2">
        <f t="shared" si="19"/>
        <v>548.79999999999995</v>
      </c>
      <c r="M35" s="2">
        <f t="shared" si="20"/>
        <v>390.00000000000006</v>
      </c>
    </row>
    <row r="36" spans="1:13" x14ac:dyDescent="0.35">
      <c r="A36" t="s">
        <v>34</v>
      </c>
      <c r="B36" s="2">
        <v>14.8</v>
      </c>
      <c r="C36" s="2">
        <v>14.1</v>
      </c>
      <c r="D36" s="2">
        <v>14.4</v>
      </c>
      <c r="E36" s="2">
        <f t="shared" si="18"/>
        <v>14.400000000000002</v>
      </c>
      <c r="F36" s="2">
        <v>13.9</v>
      </c>
      <c r="G36" s="2">
        <v>31.7</v>
      </c>
      <c r="H36" s="2">
        <v>8.8000000000000007</v>
      </c>
      <c r="I36" s="2"/>
      <c r="K36" s="8">
        <v>57.7</v>
      </c>
      <c r="L36" s="2">
        <f t="shared" si="19"/>
        <v>57.7</v>
      </c>
      <c r="M36" s="2">
        <f t="shared" si="20"/>
        <v>54.400000000000006</v>
      </c>
    </row>
    <row r="37" spans="1:13" x14ac:dyDescent="0.35">
      <c r="A37" t="s">
        <v>35</v>
      </c>
      <c r="B37" s="2">
        <v>0</v>
      </c>
      <c r="C37" s="2">
        <v>0</v>
      </c>
      <c r="D37" s="2">
        <v>0</v>
      </c>
      <c r="E37" s="2">
        <f t="shared" si="18"/>
        <v>4.0999999999999996</v>
      </c>
      <c r="F37" s="2">
        <v>0</v>
      </c>
      <c r="G37" s="2">
        <v>5.0999999999999996</v>
      </c>
      <c r="H37" s="2">
        <v>0.2</v>
      </c>
      <c r="I37" s="2"/>
      <c r="K37" s="8">
        <v>4.0999999999999996</v>
      </c>
      <c r="L37" s="2">
        <f t="shared" si="19"/>
        <v>4.0999999999999996</v>
      </c>
      <c r="M37" s="2">
        <f t="shared" si="20"/>
        <v>5.3</v>
      </c>
    </row>
    <row r="38" spans="1:13" x14ac:dyDescent="0.35">
      <c r="A38" t="s">
        <v>117</v>
      </c>
      <c r="B38" s="2">
        <v>1.4</v>
      </c>
      <c r="C38" s="2">
        <v>6.1</v>
      </c>
      <c r="D38" s="2">
        <v>0.8</v>
      </c>
      <c r="E38" s="2">
        <f t="shared" si="18"/>
        <v>3.6</v>
      </c>
      <c r="F38" s="2">
        <v>1</v>
      </c>
      <c r="G38" s="2">
        <v>30.2</v>
      </c>
      <c r="H38" s="2">
        <v>10.5</v>
      </c>
      <c r="I38" s="2"/>
      <c r="K38" s="8">
        <v>11.9</v>
      </c>
      <c r="L38" s="2">
        <f t="shared" si="19"/>
        <v>11.9</v>
      </c>
      <c r="M38" s="2">
        <f t="shared" si="20"/>
        <v>41.7</v>
      </c>
    </row>
    <row r="39" spans="1:13" x14ac:dyDescent="0.35">
      <c r="A39" t="s">
        <v>36</v>
      </c>
      <c r="B39" s="2">
        <v>0</v>
      </c>
      <c r="C39" s="2">
        <v>0</v>
      </c>
      <c r="D39" s="2">
        <v>0</v>
      </c>
      <c r="E39" s="2">
        <f t="shared" si="18"/>
        <v>0</v>
      </c>
      <c r="F39" s="2">
        <v>0</v>
      </c>
      <c r="G39" s="6">
        <v>494.6</v>
      </c>
      <c r="H39" s="2">
        <v>3.2</v>
      </c>
      <c r="I39" s="2"/>
      <c r="K39" s="8">
        <v>0</v>
      </c>
      <c r="L39" s="2">
        <f t="shared" si="19"/>
        <v>0</v>
      </c>
      <c r="M39" s="2">
        <f t="shared" si="20"/>
        <v>497.8</v>
      </c>
    </row>
    <row r="40" spans="1:13" s="1" customFormat="1" x14ac:dyDescent="0.35">
      <c r="A40" t="s">
        <v>118</v>
      </c>
      <c r="B40" s="3">
        <f>SUM(B34:B38)+B32</f>
        <v>2946.2</v>
      </c>
      <c r="C40" s="3">
        <f t="shared" ref="C40:F40" si="21">SUM(C34:C38)+C32</f>
        <v>3326.3</v>
      </c>
      <c r="D40" s="3">
        <f t="shared" si="21"/>
        <v>3031.9</v>
      </c>
      <c r="E40" s="3">
        <f t="shared" si="21"/>
        <v>3407.6000000000004</v>
      </c>
      <c r="F40" s="3">
        <f t="shared" si="21"/>
        <v>2655.1</v>
      </c>
      <c r="G40" s="3">
        <f>SUM(G34:G39)+G32</f>
        <v>3488.3</v>
      </c>
      <c r="H40" s="3">
        <f t="shared" ref="H40:M40" si="22">SUM(H34:H39)+H32</f>
        <v>2484.5</v>
      </c>
      <c r="I40" s="3">
        <f t="shared" si="22"/>
        <v>0</v>
      </c>
      <c r="K40" s="9">
        <f t="shared" si="22"/>
        <v>12712</v>
      </c>
      <c r="L40" s="3">
        <f t="shared" si="22"/>
        <v>12712</v>
      </c>
      <c r="M40" s="3">
        <f t="shared" si="22"/>
        <v>8627.9</v>
      </c>
    </row>
    <row r="41" spans="1:13" s="1" customFormat="1" x14ac:dyDescent="0.35">
      <c r="A41" s="1" t="s">
        <v>43</v>
      </c>
      <c r="B41" s="3">
        <f>B31-B40</f>
        <v>387.30000000000018</v>
      </c>
      <c r="C41" s="3">
        <f t="shared" ref="C41:G41" si="23">C31-C40</f>
        <v>496.39999999999964</v>
      </c>
      <c r="D41" s="3">
        <f t="shared" si="23"/>
        <v>423.59999999999991</v>
      </c>
      <c r="E41" s="3">
        <f t="shared" si="23"/>
        <v>393.09999999999945</v>
      </c>
      <c r="F41" s="3">
        <f t="shared" si="23"/>
        <v>273.59999999999991</v>
      </c>
      <c r="G41" s="3">
        <f t="shared" si="23"/>
        <v>-241.70000000000027</v>
      </c>
      <c r="H41" s="3">
        <f t="shared" ref="H41" si="24">H31-H40</f>
        <v>114.80000000000018</v>
      </c>
      <c r="I41" s="3">
        <f t="shared" ref="I41:M41" si="25">I31-I40</f>
        <v>0</v>
      </c>
      <c r="K41" s="9">
        <f t="shared" si="25"/>
        <v>1700.3999999999996</v>
      </c>
      <c r="L41" s="3">
        <f t="shared" si="25"/>
        <v>1700.4000000000015</v>
      </c>
      <c r="M41" s="3">
        <f t="shared" si="25"/>
        <v>146.69999999999891</v>
      </c>
    </row>
    <row r="42" spans="1:13" x14ac:dyDescent="0.35">
      <c r="A42" s="1" t="s">
        <v>37</v>
      </c>
      <c r="B42" s="2">
        <v>0.5</v>
      </c>
      <c r="C42" s="2">
        <v>5.8</v>
      </c>
      <c r="D42" s="2">
        <v>5.5</v>
      </c>
      <c r="E42" s="2">
        <f t="shared" ref="E42:E43" si="26">K42-D42-C42-B42</f>
        <v>-7.2</v>
      </c>
      <c r="F42" s="2">
        <v>1.9</v>
      </c>
      <c r="G42" s="6">
        <v>29.9</v>
      </c>
      <c r="H42" s="2">
        <v>33.9</v>
      </c>
      <c r="I42" s="2"/>
      <c r="K42" s="8">
        <v>4.5999999999999996</v>
      </c>
      <c r="L42" s="2">
        <f t="shared" ref="L42:L43" si="27">SUM(B42:E42)</f>
        <v>4.6000000000000005</v>
      </c>
      <c r="M42" s="2">
        <f t="shared" ref="M42:M43" si="28">SUM(F42:I42)</f>
        <v>65.699999999999989</v>
      </c>
    </row>
    <row r="43" spans="1:13" x14ac:dyDescent="0.35">
      <c r="A43" t="s">
        <v>38</v>
      </c>
      <c r="B43" s="2">
        <v>50.4</v>
      </c>
      <c r="C43" s="2">
        <v>78</v>
      </c>
      <c r="D43" s="2">
        <v>84.2</v>
      </c>
      <c r="E43" s="2">
        <f t="shared" si="26"/>
        <v>149.70000000000002</v>
      </c>
      <c r="F43" s="2">
        <v>50.8</v>
      </c>
      <c r="G43" s="2">
        <v>65.3</v>
      </c>
      <c r="H43" s="2">
        <v>52.3</v>
      </c>
      <c r="I43" s="2"/>
      <c r="K43" s="8">
        <v>362.3</v>
      </c>
      <c r="L43" s="2">
        <f t="shared" si="27"/>
        <v>362.30000000000007</v>
      </c>
      <c r="M43" s="2">
        <f t="shared" si="28"/>
        <v>168.39999999999998</v>
      </c>
    </row>
    <row r="44" spans="1:13" s="1" customFormat="1" x14ac:dyDescent="0.35">
      <c r="A44" t="s">
        <v>39</v>
      </c>
      <c r="B44" s="3">
        <f>B41-B43-B42</f>
        <v>336.4000000000002</v>
      </c>
      <c r="C44" s="3">
        <f t="shared" ref="C44:G44" si="29">C41-C43-C42</f>
        <v>412.59999999999962</v>
      </c>
      <c r="D44" s="3">
        <f t="shared" si="29"/>
        <v>333.89999999999992</v>
      </c>
      <c r="E44" s="3">
        <f t="shared" si="29"/>
        <v>250.59999999999943</v>
      </c>
      <c r="F44" s="3">
        <f t="shared" si="29"/>
        <v>220.89999999999989</v>
      </c>
      <c r="G44" s="3">
        <f t="shared" si="29"/>
        <v>-336.90000000000026</v>
      </c>
      <c r="H44" s="3">
        <f t="shared" ref="H44" si="30">H41-H43-H42</f>
        <v>28.600000000000186</v>
      </c>
      <c r="I44" s="3">
        <f t="shared" ref="I44:M44" si="31">I41-I43-I42</f>
        <v>0</v>
      </c>
      <c r="K44" s="9">
        <f t="shared" si="31"/>
        <v>1333.4999999999998</v>
      </c>
      <c r="L44" s="3">
        <f t="shared" si="31"/>
        <v>1333.5000000000014</v>
      </c>
      <c r="M44" s="3">
        <f t="shared" si="31"/>
        <v>-87.400000000001057</v>
      </c>
    </row>
    <row r="45" spans="1:13" x14ac:dyDescent="0.35">
      <c r="A45" s="1" t="s">
        <v>40</v>
      </c>
      <c r="B45" s="2">
        <v>120.2</v>
      </c>
      <c r="C45" s="2">
        <v>111</v>
      </c>
      <c r="D45" s="2">
        <v>75.3</v>
      </c>
      <c r="E45" s="2">
        <f t="shared" ref="E45:E47" si="32">K45-D45-C45-B45</f>
        <v>-76.09999999999998</v>
      </c>
      <c r="F45" s="2">
        <v>69.099999999999994</v>
      </c>
      <c r="G45" s="2">
        <v>41.6</v>
      </c>
      <c r="H45" s="2">
        <v>11.9</v>
      </c>
      <c r="I45" s="2"/>
      <c r="K45" s="8">
        <v>230.4</v>
      </c>
      <c r="L45" s="2">
        <f t="shared" ref="L45:L47" si="33">SUM(B45:E45)</f>
        <v>230.40000000000003</v>
      </c>
      <c r="M45" s="2">
        <f t="shared" ref="M45:M47" si="34">SUM(F45:I45)</f>
        <v>122.6</v>
      </c>
    </row>
    <row r="46" spans="1:13" x14ac:dyDescent="0.35">
      <c r="A46" t="s">
        <v>46</v>
      </c>
      <c r="B46" s="2">
        <v>16.399999999999999</v>
      </c>
      <c r="C46" s="2">
        <v>17.600000000000001</v>
      </c>
      <c r="D46" s="2">
        <v>21.9</v>
      </c>
      <c r="E46" s="2">
        <f t="shared" si="32"/>
        <v>12.300000000000004</v>
      </c>
      <c r="F46" s="2">
        <v>16.2</v>
      </c>
      <c r="G46" s="2">
        <v>9.6</v>
      </c>
      <c r="H46" s="2">
        <v>12.2</v>
      </c>
      <c r="I46" s="2"/>
      <c r="K46" s="8">
        <v>68.2</v>
      </c>
      <c r="L46" s="2">
        <f t="shared" si="33"/>
        <v>68.2</v>
      </c>
      <c r="M46" s="2">
        <f t="shared" si="34"/>
        <v>38</v>
      </c>
    </row>
    <row r="47" spans="1:13" x14ac:dyDescent="0.35">
      <c r="A47" t="s">
        <v>44</v>
      </c>
      <c r="B47" s="2">
        <v>0</v>
      </c>
      <c r="C47" s="2">
        <v>0</v>
      </c>
      <c r="D47" s="2">
        <v>0.1</v>
      </c>
      <c r="E47" s="2">
        <f t="shared" si="32"/>
        <v>0</v>
      </c>
      <c r="F47" s="2">
        <v>0</v>
      </c>
      <c r="G47" s="2">
        <v>1.8</v>
      </c>
      <c r="H47" s="2">
        <v>1.1000000000000001</v>
      </c>
      <c r="I47" s="2"/>
      <c r="K47" s="8">
        <v>0.1</v>
      </c>
      <c r="L47" s="2">
        <f t="shared" si="33"/>
        <v>0.1</v>
      </c>
      <c r="M47" s="2">
        <f t="shared" si="34"/>
        <v>2.9000000000000004</v>
      </c>
    </row>
    <row r="48" spans="1:13" s="1" customFormat="1" x14ac:dyDescent="0.35">
      <c r="A48" t="s">
        <v>47</v>
      </c>
      <c r="B48" s="3">
        <f t="shared" ref="B48:F48" si="35">B44-B45+B46+B47</f>
        <v>232.60000000000022</v>
      </c>
      <c r="C48" s="3">
        <f t="shared" si="35"/>
        <v>319.19999999999965</v>
      </c>
      <c r="D48" s="3">
        <f t="shared" si="35"/>
        <v>280.59999999999991</v>
      </c>
      <c r="E48" s="3">
        <f t="shared" si="35"/>
        <v>338.99999999999943</v>
      </c>
      <c r="F48" s="3">
        <f t="shared" si="35"/>
        <v>167.99999999999989</v>
      </c>
      <c r="G48" s="3">
        <f>G44-G45+G46+G47</f>
        <v>-367.10000000000025</v>
      </c>
      <c r="H48" s="3">
        <f t="shared" ref="H48:M48" si="36">H44-H45+H46+H47</f>
        <v>30.000000000000188</v>
      </c>
      <c r="I48" s="3">
        <f t="shared" si="36"/>
        <v>0</v>
      </c>
      <c r="K48" s="9">
        <f t="shared" si="36"/>
        <v>1171.3999999999996</v>
      </c>
      <c r="L48" s="3">
        <f t="shared" si="36"/>
        <v>1171.4000000000012</v>
      </c>
      <c r="M48" s="3">
        <f t="shared" si="36"/>
        <v>-169.10000000000105</v>
      </c>
    </row>
    <row r="49" spans="1:13" x14ac:dyDescent="0.35">
      <c r="A49" s="1" t="s">
        <v>45</v>
      </c>
    </row>
    <row r="50" spans="1:13" s="1" customFormat="1" x14ac:dyDescent="0.35">
      <c r="A50"/>
      <c r="B50" s="3">
        <f>B48/B54</f>
        <v>3.1179624664879388</v>
      </c>
      <c r="C50" s="3">
        <f t="shared" ref="C50:F50" si="37">C48/C54</f>
        <v>4.2616822429906493</v>
      </c>
      <c r="D50" s="3">
        <f t="shared" si="37"/>
        <v>3.7463284379172213</v>
      </c>
      <c r="E50" s="3">
        <f t="shared" si="37"/>
        <v>4.5320855614973183</v>
      </c>
      <c r="F50" s="3">
        <f t="shared" si="37"/>
        <v>2.2429906542056059</v>
      </c>
      <c r="G50" s="3">
        <f t="shared" ref="G50:I50" si="38">G48/G54</f>
        <v>-4.9209115281501381</v>
      </c>
      <c r="H50" s="3">
        <f t="shared" si="38"/>
        <v>0.40214477211796501</v>
      </c>
      <c r="I50" s="3" t="e">
        <f t="shared" si="38"/>
        <v>#DIV/0!</v>
      </c>
      <c r="K50" s="9">
        <f t="shared" ref="K50" si="39">K48/K54</f>
        <v>15.660427807486627</v>
      </c>
      <c r="L50" s="3">
        <f t="shared" ref="L50:M50" si="40">L48/L54</f>
        <v>15.660427807486649</v>
      </c>
      <c r="M50" s="3">
        <f t="shared" si="40"/>
        <v>-2.266756032171596</v>
      </c>
    </row>
    <row r="51" spans="1:13" s="1" customFormat="1" x14ac:dyDescent="0.35">
      <c r="A51" s="1" t="s">
        <v>48</v>
      </c>
      <c r="B51" s="3">
        <f>B48/B55</f>
        <v>3.1137884872824659</v>
      </c>
      <c r="C51" s="3">
        <f t="shared" ref="C51:F51" si="41">C48/C55</f>
        <v>4.2559999999999949</v>
      </c>
      <c r="D51" s="3">
        <f t="shared" si="41"/>
        <v>3.7413333333333321</v>
      </c>
      <c r="E51" s="3">
        <f t="shared" si="41"/>
        <v>4.5260347129505929</v>
      </c>
      <c r="F51" s="3">
        <f t="shared" si="41"/>
        <v>2.2399999999999984</v>
      </c>
      <c r="G51" s="3">
        <f t="shared" ref="G51:I51" si="42">G48/G55</f>
        <v>-4.914323962516737</v>
      </c>
      <c r="H51" s="3">
        <f t="shared" si="42"/>
        <v>0.40160642570281374</v>
      </c>
      <c r="I51" s="3" t="e">
        <f t="shared" si="42"/>
        <v>#DIV/0!</v>
      </c>
      <c r="K51" s="9">
        <f t="shared" ref="K51" si="43">K48/K55</f>
        <v>15.639519359145522</v>
      </c>
      <c r="L51" s="3">
        <f t="shared" ref="L51:M51" si="44">L48/L55</f>
        <v>15.639519359145542</v>
      </c>
      <c r="M51" s="3">
        <f t="shared" si="44"/>
        <v>-2.2637215528781933</v>
      </c>
    </row>
    <row r="52" spans="1:13" x14ac:dyDescent="0.35">
      <c r="A52" s="1" t="s">
        <v>49</v>
      </c>
      <c r="B52" s="2">
        <v>0.24</v>
      </c>
      <c r="C52" s="2">
        <v>5.28</v>
      </c>
      <c r="D52" s="2">
        <v>0.28999999999999998</v>
      </c>
      <c r="E52" s="2">
        <f>K52-D52-C52-B52</f>
        <v>0.28999999999999937</v>
      </c>
      <c r="F52" s="2">
        <v>0.28999999999999998</v>
      </c>
      <c r="G52" s="2">
        <v>2.79</v>
      </c>
      <c r="H52" s="2">
        <v>0.28999999999999998</v>
      </c>
      <c r="I52" s="2"/>
      <c r="K52" s="8">
        <v>6.1</v>
      </c>
      <c r="L52" s="2">
        <f t="shared" ref="L52" si="45">SUM(B52:E52)</f>
        <v>6.1</v>
      </c>
      <c r="M52" s="2">
        <f t="shared" ref="M52" si="46">SUM(F52:I52)</f>
        <v>3.37</v>
      </c>
    </row>
    <row r="53" spans="1:13" x14ac:dyDescent="0.35">
      <c r="A53" t="s">
        <v>52</v>
      </c>
    </row>
    <row r="54" spans="1:13" x14ac:dyDescent="0.35">
      <c r="B54">
        <v>74.599999999999994</v>
      </c>
      <c r="C54">
        <v>74.900000000000006</v>
      </c>
      <c r="D54">
        <v>74.900000000000006</v>
      </c>
      <c r="E54">
        <v>74.8</v>
      </c>
      <c r="F54">
        <v>74.900000000000006</v>
      </c>
      <c r="G54">
        <v>74.599999999999994</v>
      </c>
      <c r="H54">
        <v>74.599999999999994</v>
      </c>
      <c r="K54" s="10">
        <v>74.8</v>
      </c>
      <c r="L54">
        <v>74.8</v>
      </c>
      <c r="M54">
        <v>74.599999999999994</v>
      </c>
    </row>
    <row r="55" spans="1:13" x14ac:dyDescent="0.35">
      <c r="A55" t="s">
        <v>50</v>
      </c>
      <c r="B55">
        <v>74.7</v>
      </c>
      <c r="C55">
        <v>75</v>
      </c>
      <c r="D55">
        <v>75</v>
      </c>
      <c r="E55">
        <v>74.900000000000006</v>
      </c>
      <c r="F55">
        <v>75</v>
      </c>
      <c r="G55">
        <v>74.7</v>
      </c>
      <c r="H55">
        <v>74.7</v>
      </c>
      <c r="K55" s="10">
        <v>74.900000000000006</v>
      </c>
      <c r="L55">
        <v>74.900000000000006</v>
      </c>
      <c r="M55">
        <v>74.7</v>
      </c>
    </row>
    <row r="56" spans="1:13" x14ac:dyDescent="0.35">
      <c r="A56" t="s">
        <v>51</v>
      </c>
    </row>
    <row r="57" spans="1:13" s="1" customFormat="1" x14ac:dyDescent="0.35">
      <c r="A57"/>
      <c r="B57" s="1" t="str">
        <f>B29</f>
        <v>Q123</v>
      </c>
      <c r="C57" s="1" t="str">
        <f t="shared" ref="C57:F57" si="47">C29</f>
        <v>Q223</v>
      </c>
      <c r="D57" s="1" t="str">
        <f t="shared" si="47"/>
        <v>Q323</v>
      </c>
      <c r="E57" s="1" t="str">
        <f t="shared" si="47"/>
        <v>Q423</v>
      </c>
      <c r="F57" s="1" t="str">
        <f t="shared" si="47"/>
        <v>Q124</v>
      </c>
      <c r="G57" s="1" t="str">
        <f t="shared" ref="G57" si="48">G29</f>
        <v>Q224</v>
      </c>
      <c r="H57" s="1" t="str">
        <f t="shared" ref="H57:I57" si="49">H29</f>
        <v>Q324</v>
      </c>
      <c r="I57" s="1" t="str">
        <f t="shared" si="49"/>
        <v>Q424</v>
      </c>
      <c r="K57" s="7">
        <f t="shared" ref="K57" si="50">K29</f>
        <v>2023</v>
      </c>
      <c r="L57" s="1">
        <f t="shared" ref="L57:M57" si="51">L29</f>
        <v>2023</v>
      </c>
      <c r="M57" s="1">
        <f t="shared" si="51"/>
        <v>2024</v>
      </c>
    </row>
    <row r="58" spans="1:13" x14ac:dyDescent="0.35">
      <c r="A58" s="1"/>
    </row>
    <row r="59" spans="1:13" x14ac:dyDescent="0.35">
      <c r="B59" s="2">
        <v>232.6</v>
      </c>
      <c r="C59" s="2">
        <f>551.8-B59</f>
        <v>319.19999999999993</v>
      </c>
      <c r="D59" s="2">
        <f>832.3-C59-B59</f>
        <v>280.5</v>
      </c>
      <c r="E59" s="2">
        <f t="shared" ref="E59:E72" si="52">K59-D59-C59-B59</f>
        <v>339</v>
      </c>
      <c r="F59" s="2">
        <v>168</v>
      </c>
      <c r="G59" s="2">
        <f>-200.9-F59</f>
        <v>-368.9</v>
      </c>
      <c r="H59" s="2">
        <f>-172-G59-F59</f>
        <v>28.899999999999977</v>
      </c>
      <c r="I59" s="2"/>
      <c r="K59" s="8">
        <v>1171.3</v>
      </c>
      <c r="L59" s="2">
        <f t="shared" ref="L59:L72" si="53">SUM(B59:E59)</f>
        <v>1171.3</v>
      </c>
      <c r="M59" s="2">
        <f t="shared" ref="M59:M72" si="54">SUM(F59:I59)</f>
        <v>-172</v>
      </c>
    </row>
    <row r="60" spans="1:13" x14ac:dyDescent="0.35">
      <c r="A60" t="s">
        <v>53</v>
      </c>
      <c r="B60" s="2">
        <f>53.6+14.8</f>
        <v>68.400000000000006</v>
      </c>
      <c r="C60" s="2">
        <f>110.1+28.9-B60</f>
        <v>70.599999999999994</v>
      </c>
      <c r="D60" s="2">
        <f>168.9+43.3-C60-B60</f>
        <v>73.199999999999989</v>
      </c>
      <c r="E60" s="2">
        <f t="shared" si="52"/>
        <v>18.200000000000017</v>
      </c>
      <c r="F60" s="2">
        <f>63.3+13.9</f>
        <v>77.2</v>
      </c>
      <c r="G60" s="2">
        <f>128.5+45.6-F60</f>
        <v>96.899999999999991</v>
      </c>
      <c r="H60" s="2">
        <f>189.4+54.4-G60-F60</f>
        <v>69.700000000000031</v>
      </c>
      <c r="I60" s="2"/>
      <c r="K60" s="8">
        <v>230.4</v>
      </c>
      <c r="L60" s="2">
        <f t="shared" si="53"/>
        <v>230.4</v>
      </c>
      <c r="M60" s="2">
        <f t="shared" si="54"/>
        <v>243.8</v>
      </c>
    </row>
    <row r="61" spans="1:13" x14ac:dyDescent="0.35">
      <c r="A61" t="s">
        <v>54</v>
      </c>
      <c r="B61" s="2">
        <v>14</v>
      </c>
      <c r="C61" s="2">
        <f>27.3-B61</f>
        <v>13.3</v>
      </c>
      <c r="D61" s="2">
        <f>37.5-C61-B61</f>
        <v>10.199999999999999</v>
      </c>
      <c r="E61" s="2">
        <f t="shared" si="52"/>
        <v>-33.4</v>
      </c>
      <c r="F61" s="2">
        <v>8.4</v>
      </c>
      <c r="G61" s="2">
        <f>16.1-F61</f>
        <v>7.7000000000000011</v>
      </c>
      <c r="H61" s="2">
        <f>21.3-G61-F61</f>
        <v>5.1999999999999993</v>
      </c>
      <c r="I61" s="2"/>
      <c r="K61" s="8">
        <v>4.0999999999999996</v>
      </c>
      <c r="L61" s="2">
        <f t="shared" si="53"/>
        <v>4.1000000000000014</v>
      </c>
      <c r="M61" s="2">
        <f t="shared" si="54"/>
        <v>21.3</v>
      </c>
    </row>
    <row r="62" spans="1:13" x14ac:dyDescent="0.35">
      <c r="A62" t="s">
        <v>55</v>
      </c>
      <c r="B62" s="2">
        <v>0</v>
      </c>
      <c r="C62" s="2">
        <v>0</v>
      </c>
      <c r="D62" s="2">
        <v>0</v>
      </c>
      <c r="E62" s="2">
        <f t="shared" si="52"/>
        <v>57.7</v>
      </c>
      <c r="F62" s="2">
        <v>0</v>
      </c>
      <c r="G62" s="6">
        <f>5.1-F62</f>
        <v>5.0999999999999996</v>
      </c>
      <c r="H62" s="2">
        <f>5.3-G62-F62</f>
        <v>0.20000000000000018</v>
      </c>
      <c r="I62" s="2"/>
      <c r="K62" s="8">
        <v>57.7</v>
      </c>
      <c r="L62" s="2">
        <f t="shared" si="53"/>
        <v>57.7</v>
      </c>
      <c r="M62" s="2">
        <f t="shared" si="54"/>
        <v>5.3</v>
      </c>
    </row>
    <row r="63" spans="1:13" x14ac:dyDescent="0.35">
      <c r="A63" t="s">
        <v>117</v>
      </c>
      <c r="B63" s="2">
        <v>0</v>
      </c>
      <c r="C63" s="2">
        <v>0</v>
      </c>
      <c r="D63" s="2">
        <v>0</v>
      </c>
      <c r="E63" s="2">
        <f t="shared" si="52"/>
        <v>46.4</v>
      </c>
      <c r="F63" s="2">
        <v>0</v>
      </c>
      <c r="G63" s="6">
        <f>494.6-F63</f>
        <v>494.6</v>
      </c>
      <c r="H63" s="2">
        <f>497.8-G63-F63</f>
        <v>3.1999999999999886</v>
      </c>
      <c r="I63" s="2"/>
      <c r="K63" s="8">
        <v>46.4</v>
      </c>
      <c r="L63" s="2">
        <f t="shared" si="53"/>
        <v>46.4</v>
      </c>
      <c r="M63" s="2">
        <f t="shared" si="54"/>
        <v>497.8</v>
      </c>
    </row>
    <row r="64" spans="1:13" x14ac:dyDescent="0.35">
      <c r="A64" t="s">
        <v>122</v>
      </c>
      <c r="B64" s="2">
        <v>-16.399999999999999</v>
      </c>
      <c r="C64" s="2">
        <f>-33.3-B64</f>
        <v>-16.899999999999999</v>
      </c>
      <c r="D64" s="2">
        <f>-53-C64-B64</f>
        <v>-19.700000000000003</v>
      </c>
      <c r="E64" s="2">
        <f t="shared" si="52"/>
        <v>16.600000000000001</v>
      </c>
      <c r="F64" s="2">
        <v>-16.2</v>
      </c>
      <c r="G64" s="2">
        <f>-25.1-F64</f>
        <v>-8.9000000000000021</v>
      </c>
      <c r="H64" s="2">
        <f>-37.3-G64-F64</f>
        <v>-12.199999999999996</v>
      </c>
      <c r="I64" s="2"/>
      <c r="K64" s="8">
        <v>-36.4</v>
      </c>
      <c r="L64" s="2">
        <f t="shared" si="53"/>
        <v>-36.4</v>
      </c>
      <c r="M64" s="2">
        <f t="shared" si="54"/>
        <v>-37.299999999999997</v>
      </c>
    </row>
    <row r="65" spans="1:13" x14ac:dyDescent="0.35">
      <c r="A65" t="s">
        <v>56</v>
      </c>
      <c r="B65" s="2">
        <v>-3.9</v>
      </c>
      <c r="C65" s="2">
        <f>-22.6-B65</f>
        <v>-18.700000000000003</v>
      </c>
      <c r="D65" s="2">
        <f>-55.2-C65-B65</f>
        <v>-32.6</v>
      </c>
      <c r="E65" s="2">
        <f t="shared" si="52"/>
        <v>-209.19999999999996</v>
      </c>
      <c r="F65" s="2">
        <v>-7.3</v>
      </c>
      <c r="G65" s="2">
        <f>-25.2-F65</f>
        <v>-17.899999999999999</v>
      </c>
      <c r="H65" s="2">
        <f>-30.7-G65-F65</f>
        <v>-5.5000000000000009</v>
      </c>
      <c r="I65" s="2"/>
      <c r="K65" s="8">
        <v>-264.39999999999998</v>
      </c>
      <c r="L65" s="2">
        <f t="shared" si="53"/>
        <v>-264.39999999999998</v>
      </c>
      <c r="M65" s="2">
        <f t="shared" si="54"/>
        <v>-30.7</v>
      </c>
    </row>
    <row r="66" spans="1:13" x14ac:dyDescent="0.35">
      <c r="A66" t="s">
        <v>57</v>
      </c>
      <c r="B66" s="2">
        <v>2.4</v>
      </c>
      <c r="C66" s="2">
        <f>13.7-B66</f>
        <v>11.299999999999999</v>
      </c>
      <c r="D66" s="2">
        <f>17.1-C66-B66</f>
        <v>3.4000000000000026</v>
      </c>
      <c r="E66" s="2">
        <f t="shared" si="52"/>
        <v>-10.400000000000002</v>
      </c>
      <c r="F66" s="2">
        <v>17.7</v>
      </c>
      <c r="G66" s="2">
        <f>19.4-F66</f>
        <v>1.6999999999999993</v>
      </c>
      <c r="H66" s="2">
        <f>24.9-G66-F66</f>
        <v>5.5</v>
      </c>
      <c r="I66" s="2"/>
      <c r="K66" s="8">
        <v>6.7</v>
      </c>
      <c r="L66" s="2">
        <f t="shared" si="53"/>
        <v>6.6999999999999993</v>
      </c>
      <c r="M66" s="2">
        <f t="shared" si="54"/>
        <v>24.9</v>
      </c>
    </row>
    <row r="67" spans="1:13" x14ac:dyDescent="0.35">
      <c r="A67" t="s">
        <v>58</v>
      </c>
      <c r="B67" s="2">
        <v>-298.10000000000002</v>
      </c>
      <c r="C67" s="2">
        <f>-495.3-B67</f>
        <v>-197.2</v>
      </c>
      <c r="D67" s="2">
        <f>-481.6-C67-B67</f>
        <v>13.699999999999989</v>
      </c>
      <c r="E67" s="2">
        <f t="shared" si="52"/>
        <v>37.800000000000011</v>
      </c>
      <c r="F67" s="2">
        <v>24.1</v>
      </c>
      <c r="G67" s="2">
        <f>-123.3-F67</f>
        <v>-147.4</v>
      </c>
      <c r="H67" s="2">
        <f>-102.4-G67-F67</f>
        <v>20.9</v>
      </c>
      <c r="I67" s="2"/>
      <c r="K67" s="8">
        <v>-443.8</v>
      </c>
      <c r="L67" s="2">
        <f t="shared" si="53"/>
        <v>-443.8</v>
      </c>
      <c r="M67" s="2">
        <f t="shared" si="54"/>
        <v>-102.4</v>
      </c>
    </row>
    <row r="68" spans="1:13" x14ac:dyDescent="0.35">
      <c r="A68" t="s">
        <v>59</v>
      </c>
      <c r="B68" s="2">
        <v>-402.6</v>
      </c>
      <c r="C68" s="2">
        <f>-555.1-B68</f>
        <v>-152.5</v>
      </c>
      <c r="D68" s="2">
        <f>-542.9-C68-B68</f>
        <v>12.200000000000045</v>
      </c>
      <c r="E68" s="2">
        <f t="shared" si="52"/>
        <v>378.5</v>
      </c>
      <c r="F68" s="2">
        <v>-420.1</v>
      </c>
      <c r="G68" s="2">
        <f>-373.3-F68</f>
        <v>46.800000000000011</v>
      </c>
      <c r="H68" s="2">
        <f>-221.1-G68-F68</f>
        <v>152.20000000000005</v>
      </c>
      <c r="I68" s="2"/>
      <c r="K68" s="8">
        <v>-164.4</v>
      </c>
      <c r="L68" s="2">
        <f t="shared" si="53"/>
        <v>-164.39999999999998</v>
      </c>
      <c r="M68" s="2">
        <f t="shared" si="54"/>
        <v>-221.09999999999997</v>
      </c>
    </row>
    <row r="69" spans="1:13" x14ac:dyDescent="0.35">
      <c r="A69" t="s">
        <v>60</v>
      </c>
      <c r="B69" s="2">
        <v>-69.900000000000006</v>
      </c>
      <c r="C69" s="2">
        <f>-241.1-B69</f>
        <v>-171.2</v>
      </c>
      <c r="D69" s="2">
        <f>-140.6-C69-B69</f>
        <v>100.5</v>
      </c>
      <c r="E69" s="2">
        <f t="shared" si="52"/>
        <v>-102.4</v>
      </c>
      <c r="F69" s="2">
        <v>16.8</v>
      </c>
      <c r="G69" s="2">
        <f>-62.1-F69</f>
        <v>-78.900000000000006</v>
      </c>
      <c r="H69" s="2">
        <f>-79.7-G69-F69</f>
        <v>-17.599999999999998</v>
      </c>
      <c r="I69" s="2"/>
      <c r="K69" s="8">
        <v>-243</v>
      </c>
      <c r="L69" s="2">
        <f t="shared" si="53"/>
        <v>-243</v>
      </c>
      <c r="M69" s="2">
        <f t="shared" si="54"/>
        <v>-79.7</v>
      </c>
    </row>
    <row r="70" spans="1:13" x14ac:dyDescent="0.35">
      <c r="A70" t="s">
        <v>63</v>
      </c>
      <c r="B70" s="2">
        <v>39.200000000000003</v>
      </c>
      <c r="C70" s="2">
        <f>1.2-B70</f>
        <v>-38</v>
      </c>
      <c r="D70" s="2">
        <f>-56.1-C70-B70</f>
        <v>-57.300000000000004</v>
      </c>
      <c r="E70" s="2">
        <f t="shared" si="52"/>
        <v>-135.5</v>
      </c>
      <c r="F70" s="2">
        <v>74.2</v>
      </c>
      <c r="G70" s="2">
        <f>59.8-F70</f>
        <v>-14.400000000000006</v>
      </c>
      <c r="H70" s="2">
        <f>-77.4-G70-F70</f>
        <v>-137.19999999999999</v>
      </c>
      <c r="I70" s="2"/>
      <c r="K70" s="8">
        <v>-191.6</v>
      </c>
      <c r="L70" s="2">
        <f t="shared" si="53"/>
        <v>-191.6</v>
      </c>
      <c r="M70" s="2">
        <f t="shared" si="54"/>
        <v>-77.399999999999991</v>
      </c>
    </row>
    <row r="71" spans="1:13" x14ac:dyDescent="0.35">
      <c r="A71" t="s">
        <v>61</v>
      </c>
      <c r="B71" s="2">
        <v>-155.9</v>
      </c>
      <c r="C71" s="2">
        <f>128.7-B71</f>
        <v>284.60000000000002</v>
      </c>
      <c r="D71" s="2">
        <f>251.8-C71-B71</f>
        <v>123.1</v>
      </c>
      <c r="E71" s="2">
        <f t="shared" si="52"/>
        <v>314.69999999999993</v>
      </c>
      <c r="F71" s="2">
        <v>-358.2</v>
      </c>
      <c r="G71" s="2">
        <f>-178.5-F71</f>
        <v>179.7</v>
      </c>
      <c r="H71" s="2">
        <f>-286.2-G71-F71</f>
        <v>-107.69999999999999</v>
      </c>
      <c r="I71" s="2"/>
      <c r="K71" s="8">
        <v>566.5</v>
      </c>
      <c r="L71" s="2">
        <f t="shared" si="53"/>
        <v>566.5</v>
      </c>
      <c r="M71" s="2">
        <f t="shared" si="54"/>
        <v>-286.2</v>
      </c>
    </row>
    <row r="72" spans="1:13" x14ac:dyDescent="0.35">
      <c r="A72" t="s">
        <v>62</v>
      </c>
      <c r="B72" s="2">
        <v>33.1</v>
      </c>
      <c r="C72" s="2">
        <f>120.7-B72</f>
        <v>87.6</v>
      </c>
      <c r="D72" s="2">
        <f>181.2-C72-B72</f>
        <v>60.499999999999993</v>
      </c>
      <c r="E72" s="2">
        <f t="shared" si="52"/>
        <v>182.40000000000003</v>
      </c>
      <c r="F72" s="2">
        <v>45.4</v>
      </c>
      <c r="G72" s="2">
        <f>84.8-F72</f>
        <v>39.4</v>
      </c>
      <c r="H72" s="2">
        <f>105.7-G72-F72</f>
        <v>20.900000000000013</v>
      </c>
      <c r="I72" s="2"/>
      <c r="K72" s="8">
        <v>363.6</v>
      </c>
      <c r="L72" s="2">
        <f t="shared" si="53"/>
        <v>363.6</v>
      </c>
      <c r="M72" s="2">
        <f t="shared" si="54"/>
        <v>105.70000000000002</v>
      </c>
    </row>
    <row r="73" spans="1:13" s="1" customFormat="1" x14ac:dyDescent="0.35">
      <c r="A73" t="s">
        <v>64</v>
      </c>
      <c r="B73" s="3">
        <f>SUM(B59:B72)</f>
        <v>-557.1</v>
      </c>
      <c r="C73" s="3">
        <f t="shared" ref="C73:G73" si="55">SUM(C59:C72)</f>
        <v>192.10000000000005</v>
      </c>
      <c r="D73" s="3">
        <f t="shared" si="55"/>
        <v>567.69999999999993</v>
      </c>
      <c r="E73" s="3">
        <f t="shared" si="55"/>
        <v>900.40000000000009</v>
      </c>
      <c r="F73" s="3">
        <f t="shared" si="55"/>
        <v>-370.00000000000006</v>
      </c>
      <c r="G73" s="3">
        <f t="shared" si="55"/>
        <v>235.5</v>
      </c>
      <c r="H73" s="3">
        <f t="shared" ref="H73" si="56">SUM(H59:H72)</f>
        <v>26.500000000000064</v>
      </c>
      <c r="I73" s="3">
        <f t="shared" ref="I73:M73" si="57">SUM(I59:I72)</f>
        <v>0</v>
      </c>
      <c r="K73" s="9">
        <f t="shared" si="57"/>
        <v>1103.0999999999999</v>
      </c>
      <c r="L73" s="3">
        <f t="shared" si="57"/>
        <v>1103.0999999999999</v>
      </c>
      <c r="M73" s="3">
        <f t="shared" si="57"/>
        <v>-107.99999999999986</v>
      </c>
    </row>
    <row r="74" spans="1:13" x14ac:dyDescent="0.35">
      <c r="A74" s="1" t="s">
        <v>65</v>
      </c>
    </row>
    <row r="75" spans="1:13" s="1" customFormat="1" x14ac:dyDescent="0.35">
      <c r="A75"/>
      <c r="B75" s="1" t="str">
        <f t="shared" ref="B75:I75" si="58">B57</f>
        <v>Q123</v>
      </c>
      <c r="C75" s="1" t="str">
        <f t="shared" si="58"/>
        <v>Q223</v>
      </c>
      <c r="D75" s="1" t="str">
        <f t="shared" si="58"/>
        <v>Q323</v>
      </c>
      <c r="E75" s="1" t="str">
        <f t="shared" si="58"/>
        <v>Q423</v>
      </c>
      <c r="F75" s="1" t="str">
        <f t="shared" si="58"/>
        <v>Q124</v>
      </c>
      <c r="G75" s="1" t="str">
        <f t="shared" si="58"/>
        <v>Q224</v>
      </c>
      <c r="H75" s="1" t="str">
        <f t="shared" si="58"/>
        <v>Q324</v>
      </c>
      <c r="I75" s="1" t="str">
        <f t="shared" si="58"/>
        <v>Q424</v>
      </c>
      <c r="K75" s="7">
        <f>K57</f>
        <v>2023</v>
      </c>
      <c r="L75" s="1">
        <f>L57</f>
        <v>2023</v>
      </c>
      <c r="M75" s="1">
        <f>M57</f>
        <v>2024</v>
      </c>
    </row>
    <row r="76" spans="1:13" s="1" customFormat="1" x14ac:dyDescent="0.35">
      <c r="K76" s="7"/>
    </row>
    <row r="77" spans="1:13" s="1" customFormat="1" x14ac:dyDescent="0.35">
      <c r="A77" s="1" t="s">
        <v>115</v>
      </c>
      <c r="B77" s="4">
        <f>B112/B96</f>
        <v>0.61773465537015804</v>
      </c>
      <c r="C77" s="4">
        <f t="shared" ref="C77:E77" si="59">C112/C96</f>
        <v>0.63672985781990521</v>
      </c>
      <c r="D77" s="4">
        <f>D112/D96</f>
        <v>0.61628388438124937</v>
      </c>
      <c r="E77" s="4">
        <f t="shared" si="59"/>
        <v>0.5922670122228838</v>
      </c>
      <c r="F77" s="4">
        <f>F112/F96</f>
        <v>0.64675463623395146</v>
      </c>
      <c r="G77" s="4">
        <f>G112/G96</f>
        <v>0.66306926343534922</v>
      </c>
      <c r="H77" s="4">
        <f t="shared" ref="H77:I77" si="60">H112/H96</f>
        <v>0.66784878727751962</v>
      </c>
      <c r="I77" s="4" t="e">
        <f t="shared" si="60"/>
        <v>#DIV/0!</v>
      </c>
      <c r="K77" s="11">
        <f t="shared" ref="K77" si="61">K112/K96</f>
        <v>0.5922670122228838</v>
      </c>
      <c r="L77" s="4">
        <f t="shared" ref="L77:M77" si="62">L112/L96</f>
        <v>0.60872538785500874</v>
      </c>
      <c r="M77" s="4" t="e">
        <f t="shared" si="62"/>
        <v>#DIV/0!</v>
      </c>
    </row>
    <row r="78" spans="1:13" s="1" customFormat="1" x14ac:dyDescent="0.35">
      <c r="A78" s="1" t="s">
        <v>116</v>
      </c>
      <c r="B78" s="4">
        <f t="shared" ref="B78:I78" si="63">B87/B105</f>
        <v>1.5884346058278747</v>
      </c>
      <c r="C78" s="4">
        <f t="shared" si="63"/>
        <v>1.5681944960952028</v>
      </c>
      <c r="D78" s="4">
        <f t="shared" si="63"/>
        <v>1.6205239008521279</v>
      </c>
      <c r="E78" s="4">
        <f t="shared" si="63"/>
        <v>1.4598029284464498</v>
      </c>
      <c r="F78" s="4">
        <f t="shared" si="63"/>
        <v>1.9874204879901263</v>
      </c>
      <c r="G78" s="4">
        <f t="shared" si="63"/>
        <v>1.5214162942591958</v>
      </c>
      <c r="H78" s="4">
        <f t="shared" si="63"/>
        <v>1.5277446788626432</v>
      </c>
      <c r="I78" s="4" t="e">
        <f t="shared" si="63"/>
        <v>#DIV/0!</v>
      </c>
      <c r="K78" s="11">
        <f>K87/K105</f>
        <v>1.4598029284464498</v>
      </c>
      <c r="L78" s="4">
        <f>L87/L105</f>
        <v>1.4598029284464498</v>
      </c>
      <c r="M78" s="4" t="e">
        <f>M87/M105</f>
        <v>#DIV/0!</v>
      </c>
    </row>
    <row r="79" spans="1:13" s="1" customFormat="1" x14ac:dyDescent="0.35">
      <c r="A79" s="1" t="s">
        <v>114</v>
      </c>
      <c r="B79" s="3">
        <f t="shared" ref="B79:I79" si="64">B87-B105</f>
        <v>2344.5000000000009</v>
      </c>
      <c r="C79" s="3">
        <f t="shared" si="64"/>
        <v>2444.6000000000004</v>
      </c>
      <c r="D79" s="3">
        <f t="shared" si="64"/>
        <v>2556</v>
      </c>
      <c r="E79" s="3">
        <f t="shared" si="64"/>
        <v>1997.1999999999998</v>
      </c>
      <c r="F79" s="3">
        <f t="shared" si="64"/>
        <v>4160.2</v>
      </c>
      <c r="G79" s="3">
        <f t="shared" si="64"/>
        <v>2275.2000000000007</v>
      </c>
      <c r="H79" s="3">
        <f t="shared" si="64"/>
        <v>2258.7999999999993</v>
      </c>
      <c r="I79" s="3">
        <f t="shared" si="64"/>
        <v>0</v>
      </c>
      <c r="K79" s="9">
        <f>K87-K105</f>
        <v>1997.1999999999998</v>
      </c>
      <c r="L79" s="3">
        <f>L87-L105</f>
        <v>1997.1999999999998</v>
      </c>
      <c r="M79" s="3">
        <f>M87-M105</f>
        <v>0</v>
      </c>
    </row>
    <row r="81" spans="1:13" s="1" customFormat="1" x14ac:dyDescent="0.35">
      <c r="A81" s="1" t="s">
        <v>69</v>
      </c>
      <c r="K81" s="7"/>
    </row>
    <row r="82" spans="1:13" x14ac:dyDescent="0.35">
      <c r="A82" t="s">
        <v>70</v>
      </c>
      <c r="B82" s="2">
        <v>558.70000000000005</v>
      </c>
      <c r="C82" s="2">
        <v>463.5</v>
      </c>
      <c r="D82" s="2">
        <v>680.7</v>
      </c>
      <c r="E82" s="2">
        <v>595.5</v>
      </c>
      <c r="F82" s="2">
        <v>2455.8000000000002</v>
      </c>
      <c r="G82" s="2">
        <v>657.3</v>
      </c>
      <c r="H82" s="2">
        <v>622.6</v>
      </c>
      <c r="I82" s="2"/>
      <c r="K82" s="8">
        <v>595.5</v>
      </c>
      <c r="L82" s="2">
        <f>E82</f>
        <v>595.5</v>
      </c>
      <c r="M82" s="2"/>
    </row>
    <row r="83" spans="1:13" x14ac:dyDescent="0.35">
      <c r="A83" t="s">
        <v>71</v>
      </c>
      <c r="B83" s="2">
        <v>1530.7</v>
      </c>
      <c r="C83" s="2">
        <v>1706.4</v>
      </c>
      <c r="D83" s="2">
        <v>1643.9</v>
      </c>
      <c r="E83" s="2">
        <v>1605.3</v>
      </c>
      <c r="F83" s="2">
        <v>1542.2</v>
      </c>
      <c r="G83" s="2">
        <v>1465.9</v>
      </c>
      <c r="H83" s="2">
        <v>1448.4</v>
      </c>
      <c r="I83" s="2"/>
      <c r="K83" s="8">
        <v>1605.3</v>
      </c>
      <c r="L83" s="2">
        <f t="shared" ref="L83:L86" si="65">E83</f>
        <v>1605.3</v>
      </c>
      <c r="M83" s="2"/>
    </row>
    <row r="84" spans="1:13" x14ac:dyDescent="0.35">
      <c r="A84" t="s">
        <v>72</v>
      </c>
      <c r="B84" s="2">
        <v>3642.8</v>
      </c>
      <c r="C84" s="2">
        <v>3829.9</v>
      </c>
      <c r="D84" s="2">
        <v>3726</v>
      </c>
      <c r="E84" s="2">
        <v>3440.7</v>
      </c>
      <c r="F84" s="2">
        <v>3781.2</v>
      </c>
      <c r="G84" s="2">
        <v>3499.4</v>
      </c>
      <c r="H84" s="2">
        <v>3443.2</v>
      </c>
      <c r="I84" s="2"/>
      <c r="K84" s="8">
        <v>3440.7</v>
      </c>
      <c r="L84" s="2">
        <f t="shared" si="65"/>
        <v>3440.7</v>
      </c>
      <c r="M84" s="2"/>
    </row>
    <row r="85" spans="1:13" x14ac:dyDescent="0.35">
      <c r="A85" t="s">
        <v>58</v>
      </c>
      <c r="B85" s="2">
        <v>596.6</v>
      </c>
      <c r="C85" s="2">
        <v>747.2</v>
      </c>
      <c r="D85" s="2">
        <v>624.5</v>
      </c>
      <c r="E85" s="2">
        <v>699.3</v>
      </c>
      <c r="F85" s="2">
        <v>594.20000000000005</v>
      </c>
      <c r="G85" s="2">
        <v>583.1</v>
      </c>
      <c r="H85" s="2">
        <v>607.70000000000005</v>
      </c>
      <c r="I85" s="2"/>
      <c r="K85" s="8">
        <v>699.3</v>
      </c>
      <c r="L85" s="2">
        <f t="shared" si="65"/>
        <v>699.3</v>
      </c>
      <c r="M85" s="2"/>
    </row>
    <row r="86" spans="1:13" x14ac:dyDescent="0.35">
      <c r="A86" t="s">
        <v>123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6">
        <v>433</v>
      </c>
      <c r="H86" s="6">
        <v>417</v>
      </c>
      <c r="I86" s="2"/>
      <c r="K86" s="8">
        <v>0</v>
      </c>
      <c r="L86" s="2">
        <f t="shared" si="65"/>
        <v>0</v>
      </c>
      <c r="M86" s="2"/>
    </row>
    <row r="87" spans="1:13" s="1" customFormat="1" x14ac:dyDescent="0.35">
      <c r="A87" s="1" t="s">
        <v>73</v>
      </c>
      <c r="B87" s="3">
        <f t="shared" ref="B87:D87" si="66">SUM(B82:B86)</f>
        <v>6328.8000000000011</v>
      </c>
      <c r="C87" s="3">
        <f t="shared" si="66"/>
        <v>6747</v>
      </c>
      <c r="D87" s="3">
        <f t="shared" si="66"/>
        <v>6675.1</v>
      </c>
      <c r="E87" s="3">
        <f>SUM(E82:E86)</f>
        <v>6340.8</v>
      </c>
      <c r="F87" s="3">
        <f>SUM(F82:F86)</f>
        <v>8373.4</v>
      </c>
      <c r="G87" s="3">
        <f>SUM(G82:G86)</f>
        <v>6638.7000000000007</v>
      </c>
      <c r="H87" s="3">
        <f t="shared" ref="H87:I87" si="67">SUM(H82:H86)</f>
        <v>6538.9</v>
      </c>
      <c r="I87" s="3">
        <f t="shared" si="67"/>
        <v>0</v>
      </c>
      <c r="K87" s="9">
        <f>SUM(K82:K86)</f>
        <v>6340.8</v>
      </c>
      <c r="L87" s="3">
        <f>SUM(L82:L86)</f>
        <v>6340.8</v>
      </c>
      <c r="M87" s="3">
        <f>SUM(M82:M86)</f>
        <v>0</v>
      </c>
    </row>
    <row r="88" spans="1:13" x14ac:dyDescent="0.35">
      <c r="A88" t="s">
        <v>74</v>
      </c>
      <c r="B88" s="2">
        <v>1668.7</v>
      </c>
      <c r="C88" s="2">
        <v>1738.6</v>
      </c>
      <c r="D88" s="2">
        <v>1750.4</v>
      </c>
      <c r="E88" s="2">
        <v>1920.9</v>
      </c>
      <c r="F88" s="2">
        <v>1886.7</v>
      </c>
      <c r="G88" s="2">
        <v>1802.1</v>
      </c>
      <c r="H88" s="2">
        <v>1880.6</v>
      </c>
      <c r="I88" s="2"/>
      <c r="K88" s="8">
        <v>1920.9</v>
      </c>
      <c r="L88" s="2">
        <f t="shared" ref="L88:L92" si="68">E88</f>
        <v>1920.9</v>
      </c>
      <c r="M88" s="2"/>
    </row>
    <row r="89" spans="1:13" x14ac:dyDescent="0.35">
      <c r="A89" t="s">
        <v>75</v>
      </c>
      <c r="B89" s="2">
        <v>160.80000000000001</v>
      </c>
      <c r="C89" s="2">
        <v>170.8</v>
      </c>
      <c r="D89" s="2">
        <v>167.3</v>
      </c>
      <c r="E89" s="2">
        <v>176.2</v>
      </c>
      <c r="F89" s="2">
        <v>175</v>
      </c>
      <c r="G89" s="2">
        <v>168.4</v>
      </c>
      <c r="H89" s="2">
        <v>171.8</v>
      </c>
      <c r="I89" s="2"/>
      <c r="K89" s="8">
        <v>176.2</v>
      </c>
      <c r="L89" s="2">
        <f t="shared" si="68"/>
        <v>176.2</v>
      </c>
      <c r="M89" s="2"/>
    </row>
    <row r="90" spans="1:13" x14ac:dyDescent="0.35">
      <c r="A90" t="s">
        <v>76</v>
      </c>
      <c r="B90" s="2">
        <v>456.5</v>
      </c>
      <c r="C90" s="2">
        <v>507.2</v>
      </c>
      <c r="D90" s="2">
        <v>512.20000000000005</v>
      </c>
      <c r="E90" s="2">
        <v>512.70000000000005</v>
      </c>
      <c r="F90" s="2">
        <v>520.5</v>
      </c>
      <c r="G90" s="2">
        <v>518.29999999999995</v>
      </c>
      <c r="H90" s="2">
        <v>551.5</v>
      </c>
      <c r="I90" s="2"/>
      <c r="K90" s="8">
        <v>512.70000000000005</v>
      </c>
      <c r="L90" s="2">
        <f t="shared" si="68"/>
        <v>512.70000000000005</v>
      </c>
      <c r="M90" s="2"/>
    </row>
    <row r="91" spans="1:13" x14ac:dyDescent="0.35">
      <c r="A91" t="s">
        <v>77</v>
      </c>
      <c r="B91" s="2">
        <v>232.9</v>
      </c>
      <c r="C91" s="2">
        <v>260.3</v>
      </c>
      <c r="D91" s="2">
        <v>299.60000000000002</v>
      </c>
      <c r="E91" s="2">
        <v>481.6</v>
      </c>
      <c r="F91" s="2">
        <v>489.8</v>
      </c>
      <c r="G91" s="2">
        <v>499</v>
      </c>
      <c r="H91" s="2">
        <v>507.3</v>
      </c>
      <c r="I91" s="2"/>
      <c r="K91" s="8">
        <v>481.6</v>
      </c>
      <c r="L91" s="2">
        <f t="shared" si="68"/>
        <v>481.6</v>
      </c>
      <c r="M91" s="2"/>
    </row>
    <row r="92" spans="1:13" x14ac:dyDescent="0.35">
      <c r="A92" t="s">
        <v>58</v>
      </c>
      <c r="B92" s="2">
        <v>287.39999999999998</v>
      </c>
      <c r="C92" s="2">
        <v>302.10000000000002</v>
      </c>
      <c r="D92" s="2">
        <v>315.2</v>
      </c>
      <c r="E92" s="2">
        <v>346.8</v>
      </c>
      <c r="F92" s="2">
        <v>396.4</v>
      </c>
      <c r="G92" s="2">
        <v>442.3</v>
      </c>
      <c r="H92" s="2">
        <v>450.5</v>
      </c>
      <c r="I92" s="2"/>
      <c r="K92" s="8">
        <v>346.8</v>
      </c>
      <c r="L92" s="2">
        <f t="shared" si="68"/>
        <v>346.8</v>
      </c>
      <c r="M92" s="2"/>
    </row>
    <row r="93" spans="1:13" x14ac:dyDescent="0.35">
      <c r="A93" t="s">
        <v>126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6">
        <v>448.3</v>
      </c>
      <c r="H93" s="6">
        <v>459</v>
      </c>
      <c r="I93" s="2"/>
      <c r="K93" s="8">
        <v>0</v>
      </c>
      <c r="L93" s="2">
        <f>E95</f>
        <v>1333.4</v>
      </c>
      <c r="M93" s="2"/>
    </row>
    <row r="94" spans="1:13" x14ac:dyDescent="0.35">
      <c r="A94" t="s">
        <v>78</v>
      </c>
      <c r="B94" s="2">
        <v>354</v>
      </c>
      <c r="C94" s="2">
        <v>341</v>
      </c>
      <c r="D94" s="2">
        <v>322.8</v>
      </c>
      <c r="E94" s="2">
        <v>308.8</v>
      </c>
      <c r="F94" s="2">
        <v>291.60000000000002</v>
      </c>
      <c r="G94" s="2">
        <v>689.9</v>
      </c>
      <c r="H94" s="2">
        <v>588.79999999999995</v>
      </c>
      <c r="I94" s="2"/>
      <c r="K94" s="8">
        <v>308.8</v>
      </c>
      <c r="L94" s="2">
        <f>E93</f>
        <v>0</v>
      </c>
      <c r="M94" s="2"/>
    </row>
    <row r="95" spans="1:13" x14ac:dyDescent="0.35">
      <c r="A95" t="s">
        <v>79</v>
      </c>
      <c r="B95" s="2">
        <v>1322.5</v>
      </c>
      <c r="C95" s="2">
        <v>1327</v>
      </c>
      <c r="D95" s="2">
        <v>1308.5</v>
      </c>
      <c r="E95" s="2">
        <v>1333.4</v>
      </c>
      <c r="F95" s="2">
        <v>1325.8</v>
      </c>
      <c r="G95" s="2">
        <v>2451</v>
      </c>
      <c r="H95" s="2">
        <v>2358.4</v>
      </c>
      <c r="I95" s="2"/>
      <c r="K95" s="8">
        <v>1333.4</v>
      </c>
      <c r="L95" s="2"/>
      <c r="M95" s="2"/>
    </row>
    <row r="96" spans="1:13" s="1" customFormat="1" x14ac:dyDescent="0.35">
      <c r="A96" s="1" t="s">
        <v>80</v>
      </c>
      <c r="B96" s="3">
        <f t="shared" ref="B96:H96" si="69">SUM(B87:B95)</f>
        <v>10811.6</v>
      </c>
      <c r="C96" s="3">
        <f t="shared" si="69"/>
        <v>11394</v>
      </c>
      <c r="D96" s="3">
        <f t="shared" si="69"/>
        <v>11351.1</v>
      </c>
      <c r="E96" s="3">
        <f t="shared" si="69"/>
        <v>11421.2</v>
      </c>
      <c r="F96" s="3">
        <f t="shared" si="69"/>
        <v>13459.199999999999</v>
      </c>
      <c r="G96" s="3">
        <f t="shared" si="69"/>
        <v>13657.999999999998</v>
      </c>
      <c r="H96" s="3">
        <f t="shared" si="69"/>
        <v>13506.799999999997</v>
      </c>
      <c r="I96" s="3">
        <f>SUM(I87:I93)</f>
        <v>0</v>
      </c>
      <c r="K96" s="9">
        <f>SUM(K87:K95)</f>
        <v>11421.2</v>
      </c>
      <c r="L96" s="3">
        <f>SUM(L87:L93)</f>
        <v>11112.400000000001</v>
      </c>
      <c r="M96" s="3">
        <f>SUM(M87:M93)</f>
        <v>0</v>
      </c>
    </row>
    <row r="97" spans="1:13" x14ac:dyDescent="0.35">
      <c r="B97" s="2"/>
      <c r="C97" s="2"/>
      <c r="D97" s="2"/>
      <c r="E97" s="2"/>
      <c r="F97" s="2"/>
      <c r="G97" s="2"/>
      <c r="H97" s="2"/>
      <c r="I97" s="2"/>
      <c r="K97" s="8"/>
      <c r="L97" s="2"/>
      <c r="M97" s="2"/>
    </row>
    <row r="98" spans="1:13" s="1" customFormat="1" x14ac:dyDescent="0.35">
      <c r="A98" s="1" t="s">
        <v>81</v>
      </c>
      <c r="B98" s="3"/>
      <c r="C98" s="3"/>
      <c r="D98" s="3"/>
      <c r="E98" s="3"/>
      <c r="F98" s="3"/>
      <c r="G98" s="3"/>
      <c r="H98" s="3"/>
      <c r="I98" s="3"/>
      <c r="K98" s="9"/>
      <c r="L98" s="3"/>
      <c r="M98" s="3"/>
    </row>
    <row r="99" spans="1:13" x14ac:dyDescent="0.35">
      <c r="A99" t="s">
        <v>132</v>
      </c>
      <c r="B99" s="2">
        <v>190.6</v>
      </c>
      <c r="C99" s="2">
        <v>191.1</v>
      </c>
      <c r="D99" s="2">
        <v>79.900000000000006</v>
      </c>
      <c r="E99" s="2">
        <v>15</v>
      </c>
      <c r="F99" s="2">
        <v>300.39999999999998</v>
      </c>
      <c r="G99" s="2">
        <v>320.2</v>
      </c>
      <c r="H99" s="2">
        <v>412.3</v>
      </c>
      <c r="I99" s="2"/>
      <c r="K99" s="8">
        <v>15</v>
      </c>
      <c r="L99" s="2">
        <f t="shared" ref="L99:L104" si="70">E99</f>
        <v>15</v>
      </c>
      <c r="M99" s="2"/>
    </row>
    <row r="100" spans="1:13" x14ac:dyDescent="0.35">
      <c r="A100" t="s">
        <v>133</v>
      </c>
      <c r="B100" s="2">
        <v>4.9000000000000004</v>
      </c>
      <c r="C100" s="2">
        <v>56</v>
      </c>
      <c r="D100" s="2">
        <v>25.9</v>
      </c>
      <c r="E100" s="2">
        <v>0</v>
      </c>
      <c r="F100" s="2"/>
      <c r="G100" s="2"/>
      <c r="H100" s="2"/>
      <c r="I100" s="2"/>
      <c r="K100" s="8"/>
      <c r="L100" s="2"/>
      <c r="M100" s="2"/>
    </row>
    <row r="101" spans="1:13" x14ac:dyDescent="0.35">
      <c r="A101" t="s">
        <v>82</v>
      </c>
      <c r="B101" s="2">
        <v>1426.6</v>
      </c>
      <c r="C101" s="2">
        <v>1391</v>
      </c>
      <c r="D101" s="2">
        <v>1308.4000000000001</v>
      </c>
      <c r="E101" s="2">
        <v>1207.3</v>
      </c>
      <c r="F101" s="2">
        <v>1238</v>
      </c>
      <c r="G101" s="2">
        <v>1075.7</v>
      </c>
      <c r="H101" s="2">
        <v>961.1</v>
      </c>
      <c r="I101" s="2"/>
      <c r="K101" s="8">
        <v>1207.3</v>
      </c>
      <c r="L101" s="2">
        <f t="shared" si="70"/>
        <v>1207.3</v>
      </c>
      <c r="M101" s="2"/>
    </row>
    <row r="102" spans="1:13" x14ac:dyDescent="0.35">
      <c r="A102" t="s">
        <v>83</v>
      </c>
      <c r="B102" s="2">
        <v>2144.3000000000002</v>
      </c>
      <c r="C102" s="2">
        <v>2445.4</v>
      </c>
      <c r="D102" s="2">
        <v>2507.3000000000002</v>
      </c>
      <c r="E102" s="2">
        <v>2903.8</v>
      </c>
      <c r="F102" s="2">
        <v>2489.1999999999998</v>
      </c>
      <c r="G102" s="2">
        <v>2543.1</v>
      </c>
      <c r="H102" s="2">
        <v>2508.8000000000002</v>
      </c>
      <c r="I102" s="2"/>
      <c r="K102" s="8">
        <v>2903.8</v>
      </c>
      <c r="L102" s="2">
        <f t="shared" si="70"/>
        <v>2903.8</v>
      </c>
      <c r="M102" s="2"/>
    </row>
    <row r="103" spans="1:13" x14ac:dyDescent="0.35">
      <c r="A103" t="s">
        <v>84</v>
      </c>
      <c r="B103" s="2">
        <v>217.9</v>
      </c>
      <c r="C103" s="2">
        <v>218.9</v>
      </c>
      <c r="D103" s="2">
        <v>197.6</v>
      </c>
      <c r="E103" s="2">
        <v>217.5</v>
      </c>
      <c r="F103" s="2">
        <v>185.6</v>
      </c>
      <c r="G103" s="2">
        <v>154.19999999999999</v>
      </c>
      <c r="H103" s="2">
        <v>138.30000000000001</v>
      </c>
      <c r="I103" s="2"/>
      <c r="K103" s="8">
        <v>217.5</v>
      </c>
      <c r="L103" s="2">
        <f t="shared" si="70"/>
        <v>217.5</v>
      </c>
      <c r="M103" s="2"/>
    </row>
    <row r="104" spans="1:13" x14ac:dyDescent="0.35">
      <c r="A104" t="s">
        <v>124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6">
        <v>270.3</v>
      </c>
      <c r="H104" s="6">
        <v>259.60000000000002</v>
      </c>
      <c r="I104" s="2"/>
      <c r="K104" s="8">
        <v>0</v>
      </c>
      <c r="L104" s="2">
        <f t="shared" si="70"/>
        <v>0</v>
      </c>
      <c r="M104" s="2"/>
    </row>
    <row r="105" spans="1:13" s="1" customFormat="1" x14ac:dyDescent="0.35">
      <c r="A105" s="1" t="s">
        <v>85</v>
      </c>
      <c r="B105" s="3">
        <f t="shared" ref="B105:D105" si="71">SUM(B99:B104)</f>
        <v>3984.3</v>
      </c>
      <c r="C105" s="3">
        <f t="shared" si="71"/>
        <v>4302.3999999999996</v>
      </c>
      <c r="D105" s="3">
        <f t="shared" si="71"/>
        <v>4119.1000000000004</v>
      </c>
      <c r="E105" s="3">
        <f>SUM(E99:E104)</f>
        <v>4343.6000000000004</v>
      </c>
      <c r="F105" s="3">
        <f>SUM(F99:F104)</f>
        <v>4213.2</v>
      </c>
      <c r="G105" s="3">
        <f>SUM(G99:G104)</f>
        <v>4363.5</v>
      </c>
      <c r="H105" s="3">
        <f t="shared" ref="H105:I105" si="72">SUM(H99:H104)</f>
        <v>4280.1000000000004</v>
      </c>
      <c r="I105" s="3">
        <f t="shared" si="72"/>
        <v>0</v>
      </c>
      <c r="K105" s="9">
        <f>SUM(K99:K104)</f>
        <v>4343.6000000000004</v>
      </c>
      <c r="L105" s="3">
        <f>SUM(L99:L104)</f>
        <v>4343.6000000000004</v>
      </c>
      <c r="M105" s="3">
        <f>SUM(M99:M104)</f>
        <v>0</v>
      </c>
    </row>
    <row r="106" spans="1:13" x14ac:dyDescent="0.35">
      <c r="A106" t="s">
        <v>86</v>
      </c>
      <c r="B106" s="2">
        <v>1791.1</v>
      </c>
      <c r="C106" s="2">
        <v>2014.2</v>
      </c>
      <c r="D106" s="2">
        <v>1919.7</v>
      </c>
      <c r="E106" s="2">
        <v>1377.2</v>
      </c>
      <c r="F106" s="2">
        <v>3425.7</v>
      </c>
      <c r="G106" s="6">
        <v>3595.2</v>
      </c>
      <c r="H106" s="2">
        <v>3610</v>
      </c>
      <c r="I106" s="2"/>
      <c r="K106" s="8">
        <v>1377.2</v>
      </c>
      <c r="L106" s="2">
        <f t="shared" ref="L106:L113" si="73">E106</f>
        <v>1377.2</v>
      </c>
      <c r="M106" s="2"/>
    </row>
    <row r="107" spans="1:13" x14ac:dyDescent="0.35">
      <c r="A107" t="s">
        <v>87</v>
      </c>
      <c r="B107" s="2">
        <v>122.3</v>
      </c>
      <c r="C107" s="2">
        <v>130.80000000000001</v>
      </c>
      <c r="D107" s="2">
        <v>128.19999999999999</v>
      </c>
      <c r="E107" s="2">
        <v>134.4</v>
      </c>
      <c r="F107" s="2">
        <v>133</v>
      </c>
      <c r="G107" s="2">
        <v>127.4</v>
      </c>
      <c r="H107" s="2">
        <v>129</v>
      </c>
      <c r="I107" s="2"/>
      <c r="K107" s="8">
        <v>134.4</v>
      </c>
      <c r="L107" s="2">
        <f t="shared" si="73"/>
        <v>134.4</v>
      </c>
      <c r="M107" s="2"/>
    </row>
    <row r="108" spans="1:13" x14ac:dyDescent="0.35">
      <c r="A108" t="s">
        <v>88</v>
      </c>
      <c r="B108" s="2">
        <v>160.1</v>
      </c>
      <c r="C108" s="2">
        <v>161.19999999999999</v>
      </c>
      <c r="D108" s="2">
        <v>159.4</v>
      </c>
      <c r="E108" s="2">
        <v>170.5</v>
      </c>
      <c r="F108" s="2">
        <v>167.9</v>
      </c>
      <c r="G108" s="2">
        <v>164.7</v>
      </c>
      <c r="H108" s="2">
        <v>167.9</v>
      </c>
      <c r="I108" s="2"/>
      <c r="K108" s="8">
        <v>170.5</v>
      </c>
      <c r="L108" s="2">
        <f t="shared" si="73"/>
        <v>170.5</v>
      </c>
      <c r="M108" s="2"/>
    </row>
    <row r="109" spans="1:13" x14ac:dyDescent="0.35">
      <c r="A109" t="s">
        <v>89</v>
      </c>
      <c r="B109" s="2">
        <v>115.3</v>
      </c>
      <c r="C109" s="2">
        <v>116.1</v>
      </c>
      <c r="D109" s="2">
        <v>112.5</v>
      </c>
      <c r="E109" s="2">
        <v>122.6</v>
      </c>
      <c r="F109" s="2">
        <v>119.5</v>
      </c>
      <c r="G109" s="2">
        <v>111.5</v>
      </c>
      <c r="H109" s="2">
        <v>120.4</v>
      </c>
      <c r="I109" s="2"/>
      <c r="K109" s="8">
        <v>122.6</v>
      </c>
      <c r="L109" s="2">
        <f t="shared" si="73"/>
        <v>122.6</v>
      </c>
      <c r="M109" s="2"/>
    </row>
    <row r="110" spans="1:13" x14ac:dyDescent="0.35">
      <c r="A110" t="s">
        <v>90</v>
      </c>
      <c r="B110" s="2">
        <v>505.6</v>
      </c>
      <c r="C110" s="2">
        <v>530.20000000000005</v>
      </c>
      <c r="D110" s="2">
        <v>556.6</v>
      </c>
      <c r="E110" s="2">
        <v>616.1</v>
      </c>
      <c r="F110" s="2">
        <v>645.5</v>
      </c>
      <c r="G110" s="2">
        <v>666</v>
      </c>
      <c r="H110" s="2">
        <v>686.2</v>
      </c>
      <c r="I110" s="2"/>
      <c r="K110" s="8">
        <v>616.1</v>
      </c>
      <c r="L110" s="2">
        <f t="shared" si="73"/>
        <v>616.1</v>
      </c>
      <c r="M110" s="2"/>
    </row>
    <row r="111" spans="1:13" x14ac:dyDescent="0.35">
      <c r="A111" t="s">
        <v>125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6">
        <v>27.9</v>
      </c>
      <c r="H111" s="6">
        <v>26.9</v>
      </c>
      <c r="I111" s="2"/>
      <c r="K111" s="8">
        <v>0</v>
      </c>
      <c r="L111" s="2">
        <f t="shared" si="73"/>
        <v>0</v>
      </c>
      <c r="M111" s="2"/>
    </row>
    <row r="112" spans="1:13" s="1" customFormat="1" x14ac:dyDescent="0.35">
      <c r="A112" s="1" t="s">
        <v>91</v>
      </c>
      <c r="B112" s="3">
        <f t="shared" ref="B112:F112" si="74">SUM(B105:B111)</f>
        <v>6678.7000000000007</v>
      </c>
      <c r="C112" s="3">
        <f t="shared" si="74"/>
        <v>7254.9</v>
      </c>
      <c r="D112" s="3">
        <f t="shared" si="74"/>
        <v>6995.5</v>
      </c>
      <c r="E112" s="3">
        <f t="shared" si="74"/>
        <v>6764.4000000000005</v>
      </c>
      <c r="F112" s="3">
        <f t="shared" si="74"/>
        <v>8704.7999999999993</v>
      </c>
      <c r="G112" s="3">
        <f>SUM(G105:G111)</f>
        <v>9056.1999999999989</v>
      </c>
      <c r="H112" s="3">
        <f t="shared" ref="H112:I112" si="75">SUM(H105:H111)</f>
        <v>9020.5</v>
      </c>
      <c r="I112" s="3">
        <f t="shared" si="75"/>
        <v>0</v>
      </c>
      <c r="K112" s="9">
        <f t="shared" ref="K112" si="76">SUM(K105:K111)</f>
        <v>6764.4000000000005</v>
      </c>
      <c r="L112" s="3">
        <f t="shared" ref="L112" si="77">SUM(L105:L111)</f>
        <v>6764.4000000000005</v>
      </c>
      <c r="M112" s="3">
        <f t="shared" ref="M112" si="78">SUM(M105:M111)</f>
        <v>0</v>
      </c>
    </row>
    <row r="113" spans="1:13" x14ac:dyDescent="0.35">
      <c r="A113" t="s">
        <v>127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6">
        <v>548.4</v>
      </c>
      <c r="H113" s="6">
        <v>337.5</v>
      </c>
      <c r="I113" s="2"/>
      <c r="K113" s="8">
        <v>0</v>
      </c>
      <c r="L113" s="2">
        <f t="shared" si="73"/>
        <v>0</v>
      </c>
      <c r="M113" s="2"/>
    </row>
    <row r="115" spans="1:13" s="1" customFormat="1" x14ac:dyDescent="0.35">
      <c r="A115" s="1" t="s">
        <v>92</v>
      </c>
      <c r="K115" s="7"/>
    </row>
    <row r="116" spans="1:13" x14ac:dyDescent="0.35">
      <c r="A116" t="s">
        <v>93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/>
      <c r="K116" s="8">
        <v>0</v>
      </c>
      <c r="L116" s="2">
        <f t="shared" ref="L116:L120" si="79">E116</f>
        <v>0</v>
      </c>
      <c r="M116" s="2">
        <f t="shared" ref="M116:M120" si="80">SUM(F116:I116)</f>
        <v>0</v>
      </c>
    </row>
    <row r="117" spans="1:13" x14ac:dyDescent="0.35">
      <c r="A117" t="s">
        <v>94</v>
      </c>
      <c r="B117" s="2">
        <v>0.7</v>
      </c>
      <c r="C117" s="2">
        <v>0.7</v>
      </c>
      <c r="D117" s="2">
        <v>0.7</v>
      </c>
      <c r="E117" s="2">
        <v>0.7</v>
      </c>
      <c r="F117" s="2">
        <v>0.7</v>
      </c>
      <c r="G117" s="2">
        <v>0.7</v>
      </c>
      <c r="H117" s="2">
        <v>0.7</v>
      </c>
      <c r="I117" s="2"/>
      <c r="K117" s="8">
        <v>0.7</v>
      </c>
      <c r="L117" s="2">
        <f t="shared" si="79"/>
        <v>0.7</v>
      </c>
      <c r="M117" s="2">
        <f t="shared" si="80"/>
        <v>2.0999999999999996</v>
      </c>
    </row>
    <row r="118" spans="1:13" x14ac:dyDescent="0.35">
      <c r="A118" t="s">
        <v>95</v>
      </c>
      <c r="B118" s="2">
        <v>24.7</v>
      </c>
      <c r="C118" s="2">
        <v>36.1</v>
      </c>
      <c r="D118" s="2">
        <v>46</v>
      </c>
      <c r="E118" s="2">
        <v>4.0999999999999996</v>
      </c>
      <c r="F118" s="2">
        <v>0</v>
      </c>
      <c r="G118" s="2">
        <v>9.1999999999999993</v>
      </c>
      <c r="H118" s="2">
        <v>12.4</v>
      </c>
      <c r="I118" s="2"/>
      <c r="K118" s="8">
        <v>4.0999999999999996</v>
      </c>
      <c r="L118" s="2">
        <f t="shared" si="79"/>
        <v>4.0999999999999996</v>
      </c>
      <c r="M118" s="2">
        <f t="shared" si="80"/>
        <v>21.6</v>
      </c>
    </row>
    <row r="119" spans="1:13" x14ac:dyDescent="0.35">
      <c r="A119" t="s">
        <v>96</v>
      </c>
      <c r="B119" s="2">
        <v>5863.7</v>
      </c>
      <c r="C119" s="2">
        <v>5786.8</v>
      </c>
      <c r="D119" s="2">
        <v>6045.7</v>
      </c>
      <c r="E119" s="2">
        <v>6360</v>
      </c>
      <c r="F119" s="2">
        <v>6505.9</v>
      </c>
      <c r="G119" s="2">
        <v>5930.6</v>
      </c>
      <c r="H119" s="2">
        <v>5938.9</v>
      </c>
      <c r="I119" s="2"/>
      <c r="K119" s="8">
        <v>6360</v>
      </c>
      <c r="L119" s="2">
        <f t="shared" si="79"/>
        <v>6360</v>
      </c>
      <c r="M119" s="2">
        <f t="shared" si="80"/>
        <v>18375.400000000001</v>
      </c>
    </row>
    <row r="120" spans="1:13" x14ac:dyDescent="0.35">
      <c r="A120" t="s">
        <v>97</v>
      </c>
      <c r="B120" s="2">
        <v>-1756.4</v>
      </c>
      <c r="C120" s="2">
        <v>-1684.8</v>
      </c>
      <c r="D120" s="2">
        <v>-1736.9</v>
      </c>
      <c r="E120" s="2">
        <v>-1708.1</v>
      </c>
      <c r="F120" s="2">
        <v>-1751.5</v>
      </c>
      <c r="G120" s="2">
        <v>-1886.7</v>
      </c>
      <c r="H120" s="2">
        <v>-1803.2</v>
      </c>
      <c r="I120" s="2"/>
      <c r="K120" s="8">
        <v>-1708.1</v>
      </c>
      <c r="L120" s="2">
        <f t="shared" si="79"/>
        <v>-1708.1</v>
      </c>
      <c r="M120" s="2">
        <f t="shared" si="80"/>
        <v>-5441.4</v>
      </c>
    </row>
    <row r="121" spans="1:13" s="1" customFormat="1" x14ac:dyDescent="0.35">
      <c r="A121" s="1" t="s">
        <v>98</v>
      </c>
      <c r="B121" s="3">
        <f t="shared" ref="B121:G121" si="81">SUM(B116:B120)</f>
        <v>4132.6999999999989</v>
      </c>
      <c r="C121" s="3">
        <f t="shared" si="81"/>
        <v>4138.8</v>
      </c>
      <c r="D121" s="3">
        <f t="shared" si="81"/>
        <v>4355.5</v>
      </c>
      <c r="E121" s="3">
        <f t="shared" si="81"/>
        <v>4656.7000000000007</v>
      </c>
      <c r="F121" s="3">
        <f t="shared" si="81"/>
        <v>4755.0999999999995</v>
      </c>
      <c r="G121" s="3">
        <f t="shared" si="81"/>
        <v>4053.8</v>
      </c>
      <c r="H121" s="3">
        <f t="shared" ref="H121:M121" si="82">SUM(H116:H120)</f>
        <v>4148.8</v>
      </c>
      <c r="I121" s="3">
        <f t="shared" si="82"/>
        <v>0</v>
      </c>
      <c r="K121" s="9">
        <f>SUM(K116:K120)</f>
        <v>4656.7000000000007</v>
      </c>
      <c r="L121" s="3">
        <f t="shared" si="82"/>
        <v>4656.7000000000007</v>
      </c>
      <c r="M121" s="3">
        <f t="shared" si="82"/>
        <v>12957.700000000003</v>
      </c>
    </row>
    <row r="122" spans="1:13" x14ac:dyDescent="0.35">
      <c r="A122" t="s">
        <v>99</v>
      </c>
      <c r="B122" s="2">
        <v>0.2</v>
      </c>
      <c r="C122" s="2">
        <v>0.2</v>
      </c>
      <c r="D122" s="2">
        <v>0.1</v>
      </c>
      <c r="E122" s="2">
        <v>0.1</v>
      </c>
      <c r="F122" s="2">
        <v>0.1</v>
      </c>
      <c r="G122" s="2">
        <v>0.1</v>
      </c>
      <c r="H122" s="2">
        <v>0</v>
      </c>
      <c r="I122" s="2"/>
      <c r="K122" s="8">
        <v>0.1</v>
      </c>
      <c r="L122" s="2"/>
      <c r="M122" s="2"/>
    </row>
    <row r="123" spans="1:13" s="1" customFormat="1" x14ac:dyDescent="0.35">
      <c r="A123" s="1" t="s">
        <v>100</v>
      </c>
      <c r="B123" s="3">
        <f t="shared" ref="B123:G123" si="83">SUM(B121:B122)</f>
        <v>4132.8999999999987</v>
      </c>
      <c r="C123" s="3">
        <f t="shared" si="83"/>
        <v>4139</v>
      </c>
      <c r="D123" s="3">
        <f t="shared" si="83"/>
        <v>4355.6000000000004</v>
      </c>
      <c r="E123" s="3">
        <f t="shared" si="83"/>
        <v>4656.8000000000011</v>
      </c>
      <c r="F123" s="3">
        <f t="shared" si="83"/>
        <v>4755.2</v>
      </c>
      <c r="G123" s="3">
        <f t="shared" si="83"/>
        <v>4053.9</v>
      </c>
      <c r="H123" s="3">
        <f t="shared" ref="H123:M123" si="84">SUM(H121:H122)</f>
        <v>4148.8</v>
      </c>
      <c r="I123" s="3">
        <f t="shared" si="84"/>
        <v>0</v>
      </c>
      <c r="K123" s="9">
        <f>SUM(K121:K122)</f>
        <v>4656.8000000000011</v>
      </c>
      <c r="L123" s="3">
        <f t="shared" si="84"/>
        <v>4656.7000000000007</v>
      </c>
      <c r="M123" s="3">
        <f t="shared" si="84"/>
        <v>12957.700000000003</v>
      </c>
    </row>
    <row r="124" spans="1:13" s="1" customFormat="1" x14ac:dyDescent="0.35">
      <c r="A124" s="1" t="s">
        <v>101</v>
      </c>
      <c r="B124" s="3">
        <f t="shared" ref="B124:F124" si="85">B123+B112+B113</f>
        <v>10811.599999999999</v>
      </c>
      <c r="C124" s="3">
        <f t="shared" si="85"/>
        <v>11393.9</v>
      </c>
      <c r="D124" s="3">
        <f t="shared" si="85"/>
        <v>11351.1</v>
      </c>
      <c r="E124" s="3">
        <f t="shared" si="85"/>
        <v>11421.2</v>
      </c>
      <c r="F124" s="3">
        <f t="shared" si="85"/>
        <v>13460</v>
      </c>
      <c r="G124" s="3">
        <f>G123+G112+G113</f>
        <v>13658.499999999998</v>
      </c>
      <c r="H124" s="3">
        <f>H123+H112+H113</f>
        <v>13506.8</v>
      </c>
      <c r="I124" s="3">
        <f t="shared" ref="I124:M124" si="86">I123+I112</f>
        <v>0</v>
      </c>
      <c r="K124" s="9">
        <f t="shared" ref="K124" si="87">K123+K112+K113</f>
        <v>11421.2</v>
      </c>
      <c r="L124" s="3">
        <f t="shared" si="86"/>
        <v>11421.100000000002</v>
      </c>
      <c r="M124" s="3">
        <f t="shared" si="86"/>
        <v>12957.700000000003</v>
      </c>
    </row>
    <row r="125" spans="1:13" x14ac:dyDescent="0.35">
      <c r="C125" s="2"/>
      <c r="D125" s="2"/>
      <c r="E125" s="2"/>
      <c r="F125" s="2"/>
      <c r="G125" s="2"/>
      <c r="H125" s="2"/>
      <c r="I125" s="2"/>
      <c r="K125" s="8"/>
      <c r="L125" s="2"/>
      <c r="M125" s="2"/>
    </row>
    <row r="126" spans="1:13" s="1" customFormat="1" x14ac:dyDescent="0.35">
      <c r="A126" s="1" t="s">
        <v>102</v>
      </c>
      <c r="C126" s="3"/>
      <c r="D126" s="3"/>
      <c r="E126" s="3"/>
      <c r="F126" s="3"/>
      <c r="G126" s="3"/>
      <c r="H126" s="3"/>
      <c r="I126" s="3"/>
      <c r="K126" s="9"/>
      <c r="L126" s="3"/>
      <c r="M126" s="3"/>
    </row>
    <row r="127" spans="1:13" x14ac:dyDescent="0.35">
      <c r="A127" t="s">
        <v>103</v>
      </c>
      <c r="B127" s="2">
        <v>1248.4000000000001</v>
      </c>
      <c r="C127" s="2">
        <v>1458</v>
      </c>
      <c r="D127" s="2">
        <v>1464</v>
      </c>
      <c r="E127" s="2">
        <v>1460.7</v>
      </c>
      <c r="F127" s="2">
        <v>1608.6</v>
      </c>
      <c r="G127" s="2">
        <v>1605.1</v>
      </c>
      <c r="H127" s="2">
        <v>1604.6</v>
      </c>
      <c r="I127" s="2"/>
      <c r="K127" s="8">
        <v>1460.7</v>
      </c>
      <c r="L127" s="2">
        <f t="shared" ref="L127:L130" si="88">E127</f>
        <v>1460.7</v>
      </c>
      <c r="M127" s="2">
        <f t="shared" ref="M127:M130" si="89">SUM(F127:I127)</f>
        <v>4818.2999999999993</v>
      </c>
    </row>
    <row r="128" spans="1:13" x14ac:dyDescent="0.35">
      <c r="A128" t="s">
        <v>104</v>
      </c>
      <c r="B128" s="2">
        <v>789</v>
      </c>
      <c r="C128" s="2">
        <v>823</v>
      </c>
      <c r="D128" s="2">
        <v>807.9</v>
      </c>
      <c r="E128" s="2">
        <v>823.1</v>
      </c>
      <c r="F128" s="2">
        <v>831.9</v>
      </c>
      <c r="G128" s="2">
        <v>808.6</v>
      </c>
      <c r="H128" s="2">
        <v>813.5</v>
      </c>
      <c r="I128" s="2"/>
      <c r="K128" s="8">
        <v>823.1</v>
      </c>
      <c r="L128" s="2">
        <f t="shared" si="88"/>
        <v>823.1</v>
      </c>
      <c r="M128" s="2">
        <f t="shared" si="89"/>
        <v>2454</v>
      </c>
    </row>
    <row r="129" spans="1:13" x14ac:dyDescent="0.35">
      <c r="A129" t="s">
        <v>105</v>
      </c>
      <c r="B129" s="2">
        <v>461.1</v>
      </c>
      <c r="C129" s="2">
        <v>448.8</v>
      </c>
      <c r="D129" s="2">
        <v>432.6</v>
      </c>
      <c r="E129" s="2">
        <v>255.2</v>
      </c>
      <c r="F129" s="2">
        <v>379.8</v>
      </c>
      <c r="G129" s="2">
        <v>279</v>
      </c>
      <c r="H129" s="2">
        <v>260.3</v>
      </c>
      <c r="I129" s="2"/>
      <c r="K129" s="8">
        <v>255.2</v>
      </c>
      <c r="L129" s="2">
        <f t="shared" si="88"/>
        <v>255.2</v>
      </c>
      <c r="M129" s="2">
        <f t="shared" si="89"/>
        <v>919.09999999999991</v>
      </c>
    </row>
    <row r="130" spans="1:13" x14ac:dyDescent="0.35">
      <c r="A130" t="s">
        <v>106</v>
      </c>
      <c r="B130" s="2">
        <v>1144.3</v>
      </c>
      <c r="C130" s="2">
        <v>1100.0999999999999</v>
      </c>
      <c r="D130" s="2">
        <v>1021.5</v>
      </c>
      <c r="E130" s="2">
        <v>901.7</v>
      </c>
      <c r="F130" s="2">
        <v>961.6</v>
      </c>
      <c r="G130" s="2">
        <v>806.7</v>
      </c>
      <c r="H130" s="2">
        <v>764.8</v>
      </c>
      <c r="I130" s="2"/>
      <c r="K130" s="8">
        <v>901.7</v>
      </c>
      <c r="L130" s="2">
        <f t="shared" si="88"/>
        <v>901.7</v>
      </c>
      <c r="M130" s="2">
        <f t="shared" si="89"/>
        <v>2533.1000000000004</v>
      </c>
    </row>
    <row r="131" spans="1:13" s="1" customFormat="1" x14ac:dyDescent="0.35">
      <c r="A131" s="1" t="s">
        <v>107</v>
      </c>
      <c r="B131" s="3">
        <f t="shared" ref="B131:G131" si="90">SUM(B127:B130)</f>
        <v>3642.8</v>
      </c>
      <c r="C131" s="3">
        <f t="shared" si="90"/>
        <v>3829.9</v>
      </c>
      <c r="D131" s="3">
        <f t="shared" si="90"/>
        <v>3726</v>
      </c>
      <c r="E131" s="3">
        <f t="shared" si="90"/>
        <v>3440.7</v>
      </c>
      <c r="F131" s="3">
        <f t="shared" si="90"/>
        <v>3781.9</v>
      </c>
      <c r="G131" s="3">
        <f t="shared" si="90"/>
        <v>3499.3999999999996</v>
      </c>
      <c r="H131" s="3">
        <f t="shared" ref="H131:M131" si="91">SUM(H127:H130)</f>
        <v>3443.2</v>
      </c>
      <c r="I131" s="3">
        <f t="shared" si="91"/>
        <v>0</v>
      </c>
      <c r="K131" s="9">
        <f>SUM(K127:K130)</f>
        <v>3440.7</v>
      </c>
      <c r="L131" s="3">
        <f t="shared" si="91"/>
        <v>3440.7</v>
      </c>
      <c r="M131" s="3">
        <f t="shared" si="91"/>
        <v>10724.5</v>
      </c>
    </row>
  </sheetData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85-2426-4E91-A53A-49EB82E2095F}">
  <dimension ref="A1"/>
  <sheetViews>
    <sheetView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product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 Christner</cp:lastModifiedBy>
  <dcterms:created xsi:type="dcterms:W3CDTF">2015-06-05T18:17:20Z</dcterms:created>
  <dcterms:modified xsi:type="dcterms:W3CDTF">2024-12-19T03:42:48Z</dcterms:modified>
</cp:coreProperties>
</file>