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CNH/"/>
    </mc:Choice>
  </mc:AlternateContent>
  <xr:revisionPtr revIDLastSave="1110" documentId="11_F25DC773A252ABDACC104889191A52245ADE58E6" xr6:coauthVersionLast="47" xr6:coauthVersionMax="47" xr10:uidLastSave="{A95AEB0F-3471-4ED8-ADA3-BDDEF56173C0}"/>
  <bookViews>
    <workbookView xWindow="19800" yWindow="1330" windowWidth="17580" windowHeight="19410" activeTab="1" xr2:uid="{00000000-000D-0000-FFFF-FFFF00000000}"/>
  </bookViews>
  <sheets>
    <sheet name="main" sheetId="2" r:id="rId1"/>
    <sheet name="model" sheetId="1" r:id="rId2"/>
    <sheet name="notes" sheetId="4" r:id="rId3"/>
    <sheet name="todo" sheetId="5" r:id="rId4"/>
    <sheet name="M&amp;A,Ptsh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4" i="1"/>
  <c r="E53" i="1"/>
  <c r="L64" i="1"/>
  <c r="M104" i="1"/>
  <c r="M103" i="1"/>
  <c r="M102" i="1"/>
  <c r="M101" i="1"/>
  <c r="M100" i="1"/>
  <c r="M99" i="1"/>
  <c r="M95" i="1"/>
  <c r="M93" i="1"/>
  <c r="M92" i="1"/>
  <c r="M91" i="1"/>
  <c r="M90" i="1"/>
  <c r="M89" i="1"/>
  <c r="M88" i="1"/>
  <c r="M87" i="1"/>
  <c r="M83" i="1"/>
  <c r="M82" i="1"/>
  <c r="M81" i="1"/>
  <c r="M80" i="1"/>
  <c r="M79" i="1"/>
  <c r="M78" i="1"/>
  <c r="M77" i="1"/>
  <c r="M76" i="1"/>
  <c r="M74" i="1"/>
  <c r="M73" i="1"/>
  <c r="M72" i="1"/>
  <c r="M71" i="1"/>
  <c r="M70" i="1"/>
  <c r="M69" i="1"/>
  <c r="M21" i="1"/>
  <c r="M18" i="1"/>
  <c r="E14" i="1"/>
  <c r="M14" i="1" s="1"/>
  <c r="E13" i="1"/>
  <c r="E12" i="1"/>
  <c r="E11" i="1"/>
  <c r="M11" i="1" s="1"/>
  <c r="E7" i="1"/>
  <c r="M7" i="1" s="1"/>
  <c r="E6" i="1"/>
  <c r="M6" i="1" s="1"/>
  <c r="E4" i="1"/>
  <c r="M4" i="1" s="1"/>
  <c r="E3" i="1"/>
  <c r="M3" i="1" s="1"/>
  <c r="L22" i="1"/>
  <c r="K22" i="1"/>
  <c r="L19" i="1"/>
  <c r="K19" i="1"/>
  <c r="L15" i="1"/>
  <c r="K15" i="1"/>
  <c r="K5" i="1"/>
  <c r="K8" i="1" s="1"/>
  <c r="L5" i="1"/>
  <c r="L8" i="1" s="1"/>
  <c r="E39" i="1"/>
  <c r="E38" i="1"/>
  <c r="M38" i="1" s="1"/>
  <c r="E37" i="1"/>
  <c r="M37" i="1" s="1"/>
  <c r="E34" i="1"/>
  <c r="E33" i="1"/>
  <c r="E32" i="1"/>
  <c r="M32" i="1" s="1"/>
  <c r="E31" i="1"/>
  <c r="M31" i="1" s="1"/>
  <c r="E30" i="1"/>
  <c r="M30" i="1" s="1"/>
  <c r="E28" i="1"/>
  <c r="M28" i="1" s="1"/>
  <c r="E26" i="1"/>
  <c r="E25" i="1"/>
  <c r="K35" i="1"/>
  <c r="K27" i="1"/>
  <c r="L35" i="1"/>
  <c r="L27" i="1"/>
  <c r="L29" i="1" s="1"/>
  <c r="G63" i="1"/>
  <c r="H63" i="1" s="1"/>
  <c r="N63" i="1" s="1"/>
  <c r="G62" i="1"/>
  <c r="H62" i="1" s="1"/>
  <c r="N62" i="1" s="1"/>
  <c r="G61" i="1"/>
  <c r="H61" i="1" s="1"/>
  <c r="N61" i="1" s="1"/>
  <c r="G60" i="1"/>
  <c r="H60" i="1" s="1"/>
  <c r="N60" i="1" s="1"/>
  <c r="G59" i="1"/>
  <c r="H59" i="1" s="1"/>
  <c r="N59" i="1" s="1"/>
  <c r="G58" i="1"/>
  <c r="H58" i="1" s="1"/>
  <c r="N58" i="1" s="1"/>
  <c r="G57" i="1"/>
  <c r="H57" i="1" s="1"/>
  <c r="N57" i="1" s="1"/>
  <c r="G56" i="1"/>
  <c r="H56" i="1" s="1"/>
  <c r="N56" i="1" s="1"/>
  <c r="G55" i="1"/>
  <c r="H55" i="1" s="1"/>
  <c r="N55" i="1" s="1"/>
  <c r="G54" i="1"/>
  <c r="H54" i="1" s="1"/>
  <c r="N54" i="1" s="1"/>
  <c r="G53" i="1"/>
  <c r="H53" i="1" s="1"/>
  <c r="N53" i="1" s="1"/>
  <c r="G52" i="1"/>
  <c r="C57" i="1"/>
  <c r="D57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E58" i="1" s="1"/>
  <c r="C56" i="1"/>
  <c r="D56" i="1" s="1"/>
  <c r="C55" i="1"/>
  <c r="D55" i="1" s="1"/>
  <c r="C54" i="1"/>
  <c r="D54" i="1" s="1"/>
  <c r="C53" i="1"/>
  <c r="D53" i="1" s="1"/>
  <c r="C52" i="1"/>
  <c r="E94" i="1"/>
  <c r="B35" i="1"/>
  <c r="B27" i="1"/>
  <c r="G35" i="1"/>
  <c r="G27" i="1"/>
  <c r="G29" i="1" s="1"/>
  <c r="N50" i="1"/>
  <c r="N66" i="1" s="1"/>
  <c r="M50" i="1"/>
  <c r="I50" i="1"/>
  <c r="I66" i="1" s="1"/>
  <c r="H50" i="1"/>
  <c r="H66" i="1" s="1"/>
  <c r="G50" i="1"/>
  <c r="G66" i="1" s="1"/>
  <c r="F50" i="1"/>
  <c r="F66" i="1" s="1"/>
  <c r="E50" i="1"/>
  <c r="E66" i="1" s="1"/>
  <c r="D50" i="1"/>
  <c r="D66" i="1" s="1"/>
  <c r="C50" i="1"/>
  <c r="C66" i="1" s="1"/>
  <c r="M66" i="1"/>
  <c r="B50" i="1"/>
  <c r="B66" i="1" s="1"/>
  <c r="N14" i="1"/>
  <c r="N13" i="1"/>
  <c r="N12" i="1"/>
  <c r="N11" i="1"/>
  <c r="M12" i="1"/>
  <c r="I15" i="1"/>
  <c r="H15" i="1"/>
  <c r="G15" i="1"/>
  <c r="F15" i="1"/>
  <c r="C15" i="1"/>
  <c r="B15" i="1"/>
  <c r="D15" i="1"/>
  <c r="N4" i="1"/>
  <c r="N3" i="1"/>
  <c r="N7" i="1"/>
  <c r="N6" i="1"/>
  <c r="N18" i="1"/>
  <c r="N17" i="1"/>
  <c r="N21" i="1"/>
  <c r="N20" i="1"/>
  <c r="M17" i="1"/>
  <c r="M20" i="1"/>
  <c r="I19" i="1"/>
  <c r="I22" i="1" s="1"/>
  <c r="H19" i="1"/>
  <c r="H22" i="1" s="1"/>
  <c r="G19" i="1"/>
  <c r="G22" i="1" s="1"/>
  <c r="F19" i="1"/>
  <c r="F22" i="1" s="1"/>
  <c r="C19" i="1"/>
  <c r="C22" i="1" s="1"/>
  <c r="B19" i="1"/>
  <c r="B22" i="1" s="1"/>
  <c r="D19" i="1"/>
  <c r="D22" i="1" s="1"/>
  <c r="I5" i="1"/>
  <c r="I8" i="1" s="1"/>
  <c r="H5" i="1"/>
  <c r="H8" i="1" s="1"/>
  <c r="G5" i="1"/>
  <c r="G8" i="1" s="1"/>
  <c r="F5" i="1"/>
  <c r="F8" i="1" s="1"/>
  <c r="C5" i="1"/>
  <c r="C8" i="1" s="1"/>
  <c r="B5" i="1"/>
  <c r="B8" i="1" s="1"/>
  <c r="D5" i="1"/>
  <c r="D8" i="1" s="1"/>
  <c r="N69" i="1"/>
  <c r="I105" i="1"/>
  <c r="H105" i="1"/>
  <c r="G105" i="1"/>
  <c r="F105" i="1"/>
  <c r="E105" i="1"/>
  <c r="C105" i="1"/>
  <c r="B105" i="1"/>
  <c r="I94" i="1"/>
  <c r="H94" i="1"/>
  <c r="G94" i="1"/>
  <c r="F94" i="1"/>
  <c r="C94" i="1"/>
  <c r="B94" i="1"/>
  <c r="I75" i="1"/>
  <c r="I84" i="1" s="1"/>
  <c r="H75" i="1"/>
  <c r="H84" i="1" s="1"/>
  <c r="G75" i="1"/>
  <c r="G84" i="1" s="1"/>
  <c r="F75" i="1"/>
  <c r="F84" i="1" s="1"/>
  <c r="E75" i="1"/>
  <c r="E84" i="1" s="1"/>
  <c r="C75" i="1"/>
  <c r="C84" i="1" s="1"/>
  <c r="B75" i="1"/>
  <c r="B84" i="1" s="1"/>
  <c r="I35" i="1"/>
  <c r="H35" i="1"/>
  <c r="F35" i="1"/>
  <c r="C35" i="1"/>
  <c r="I27" i="1"/>
  <c r="H27" i="1"/>
  <c r="F27" i="1"/>
  <c r="F29" i="1" s="1"/>
  <c r="C27" i="1"/>
  <c r="C29" i="1" s="1"/>
  <c r="I64" i="1"/>
  <c r="F64" i="1"/>
  <c r="B64" i="1"/>
  <c r="N104" i="1"/>
  <c r="N103" i="1"/>
  <c r="N102" i="1"/>
  <c r="N101" i="1"/>
  <c r="N100" i="1"/>
  <c r="N99" i="1"/>
  <c r="N95" i="1"/>
  <c r="N93" i="1"/>
  <c r="N92" i="1"/>
  <c r="N91" i="1"/>
  <c r="N90" i="1"/>
  <c r="N89" i="1"/>
  <c r="N88" i="1"/>
  <c r="N87" i="1"/>
  <c r="N83" i="1"/>
  <c r="N82" i="1"/>
  <c r="N81" i="1"/>
  <c r="N80" i="1"/>
  <c r="N79" i="1"/>
  <c r="N78" i="1"/>
  <c r="N77" i="1"/>
  <c r="N74" i="1"/>
  <c r="N73" i="1"/>
  <c r="N72" i="1"/>
  <c r="N71" i="1"/>
  <c r="N70" i="1"/>
  <c r="N76" i="1"/>
  <c r="N48" i="1"/>
  <c r="N46" i="1"/>
  <c r="N45" i="1"/>
  <c r="N39" i="1"/>
  <c r="N38" i="1"/>
  <c r="N37" i="1"/>
  <c r="N34" i="1"/>
  <c r="N33" i="1"/>
  <c r="N32" i="1"/>
  <c r="N31" i="1"/>
  <c r="N30" i="1"/>
  <c r="N28" i="1"/>
  <c r="N26" i="1"/>
  <c r="N25" i="1"/>
  <c r="M48" i="1"/>
  <c r="M46" i="1"/>
  <c r="M45" i="1"/>
  <c r="M39" i="1"/>
  <c r="M34" i="1"/>
  <c r="M33" i="1"/>
  <c r="M26" i="1"/>
  <c r="M25" i="1"/>
  <c r="D105" i="1"/>
  <c r="D94" i="1"/>
  <c r="D75" i="1"/>
  <c r="D84" i="1" s="1"/>
  <c r="M61" i="1" l="1"/>
  <c r="E56" i="1"/>
  <c r="M56" i="1" s="1"/>
  <c r="M53" i="1"/>
  <c r="M62" i="1"/>
  <c r="E57" i="1"/>
  <c r="M57" i="1" s="1"/>
  <c r="M54" i="1"/>
  <c r="M63" i="1"/>
  <c r="L36" i="1"/>
  <c r="L40" i="1" s="1"/>
  <c r="E55" i="1"/>
  <c r="M55" i="1" s="1"/>
  <c r="M58" i="1"/>
  <c r="M59" i="1"/>
  <c r="M60" i="1"/>
  <c r="E19" i="1"/>
  <c r="E22" i="1" s="1"/>
  <c r="E15" i="1"/>
  <c r="M13" i="1"/>
  <c r="M15" i="1" s="1"/>
  <c r="E5" i="1"/>
  <c r="E8" i="1" s="1"/>
  <c r="E35" i="1"/>
  <c r="E27" i="1"/>
  <c r="E29" i="1" s="1"/>
  <c r="K36" i="1"/>
  <c r="K40" i="1" s="1"/>
  <c r="K43" i="1" s="1"/>
  <c r="K29" i="1"/>
  <c r="B36" i="1"/>
  <c r="B40" i="1" s="1"/>
  <c r="B43" i="1" s="1"/>
  <c r="H52" i="1"/>
  <c r="N52" i="1" s="1"/>
  <c r="N64" i="1" s="1"/>
  <c r="G64" i="1"/>
  <c r="C64" i="1"/>
  <c r="D52" i="1"/>
  <c r="G36" i="1"/>
  <c r="G40" i="1" s="1"/>
  <c r="B29" i="1"/>
  <c r="N15" i="1"/>
  <c r="M5" i="1"/>
  <c r="M8" i="1" s="1"/>
  <c r="N5" i="1"/>
  <c r="N8" i="1" s="1"/>
  <c r="N19" i="1"/>
  <c r="N22" i="1" s="1"/>
  <c r="M19" i="1"/>
  <c r="M22" i="1" s="1"/>
  <c r="I36" i="1"/>
  <c r="I40" i="1" s="1"/>
  <c r="I43" i="1" s="1"/>
  <c r="B97" i="1"/>
  <c r="C97" i="1"/>
  <c r="E97" i="1"/>
  <c r="M27" i="1"/>
  <c r="M29" i="1" s="1"/>
  <c r="G97" i="1"/>
  <c r="I97" i="1"/>
  <c r="F97" i="1"/>
  <c r="H97" i="1"/>
  <c r="N105" i="1"/>
  <c r="B106" i="1"/>
  <c r="N27" i="1"/>
  <c r="N29" i="1" s="1"/>
  <c r="H36" i="1"/>
  <c r="H40" i="1" s="1"/>
  <c r="H43" i="1" s="1"/>
  <c r="M75" i="1"/>
  <c r="M84" i="1" s="1"/>
  <c r="F36" i="1"/>
  <c r="F40" i="1" s="1"/>
  <c r="F42" i="1" s="1"/>
  <c r="M35" i="1"/>
  <c r="M94" i="1"/>
  <c r="D97" i="1"/>
  <c r="M105" i="1"/>
  <c r="C36" i="1"/>
  <c r="C40" i="1" s="1"/>
  <c r="C43" i="1" s="1"/>
  <c r="N35" i="1"/>
  <c r="N94" i="1"/>
  <c r="I29" i="1"/>
  <c r="G106" i="1"/>
  <c r="H106" i="1"/>
  <c r="C106" i="1"/>
  <c r="I106" i="1"/>
  <c r="E106" i="1"/>
  <c r="F106" i="1"/>
  <c r="N75" i="1"/>
  <c r="N84" i="1" s="1"/>
  <c r="H64" i="1"/>
  <c r="D106" i="1"/>
  <c r="D35" i="1"/>
  <c r="E36" i="1" l="1"/>
  <c r="E40" i="1" s="1"/>
  <c r="E43" i="1" s="1"/>
  <c r="L42" i="1"/>
  <c r="L43" i="1"/>
  <c r="E52" i="1"/>
  <c r="E64" i="1" s="1"/>
  <c r="K42" i="1"/>
  <c r="D64" i="1"/>
  <c r="I42" i="1"/>
  <c r="N106" i="1"/>
  <c r="E42" i="1"/>
  <c r="M36" i="1"/>
  <c r="M40" i="1" s="1"/>
  <c r="M43" i="1" s="1"/>
  <c r="M106" i="1"/>
  <c r="C42" i="1"/>
  <c r="B42" i="1"/>
  <c r="F43" i="1"/>
  <c r="N36" i="1"/>
  <c r="N40" i="1" s="1"/>
  <c r="N43" i="1" s="1"/>
  <c r="H42" i="1"/>
  <c r="N97" i="1"/>
  <c r="M97" i="1"/>
  <c r="G43" i="1"/>
  <c r="G42" i="1"/>
  <c r="M52" i="1" l="1"/>
  <c r="M64" i="1" s="1"/>
  <c r="M42" i="1"/>
  <c r="N42" i="1"/>
  <c r="D27" i="1" l="1"/>
  <c r="D29" i="1" s="1"/>
  <c r="H29" i="1" l="1"/>
  <c r="D36" i="1"/>
  <c r="D40" i="1" l="1"/>
  <c r="D42" i="1" l="1"/>
  <c r="D43" i="1"/>
</calcChain>
</file>

<file path=xl/sharedStrings.xml><?xml version="1.0" encoding="utf-8"?>
<sst xmlns="http://schemas.openxmlformats.org/spreadsheetml/2006/main" count="284" uniqueCount="155">
  <si>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</si>
  <si>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</si>
  <si>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</si>
  <si>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</si>
  <si>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</si>
  <si>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</si>
  <si>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</si>
  <si>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</si>
  <si>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</si>
  <si>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R&amp;D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</si>
  <si>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</si>
  <si>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</si>
  <si>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</si>
  <si>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</si>
  <si>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</si>
  <si>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</si>
  <si>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</si>
  <si>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</si>
  <si>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</si>
  <si>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</si>
  <si>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</si>
  <si>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</si>
  <si>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</si>
  <si>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</si>
  <si>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</si>
  <si>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</si>
  <si>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</si>
  <si>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</si>
  <si>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</si>
  <si>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</si>
  <si>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</si>
  <si>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</si>
  <si>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</si>
  <si>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</si>
  <si>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</si>
  <si>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</si>
  <si>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</si>
  <si>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</si>
  <si>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</si>
  <si>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</si>
  <si>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</si>
  <si>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</si>
  <si>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</si>
  <si>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</si>
  <si>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</si>
  <si>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</si>
  <si>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</si>
  <si>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</si>
  <si>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</si>
  <si>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</si>
  <si>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</si>
  <si>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</si>
  <si>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</si>
  <si>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</si>
  <si>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</si>
  <si>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</si>
  <si>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</si>
  <si>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</si>
  <si>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</si>
  <si>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</si>
  <si>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</si>
  <si>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</si>
  <si>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</si>
  <si>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</si>
  <si>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</si>
  <si>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</si>
  <si>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</si>
  <si>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</si>
  <si>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</si>
  <si>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</si>
  <si>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</si>
  <si>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</si>
  <si>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</si>
  <si>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</si>
  <si>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</si>
  <si>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</si>
  <si>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</si>
  <si>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</si>
  <si>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</si>
  <si>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</si>
  <si>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</si>
  <si>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</si>
  <si>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</si>
  <si>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</si>
  <si>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</si>
  <si>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</si>
  <si>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</si>
  <si>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</si>
  <si>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</si>
  <si>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</si>
  <si>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</si>
  <si>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</si>
  <si>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</si>
  <si>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</si>
  <si>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</si>
  <si>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</si>
  <si>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</si>
  <si>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</si>
  <si>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</si>
  <si>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</si>
  <si>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</si>
  <si>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</si>
  <si>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</si>
  <si>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</si>
  <si>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</si>
  <si>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</si>
  <si>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</si>
  <si>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</si>
  <si>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</si>
  <si>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</si>
  <si>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</si>
  <si>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</si>
  <si>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</si>
  <si>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</si>
  <si>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</si>
  <si>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</si>
  <si>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</si>
  <si>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</si>
  <si>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</si>
  <si>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</si>
  <si>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</si>
  <si>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</si>
  <si>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</si>
  <si>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</si>
  <si>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</si>
  <si>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</si>
  <si>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</si>
  <si>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</si>
  <si>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</si>
  <si>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</si>
  <si>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</si>
  <si>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</si>
  <si>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</si>
  <si>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</si>
  <si>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</si>
  <si>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</si>
  <si>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</si>
  <si>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</si>
  <si>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</si>
  <si>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</si>
  <si>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</si>
  <si>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</si>
  <si>
    <t>Ptshp with Intelsat, large integrated satellite and terrestrial comms network, to provide farmers access to internet via ruggedized sat comms service. Multi-orbin internet access to connect CNH equipment working in remote locations and easy-to-use sat terminals for farm environment. Roll-out in Brazil (19% of ag acreage had internet access).</t>
  </si>
  <si>
    <t>Fill in all quarters back to q122</t>
  </si>
  <si>
    <t>De-merged from Iveco Group - starting Q122</t>
  </si>
  <si>
    <t>Purchased Specialty Enterprises, LLC, manufacturer of spray booms and spray boom accessories. $50M.</t>
  </si>
  <si>
    <t>Q421</t>
  </si>
  <si>
    <t>Purchased 90% of Sampierana S.p.A. for $100M. Italian company specializing in the development, manufacture, and commercialization of earthmoving machines, undercarriages, and spare parts.</t>
  </si>
  <si>
    <t>Purchased 100% of cap stock of Raven Industries, Inc. - total $2.1B. Based in Sioux Falls, SD. 3 business divisions: Applied Tech (precision ag tech), Engineered Films, and Aerostar. Engineered Films and Aerostar were held for sale.</t>
  </si>
  <si>
    <t>use for scripting</t>
  </si>
  <si>
    <t>x</t>
  </si>
  <si>
    <t>xxx</t>
  </si>
  <si>
    <t>Quarter</t>
  </si>
  <si>
    <t>q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</si>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</sst>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2" borderId="0" xfId="0" applyFill="1"/>
    <xf numFmtId="2" fontId="1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D42"/>
  <sheetViews>
    <sheetView workbookViewId="0">
      <selection activeCell="B5" sqref="B5"/>
    </sheetView>
  </sheetViews>
  <sheetFormatPr defaultRowHeight="14.5" x14ac:dyDescent="0.35"/>
  <sheetData>
    <row r="2" spans="2:4" x14ac:dyDescent="0.35">
      <c r="B2" t="s">
        <v>90</v>
      </c>
    </row>
    <row r="4" spans="2:4" x14ac:dyDescent="0.35">
      <c r="B4" t="s">
        <v>144</v>
      </c>
    </row>
    <row r="6" spans="2:4" x14ac:dyDescent="0.35">
      <c r="B6" t="s">
        <v>126</v>
      </c>
    </row>
    <row r="7" spans="2:4" x14ac:dyDescent="0.35">
      <c r="B7" t="s">
        <v>125</v>
      </c>
    </row>
    <row r="8" spans="2:4" x14ac:dyDescent="0.35">
      <c r="B8" t="s">
        <v>124</v>
      </c>
    </row>
    <row r="10" spans="2:4" x14ac:dyDescent="0.35">
      <c r="B10" t="s">
        <v>94</v>
      </c>
    </row>
    <row r="11" spans="2:4" x14ac:dyDescent="0.35">
      <c r="C11" t="s">
        <v>106</v>
      </c>
    </row>
    <row r="12" spans="2:4" x14ac:dyDescent="0.35">
      <c r="D12" t="s">
        <v>96</v>
      </c>
    </row>
    <row r="13" spans="2:4" x14ac:dyDescent="0.35">
      <c r="D13" t="s">
        <v>97</v>
      </c>
    </row>
    <row r="14" spans="2:4" x14ac:dyDescent="0.35">
      <c r="D14" t="s">
        <v>98</v>
      </c>
    </row>
    <row r="15" spans="2:4" x14ac:dyDescent="0.35">
      <c r="D15" t="s">
        <v>99</v>
      </c>
    </row>
    <row r="16" spans="2:4" x14ac:dyDescent="0.35">
      <c r="D16" t="s">
        <v>100</v>
      </c>
    </row>
    <row r="17" spans="3:4" x14ac:dyDescent="0.35">
      <c r="D17" t="s">
        <v>101</v>
      </c>
    </row>
    <row r="18" spans="3:4" x14ac:dyDescent="0.35">
      <c r="D18" t="s">
        <v>102</v>
      </c>
    </row>
    <row r="19" spans="3:4" x14ac:dyDescent="0.35">
      <c r="D19" t="s">
        <v>103</v>
      </c>
    </row>
    <row r="20" spans="3:4" x14ac:dyDescent="0.35">
      <c r="D20" t="s">
        <v>104</v>
      </c>
    </row>
    <row r="21" spans="3:4" x14ac:dyDescent="0.35">
      <c r="C21" t="s">
        <v>105</v>
      </c>
    </row>
    <row r="22" spans="3:4" x14ac:dyDescent="0.35">
      <c r="D22" t="s">
        <v>115</v>
      </c>
    </row>
    <row r="23" spans="3:4" x14ac:dyDescent="0.35">
      <c r="D23" t="s">
        <v>116</v>
      </c>
    </row>
    <row r="24" spans="3:4" x14ac:dyDescent="0.35">
      <c r="C24" t="s">
        <v>80</v>
      </c>
    </row>
    <row r="25" spans="3:4" x14ac:dyDescent="0.35">
      <c r="D25" t="s">
        <v>107</v>
      </c>
    </row>
    <row r="26" spans="3:4" x14ac:dyDescent="0.35">
      <c r="D26" t="s">
        <v>108</v>
      </c>
    </row>
    <row r="27" spans="3:4" x14ac:dyDescent="0.35">
      <c r="D27" t="s">
        <v>109</v>
      </c>
    </row>
    <row r="28" spans="3:4" x14ac:dyDescent="0.35">
      <c r="D28" t="s">
        <v>110</v>
      </c>
    </row>
    <row r="29" spans="3:4" x14ac:dyDescent="0.35">
      <c r="D29" t="s">
        <v>111</v>
      </c>
    </row>
    <row r="30" spans="3:4" x14ac:dyDescent="0.35">
      <c r="D30" t="s">
        <v>112</v>
      </c>
    </row>
    <row r="31" spans="3:4" x14ac:dyDescent="0.35">
      <c r="D31" t="s">
        <v>113</v>
      </c>
    </row>
    <row r="32" spans="3:4" x14ac:dyDescent="0.35">
      <c r="C32" t="s">
        <v>105</v>
      </c>
    </row>
    <row r="33" spans="2:4" x14ac:dyDescent="0.35">
      <c r="D33" t="s">
        <v>114</v>
      </c>
    </row>
    <row r="34" spans="2:4" x14ac:dyDescent="0.35">
      <c r="C34" t="s">
        <v>95</v>
      </c>
    </row>
    <row r="35" spans="2:4" x14ac:dyDescent="0.35">
      <c r="D35" t="s">
        <v>117</v>
      </c>
    </row>
    <row r="36" spans="2:4" x14ac:dyDescent="0.35">
      <c r="D36" t="s">
        <v>118</v>
      </c>
    </row>
    <row r="37" spans="2:4" x14ac:dyDescent="0.35">
      <c r="D37" t="s">
        <v>119</v>
      </c>
    </row>
    <row r="38" spans="2:4" x14ac:dyDescent="0.35">
      <c r="D38" t="s">
        <v>120</v>
      </c>
    </row>
    <row r="40" spans="2:4" x14ac:dyDescent="0.35">
      <c r="B40" t="s">
        <v>121</v>
      </c>
    </row>
    <row r="41" spans="2:4" x14ac:dyDescent="0.35">
      <c r="C41" t="s">
        <v>122</v>
      </c>
    </row>
    <row r="42" spans="2:4" x14ac:dyDescent="0.35">
      <c r="C4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zoomScale="85" zoomScaleNormal="85" workbookViewId="0">
      <pane xSplit="1" topLeftCell="B1" activePane="topRight" state="frozen"/>
      <selection pane="topRight" activeCell="K2" sqref="K2"/>
    </sheetView>
  </sheetViews>
  <sheetFormatPr defaultRowHeight="14.5" x14ac:dyDescent="0.35"/>
  <cols>
    <col min="1" max="1" width="31.7265625" bestFit="1" customWidth="1"/>
    <col min="12" max="12" width="0" style="6" hidden="1" customWidth="1"/>
  </cols>
  <sheetData>
    <row r="1" spans="1:14" x14ac:dyDescent="0.35">
      <c r="A1" t="s">
        <v>149</v>
      </c>
      <c r="B1" t="s">
        <v>153</v>
      </c>
      <c r="C1" t="s">
        <v>153</v>
      </c>
      <c r="D1" t="s">
        <v>153</v>
      </c>
      <c r="E1" t="s">
        <v>153</v>
      </c>
      <c r="F1" t="s">
        <v>153</v>
      </c>
      <c r="G1" t="s">
        <v>153</v>
      </c>
      <c r="H1" t="s">
        <v>153</v>
      </c>
      <c r="J1" s="11" t="s">
        <v>151</v>
      </c>
      <c r="K1" t="s">
        <v>154</v>
      </c>
      <c r="L1" t="s">
        <v>150</v>
      </c>
      <c r="M1" t="s">
        <v>154</v>
      </c>
    </row>
    <row r="2" spans="1:14" s="1" customFormat="1" x14ac:dyDescent="0.35">
      <c r="A2" s="1" t="s">
        <v>152</v>
      </c>
      <c r="B2" s="1" t="s">
        <v>60</v>
      </c>
      <c r="C2" s="1" t="s">
        <v>61</v>
      </c>
      <c r="D2" s="1" t="s">
        <v>4</v>
      </c>
      <c r="E2" s="1" t="s">
        <v>62</v>
      </c>
      <c r="F2" s="1" t="s">
        <v>63</v>
      </c>
      <c r="G2" s="1" t="s">
        <v>64</v>
      </c>
      <c r="H2" s="1" t="s">
        <v>5</v>
      </c>
      <c r="I2" s="1" t="s">
        <v>65</v>
      </c>
      <c r="J2" s="11" t="s">
        <v>151</v>
      </c>
      <c r="K2" s="1">
        <v>2022</v>
      </c>
      <c r="L2" s="6">
        <v>2023</v>
      </c>
      <c r="M2" s="1">
        <v>2023</v>
      </c>
      <c r="N2" s="1">
        <v>2024</v>
      </c>
    </row>
    <row r="3" spans="1:14" x14ac:dyDescent="0.35">
      <c r="A3" t="s">
        <v>79</v>
      </c>
      <c r="B3" s="3">
        <v>3927</v>
      </c>
      <c r="C3" s="3">
        <v>4890</v>
      </c>
      <c r="D3" s="3">
        <v>4384</v>
      </c>
      <c r="E3" s="3">
        <f>L3-D3-C3-B3</f>
        <v>4947</v>
      </c>
      <c r="F3" s="3">
        <v>3373</v>
      </c>
      <c r="G3" s="3">
        <v>3913</v>
      </c>
      <c r="H3" s="3">
        <v>3310</v>
      </c>
      <c r="I3" s="3"/>
      <c r="J3" s="11" t="s">
        <v>151</v>
      </c>
      <c r="K3" s="3">
        <v>17969</v>
      </c>
      <c r="L3" s="7">
        <v>18148</v>
      </c>
      <c r="M3" s="3">
        <f t="shared" ref="M3:M4" si="0">SUM(B3:E3)</f>
        <v>18148</v>
      </c>
      <c r="N3" s="3">
        <f t="shared" ref="N3:N4" si="1">SUM(F3:I3)</f>
        <v>10596</v>
      </c>
    </row>
    <row r="4" spans="1:14" x14ac:dyDescent="0.35">
      <c r="A4" t="s">
        <v>80</v>
      </c>
      <c r="B4" s="3">
        <v>849</v>
      </c>
      <c r="C4" s="3">
        <v>1064</v>
      </c>
      <c r="D4" s="3">
        <v>948</v>
      </c>
      <c r="E4" s="3">
        <f>L4-D4-C4-B4</f>
        <v>1071</v>
      </c>
      <c r="F4" s="3">
        <v>758</v>
      </c>
      <c r="G4" s="3">
        <v>890</v>
      </c>
      <c r="H4" s="3">
        <v>687</v>
      </c>
      <c r="I4" s="3"/>
      <c r="J4" s="11" t="s">
        <v>151</v>
      </c>
      <c r="K4" s="3">
        <v>3572</v>
      </c>
      <c r="L4" s="7">
        <v>3932</v>
      </c>
      <c r="M4" s="3">
        <f t="shared" si="0"/>
        <v>3932</v>
      </c>
      <c r="N4" s="3">
        <f t="shared" si="1"/>
        <v>2335</v>
      </c>
    </row>
    <row r="5" spans="1:14" s="1" customFormat="1" x14ac:dyDescent="0.35">
      <c r="A5" s="1" t="s">
        <v>81</v>
      </c>
      <c r="B5" s="4">
        <f t="shared" ref="B5:C5" si="2">SUM(B3:B4)</f>
        <v>4776</v>
      </c>
      <c r="C5" s="4">
        <f t="shared" si="2"/>
        <v>5954</v>
      </c>
      <c r="D5" s="4">
        <f>SUM(D3:D4)</f>
        <v>5332</v>
      </c>
      <c r="E5" s="4">
        <f t="shared" ref="E5:N5" si="3">SUM(E3:E4)</f>
        <v>6018</v>
      </c>
      <c r="F5" s="4">
        <f t="shared" si="3"/>
        <v>4131</v>
      </c>
      <c r="G5" s="4">
        <f t="shared" si="3"/>
        <v>4803</v>
      </c>
      <c r="H5" s="4">
        <f t="shared" si="3"/>
        <v>3997</v>
      </c>
      <c r="I5" s="4">
        <f t="shared" si="3"/>
        <v>0</v>
      </c>
      <c r="J5" s="11" t="s">
        <v>151</v>
      </c>
      <c r="K5" s="4">
        <f t="shared" si="3"/>
        <v>21541</v>
      </c>
      <c r="L5" s="8">
        <f t="shared" si="3"/>
        <v>22080</v>
      </c>
      <c r="M5" s="4">
        <f t="shared" si="3"/>
        <v>22080</v>
      </c>
      <c r="N5" s="4">
        <f t="shared" si="3"/>
        <v>12931</v>
      </c>
    </row>
    <row r="6" spans="1:14" x14ac:dyDescent="0.35">
      <c r="A6" t="s">
        <v>82</v>
      </c>
      <c r="B6" s="3">
        <v>549</v>
      </c>
      <c r="C6" s="3">
        <v>603</v>
      </c>
      <c r="D6" s="3">
        <v>653</v>
      </c>
      <c r="E6" s="3">
        <f>L6-D6-C6-B6</f>
        <v>768</v>
      </c>
      <c r="F6" s="3">
        <v>685</v>
      </c>
      <c r="G6" s="3">
        <v>687</v>
      </c>
      <c r="H6" s="3">
        <v>659</v>
      </c>
      <c r="I6" s="3"/>
      <c r="J6" s="11" t="s">
        <v>151</v>
      </c>
      <c r="K6" s="3">
        <v>1996</v>
      </c>
      <c r="L6" s="7">
        <v>2573</v>
      </c>
      <c r="M6" s="3">
        <f t="shared" ref="M6:M7" si="4">SUM(B6:E6)</f>
        <v>2573</v>
      </c>
      <c r="N6" s="3">
        <f t="shared" ref="N6:N7" si="5">SUM(F6:I6)</f>
        <v>2031</v>
      </c>
    </row>
    <row r="7" spans="1:14" x14ac:dyDescent="0.35">
      <c r="A7" t="s">
        <v>83</v>
      </c>
      <c r="B7" s="3">
        <v>17</v>
      </c>
      <c r="C7" s="3">
        <v>10</v>
      </c>
      <c r="D7" s="3">
        <v>1</v>
      </c>
      <c r="E7" s="3">
        <f>L7-D7-C7-B7</f>
        <v>6</v>
      </c>
      <c r="F7" s="3">
        <v>2</v>
      </c>
      <c r="G7" s="3">
        <v>-2</v>
      </c>
      <c r="H7" s="3">
        <v>-2</v>
      </c>
      <c r="I7" s="3"/>
      <c r="J7" s="11" t="s">
        <v>151</v>
      </c>
      <c r="K7" s="3">
        <v>14</v>
      </c>
      <c r="L7" s="7">
        <v>34</v>
      </c>
      <c r="M7" s="3">
        <f t="shared" si="4"/>
        <v>34</v>
      </c>
      <c r="N7" s="3">
        <f t="shared" si="5"/>
        <v>-2</v>
      </c>
    </row>
    <row r="8" spans="1:14" s="1" customFormat="1" x14ac:dyDescent="0.35">
      <c r="A8" s="1" t="s">
        <v>84</v>
      </c>
      <c r="B8" s="4">
        <f t="shared" ref="B8:C8" si="6">SUM(B5:B7)</f>
        <v>5342</v>
      </c>
      <c r="C8" s="4">
        <f t="shared" si="6"/>
        <v>6567</v>
      </c>
      <c r="D8" s="4">
        <f>SUM(D5:D7)</f>
        <v>5986</v>
      </c>
      <c r="E8" s="4">
        <f t="shared" ref="E8:N8" si="7">SUM(E5:E7)</f>
        <v>6792</v>
      </c>
      <c r="F8" s="4">
        <f t="shared" si="7"/>
        <v>4818</v>
      </c>
      <c r="G8" s="4">
        <f t="shared" si="7"/>
        <v>5488</v>
      </c>
      <c r="H8" s="4">
        <f t="shared" si="7"/>
        <v>4654</v>
      </c>
      <c r="I8" s="4">
        <f t="shared" si="7"/>
        <v>0</v>
      </c>
      <c r="J8" s="11" t="s">
        <v>151</v>
      </c>
      <c r="K8" s="4">
        <f t="shared" si="7"/>
        <v>23551</v>
      </c>
      <c r="L8" s="8">
        <f t="shared" si="7"/>
        <v>24687</v>
      </c>
      <c r="M8" s="4">
        <f t="shared" si="7"/>
        <v>24687</v>
      </c>
      <c r="N8" s="4">
        <f t="shared" si="7"/>
        <v>14960</v>
      </c>
    </row>
    <row r="9" spans="1:14" s="1" customFormat="1" x14ac:dyDescent="0.35">
      <c r="B9" s="4"/>
      <c r="C9" s="4"/>
      <c r="D9" s="4"/>
      <c r="E9" s="4"/>
      <c r="F9" s="4"/>
      <c r="G9" s="4"/>
      <c r="H9" s="4"/>
      <c r="I9" s="4"/>
      <c r="J9" s="11" t="s">
        <v>151</v>
      </c>
      <c r="K9" s="3"/>
      <c r="L9" s="7"/>
      <c r="M9" s="4"/>
      <c r="N9" s="4"/>
    </row>
    <row r="10" spans="1:14" s="1" customFormat="1" x14ac:dyDescent="0.35">
      <c r="A10" s="1" t="s">
        <v>127</v>
      </c>
      <c r="B10" s="4"/>
      <c r="C10" s="4"/>
      <c r="D10" s="4"/>
      <c r="E10" s="4"/>
      <c r="F10" s="4"/>
      <c r="G10" s="4"/>
      <c r="H10" s="4"/>
      <c r="I10" s="4"/>
      <c r="J10" s="11" t="s">
        <v>151</v>
      </c>
      <c r="K10" s="3"/>
      <c r="L10" s="7"/>
      <c r="M10" s="4"/>
      <c r="N10" s="4"/>
    </row>
    <row r="11" spans="1:14" x14ac:dyDescent="0.35">
      <c r="A11" t="s">
        <v>128</v>
      </c>
      <c r="B11" s="3">
        <v>1488</v>
      </c>
      <c r="C11" s="3">
        <v>1872</v>
      </c>
      <c r="D11" s="3">
        <v>1807</v>
      </c>
      <c r="E11" s="3">
        <f>L11-D11-C11-B11</f>
        <v>1990</v>
      </c>
      <c r="F11" s="3">
        <v>1442</v>
      </c>
      <c r="G11" s="3">
        <v>1739</v>
      </c>
      <c r="H11" s="3">
        <v>1402</v>
      </c>
      <c r="I11" s="3"/>
      <c r="J11" s="11" t="s">
        <v>151</v>
      </c>
      <c r="K11" s="3">
        <v>6769</v>
      </c>
      <c r="L11" s="7">
        <v>7157</v>
      </c>
      <c r="M11" s="3">
        <f t="shared" ref="M11:M14" si="8">SUM(B11:E11)</f>
        <v>7157</v>
      </c>
      <c r="N11" s="3">
        <f t="shared" ref="N11:N14" si="9">SUM(F11:I11)</f>
        <v>4583</v>
      </c>
    </row>
    <row r="12" spans="1:14" x14ac:dyDescent="0.35">
      <c r="A12" t="s">
        <v>129</v>
      </c>
      <c r="B12" s="3">
        <v>1347</v>
      </c>
      <c r="C12" s="3">
        <v>1676</v>
      </c>
      <c r="D12" s="3">
        <v>1202</v>
      </c>
      <c r="E12" s="3">
        <f>L12-D12-C12-B12</f>
        <v>1653</v>
      </c>
      <c r="F12" s="3">
        <v>1118</v>
      </c>
      <c r="G12" s="3">
        <v>1191</v>
      </c>
      <c r="H12" s="3">
        <v>905</v>
      </c>
      <c r="I12" s="3"/>
      <c r="J12" s="11" t="s">
        <v>151</v>
      </c>
      <c r="K12" s="3">
        <v>5776</v>
      </c>
      <c r="L12" s="7">
        <v>5878</v>
      </c>
      <c r="M12" s="3">
        <f t="shared" si="8"/>
        <v>5878</v>
      </c>
      <c r="N12" s="3">
        <f t="shared" si="9"/>
        <v>3214</v>
      </c>
    </row>
    <row r="13" spans="1:14" x14ac:dyDescent="0.35">
      <c r="A13" t="s">
        <v>130</v>
      </c>
      <c r="B13" s="3">
        <v>730</v>
      </c>
      <c r="C13" s="3">
        <v>850</v>
      </c>
      <c r="D13" s="3">
        <v>830</v>
      </c>
      <c r="E13" s="3">
        <f>L13-D13-C13-B13</f>
        <v>768</v>
      </c>
      <c r="F13" s="3">
        <v>482</v>
      </c>
      <c r="G13" s="3">
        <v>559</v>
      </c>
      <c r="H13" s="3">
        <v>582</v>
      </c>
      <c r="I13" s="3"/>
      <c r="J13" s="11" t="s">
        <v>151</v>
      </c>
      <c r="K13" s="3">
        <v>3738</v>
      </c>
      <c r="L13" s="7">
        <v>3178</v>
      </c>
      <c r="M13" s="3">
        <f t="shared" si="8"/>
        <v>3178</v>
      </c>
      <c r="N13" s="3">
        <f t="shared" si="9"/>
        <v>1623</v>
      </c>
    </row>
    <row r="14" spans="1:14" x14ac:dyDescent="0.35">
      <c r="A14" t="s">
        <v>131</v>
      </c>
      <c r="B14" s="3">
        <v>362</v>
      </c>
      <c r="C14" s="3">
        <v>492</v>
      </c>
      <c r="D14" s="3">
        <v>545</v>
      </c>
      <c r="E14" s="3">
        <f>L14-D14-C14-B14</f>
        <v>536</v>
      </c>
      <c r="F14" s="3">
        <v>331</v>
      </c>
      <c r="G14" s="3">
        <v>424</v>
      </c>
      <c r="H14" s="3">
        <v>421</v>
      </c>
      <c r="I14" s="3"/>
      <c r="J14" s="11" t="s">
        <v>151</v>
      </c>
      <c r="K14" s="3">
        <v>1686</v>
      </c>
      <c r="L14" s="7">
        <v>1935</v>
      </c>
      <c r="M14" s="3">
        <f t="shared" si="8"/>
        <v>1935</v>
      </c>
      <c r="N14" s="3">
        <f t="shared" si="9"/>
        <v>1176</v>
      </c>
    </row>
    <row r="15" spans="1:14" s="1" customFormat="1" x14ac:dyDescent="0.35">
      <c r="A15" s="1" t="s">
        <v>132</v>
      </c>
      <c r="B15" s="4">
        <f t="shared" ref="B15:C15" si="10">SUM(B11:B14)</f>
        <v>3927</v>
      </c>
      <c r="C15" s="4">
        <f t="shared" si="10"/>
        <v>4890</v>
      </c>
      <c r="D15" s="4">
        <f>SUM(D11:D14)</f>
        <v>4384</v>
      </c>
      <c r="E15" s="4">
        <f t="shared" ref="E15:I15" si="11">SUM(E11:E14)</f>
        <v>4947</v>
      </c>
      <c r="F15" s="4">
        <f t="shared" si="11"/>
        <v>3373</v>
      </c>
      <c r="G15" s="4">
        <f t="shared" si="11"/>
        <v>3913</v>
      </c>
      <c r="H15" s="4">
        <f t="shared" si="11"/>
        <v>3310</v>
      </c>
      <c r="I15" s="4">
        <f t="shared" si="11"/>
        <v>0</v>
      </c>
      <c r="J15" s="11" t="s">
        <v>151</v>
      </c>
      <c r="K15" s="4">
        <f t="shared" ref="K15:N15" si="12">SUM(K11:K14)</f>
        <v>17969</v>
      </c>
      <c r="L15" s="8">
        <f t="shared" si="12"/>
        <v>18148</v>
      </c>
      <c r="M15" s="4">
        <f t="shared" si="12"/>
        <v>18148</v>
      </c>
      <c r="N15" s="4">
        <f t="shared" si="12"/>
        <v>10596</v>
      </c>
    </row>
    <row r="16" spans="1:14" s="1" customFormat="1" x14ac:dyDescent="0.35">
      <c r="B16" s="4"/>
      <c r="C16" s="4"/>
      <c r="D16" s="4"/>
      <c r="E16" s="4"/>
      <c r="F16" s="4"/>
      <c r="G16" s="4"/>
      <c r="H16" s="4"/>
      <c r="I16" s="4"/>
      <c r="J16" s="11" t="s">
        <v>151</v>
      </c>
      <c r="K16" s="3"/>
      <c r="L16" s="7"/>
      <c r="M16" s="3"/>
      <c r="N16" s="4"/>
    </row>
    <row r="17" spans="1:14" x14ac:dyDescent="0.35">
      <c r="A17" t="s">
        <v>85</v>
      </c>
      <c r="B17" s="3">
        <v>4767</v>
      </c>
      <c r="C17" s="3">
        <v>5942</v>
      </c>
      <c r="D17" s="3">
        <v>5322</v>
      </c>
      <c r="E17" s="3"/>
      <c r="F17" s="3">
        <v>4120</v>
      </c>
      <c r="G17" s="3">
        <v>4789</v>
      </c>
      <c r="H17" s="3">
        <v>3986</v>
      </c>
      <c r="I17" s="3"/>
      <c r="J17" s="11" t="s">
        <v>151</v>
      </c>
      <c r="K17" s="3"/>
      <c r="L17" s="7"/>
      <c r="M17" s="3">
        <f>SUM(B17:E17)</f>
        <v>16031</v>
      </c>
      <c r="N17" s="3">
        <f t="shared" ref="N17:N18" si="13">SUM(F17:I17)</f>
        <v>12895</v>
      </c>
    </row>
    <row r="18" spans="1:14" x14ac:dyDescent="0.35">
      <c r="A18" t="s">
        <v>86</v>
      </c>
      <c r="B18" s="3">
        <v>9</v>
      </c>
      <c r="C18" s="3">
        <v>12</v>
      </c>
      <c r="D18" s="3">
        <v>10</v>
      </c>
      <c r="E18" s="3"/>
      <c r="F18" s="3">
        <v>11</v>
      </c>
      <c r="G18" s="3">
        <v>14</v>
      </c>
      <c r="H18" s="3">
        <v>11</v>
      </c>
      <c r="I18" s="3"/>
      <c r="J18" s="11" t="s">
        <v>151</v>
      </c>
      <c r="K18" s="3"/>
      <c r="L18" s="7"/>
      <c r="M18" s="3">
        <f>SUM(B18:E18)</f>
        <v>31</v>
      </c>
      <c r="N18" s="3">
        <f t="shared" si="13"/>
        <v>36</v>
      </c>
    </row>
    <row r="19" spans="1:14" s="1" customFormat="1" x14ac:dyDescent="0.35">
      <c r="A19" s="1" t="s">
        <v>87</v>
      </c>
      <c r="B19" s="4">
        <f t="shared" ref="B19:C19" si="14">B17+B18</f>
        <v>4776</v>
      </c>
      <c r="C19" s="4">
        <f t="shared" si="14"/>
        <v>5954</v>
      </c>
      <c r="D19" s="4">
        <f>D17+D18</f>
        <v>5332</v>
      </c>
      <c r="E19" s="4">
        <f t="shared" ref="E19:N19" si="15">E17+E18</f>
        <v>0</v>
      </c>
      <c r="F19" s="4">
        <f t="shared" si="15"/>
        <v>4131</v>
      </c>
      <c r="G19" s="4">
        <f t="shared" si="15"/>
        <v>4803</v>
      </c>
      <c r="H19" s="4">
        <f t="shared" si="15"/>
        <v>3997</v>
      </c>
      <c r="I19" s="4">
        <f t="shared" si="15"/>
        <v>0</v>
      </c>
      <c r="J19" s="11" t="s">
        <v>151</v>
      </c>
      <c r="K19" s="4">
        <f t="shared" si="15"/>
        <v>0</v>
      </c>
      <c r="L19" s="8">
        <f t="shared" si="15"/>
        <v>0</v>
      </c>
      <c r="M19" s="4">
        <f t="shared" si="15"/>
        <v>16062</v>
      </c>
      <c r="N19" s="4">
        <f t="shared" si="15"/>
        <v>12931</v>
      </c>
    </row>
    <row r="20" spans="1:14" x14ac:dyDescent="0.35">
      <c r="A20" t="s">
        <v>88</v>
      </c>
      <c r="B20" s="3">
        <v>402</v>
      </c>
      <c r="C20" s="3">
        <v>449</v>
      </c>
      <c r="D20" s="3">
        <v>491</v>
      </c>
      <c r="E20" s="3"/>
      <c r="F20" s="3">
        <v>536</v>
      </c>
      <c r="G20" s="3">
        <v>548</v>
      </c>
      <c r="H20" s="3">
        <v>519</v>
      </c>
      <c r="I20" s="3"/>
      <c r="J20" s="11" t="s">
        <v>151</v>
      </c>
      <c r="K20" s="3"/>
      <c r="L20" s="7"/>
      <c r="M20" s="3">
        <f>SUM(B20:E20)</f>
        <v>1342</v>
      </c>
      <c r="N20" s="3">
        <f t="shared" ref="N20:N21" si="16">SUM(F20:I20)</f>
        <v>1603</v>
      </c>
    </row>
    <row r="21" spans="1:14" x14ac:dyDescent="0.35">
      <c r="A21" t="s">
        <v>89</v>
      </c>
      <c r="B21" s="3">
        <v>164</v>
      </c>
      <c r="C21" s="3">
        <v>164</v>
      </c>
      <c r="D21" s="3">
        <v>163</v>
      </c>
      <c r="E21" s="3"/>
      <c r="F21" s="3">
        <v>151</v>
      </c>
      <c r="G21" s="3">
        <v>137</v>
      </c>
      <c r="H21" s="3">
        <v>138</v>
      </c>
      <c r="I21" s="3"/>
      <c r="J21" s="11" t="s">
        <v>151</v>
      </c>
      <c r="K21" s="3"/>
      <c r="L21" s="7"/>
      <c r="M21" s="3">
        <f>SUM(B21:E21)</f>
        <v>491</v>
      </c>
      <c r="N21" s="3">
        <f t="shared" si="16"/>
        <v>426</v>
      </c>
    </row>
    <row r="22" spans="1:14" s="1" customFormat="1" x14ac:dyDescent="0.35">
      <c r="A22" s="1" t="s">
        <v>84</v>
      </c>
      <c r="B22" s="4">
        <f t="shared" ref="B22:C22" si="17">+B20+B21+B19</f>
        <v>5342</v>
      </c>
      <c r="C22" s="4">
        <f t="shared" si="17"/>
        <v>6567</v>
      </c>
      <c r="D22" s="4">
        <f>+D20+D21+D19</f>
        <v>5986</v>
      </c>
      <c r="E22" s="4">
        <f t="shared" ref="E22:N22" si="18">+E20+E21+E19</f>
        <v>0</v>
      </c>
      <c r="F22" s="4">
        <f t="shared" si="18"/>
        <v>4818</v>
      </c>
      <c r="G22" s="4">
        <f t="shared" si="18"/>
        <v>5488</v>
      </c>
      <c r="H22" s="4">
        <f t="shared" si="18"/>
        <v>4654</v>
      </c>
      <c r="I22" s="4">
        <f t="shared" si="18"/>
        <v>0</v>
      </c>
      <c r="J22" s="11" t="s">
        <v>151</v>
      </c>
      <c r="K22" s="4">
        <f t="shared" si="18"/>
        <v>0</v>
      </c>
      <c r="L22" s="8">
        <f t="shared" si="18"/>
        <v>0</v>
      </c>
      <c r="M22" s="4">
        <f t="shared" si="18"/>
        <v>17895</v>
      </c>
      <c r="N22" s="4">
        <f t="shared" si="18"/>
        <v>14960</v>
      </c>
    </row>
    <row r="23" spans="1:14" s="1" customFormat="1" x14ac:dyDescent="0.35">
      <c r="J23" s="11" t="s">
        <v>151</v>
      </c>
      <c r="K23"/>
      <c r="L23" s="9"/>
    </row>
    <row r="24" spans="1:14" s="1" customFormat="1" x14ac:dyDescent="0.35">
      <c r="A24" s="1" t="s">
        <v>0</v>
      </c>
      <c r="J24" s="11" t="s">
        <v>151</v>
      </c>
      <c r="K24"/>
      <c r="L24" s="9"/>
    </row>
    <row r="25" spans="1:14" x14ac:dyDescent="0.35">
      <c r="A25" t="s">
        <v>1</v>
      </c>
      <c r="B25">
        <v>4776</v>
      </c>
      <c r="C25" s="3">
        <v>5954</v>
      </c>
      <c r="D25" s="3">
        <v>5332</v>
      </c>
      <c r="E25" s="3">
        <f>L25-D25-C25-B25</f>
        <v>6018</v>
      </c>
      <c r="F25" s="3">
        <v>4131</v>
      </c>
      <c r="G25" s="3">
        <v>4803</v>
      </c>
      <c r="H25" s="3">
        <v>3997</v>
      </c>
      <c r="I25" s="3"/>
      <c r="J25" s="11" t="s">
        <v>151</v>
      </c>
      <c r="K25" s="3">
        <v>21541</v>
      </c>
      <c r="L25" s="7">
        <v>22080</v>
      </c>
      <c r="M25" s="3">
        <f>SUM(B25:E25)</f>
        <v>22080</v>
      </c>
      <c r="N25" s="3">
        <f>SUM(F25:I25)</f>
        <v>12931</v>
      </c>
    </row>
    <row r="26" spans="1:14" x14ac:dyDescent="0.35">
      <c r="A26" t="s">
        <v>2</v>
      </c>
      <c r="B26">
        <v>566</v>
      </c>
      <c r="C26" s="3">
        <v>613</v>
      </c>
      <c r="D26" s="3">
        <v>654</v>
      </c>
      <c r="E26" s="3">
        <f>L26-D26-C26-B26</f>
        <v>774</v>
      </c>
      <c r="F26" s="3">
        <v>687</v>
      </c>
      <c r="G26" s="3">
        <v>685</v>
      </c>
      <c r="H26" s="3">
        <v>657</v>
      </c>
      <c r="I26" s="3"/>
      <c r="J26" s="11" t="s">
        <v>151</v>
      </c>
      <c r="K26" s="3">
        <v>2010</v>
      </c>
      <c r="L26" s="7">
        <v>2607</v>
      </c>
      <c r="M26" s="3">
        <f>SUM(B26:E26)</f>
        <v>2607</v>
      </c>
      <c r="N26" s="3">
        <f>SUM(F26:I26)</f>
        <v>2029</v>
      </c>
    </row>
    <row r="27" spans="1:14" s="1" customFormat="1" x14ac:dyDescent="0.35">
      <c r="A27" s="1" t="s">
        <v>3</v>
      </c>
      <c r="B27" s="4">
        <f t="shared" ref="B27:C27" si="19">SUM(B25:B26)</f>
        <v>5342</v>
      </c>
      <c r="C27" s="4">
        <f t="shared" si="19"/>
        <v>6567</v>
      </c>
      <c r="D27" s="4">
        <f>SUM(D25:D26)</f>
        <v>5986</v>
      </c>
      <c r="E27" s="4">
        <f t="shared" ref="E27:N27" si="20">SUM(E25:E26)</f>
        <v>6792</v>
      </c>
      <c r="F27" s="4">
        <f t="shared" si="20"/>
        <v>4818</v>
      </c>
      <c r="G27" s="4">
        <f t="shared" si="20"/>
        <v>5488</v>
      </c>
      <c r="H27" s="4">
        <f t="shared" si="20"/>
        <v>4654</v>
      </c>
      <c r="I27" s="4">
        <f t="shared" si="20"/>
        <v>0</v>
      </c>
      <c r="J27" s="11" t="s">
        <v>151</v>
      </c>
      <c r="K27" s="4">
        <f t="shared" ref="K27" si="21">SUM(K25:K26)</f>
        <v>23551</v>
      </c>
      <c r="L27" s="8">
        <f t="shared" si="20"/>
        <v>24687</v>
      </c>
      <c r="M27" s="4">
        <f t="shared" si="20"/>
        <v>24687</v>
      </c>
      <c r="N27" s="4">
        <f t="shared" si="20"/>
        <v>14960</v>
      </c>
    </row>
    <row r="28" spans="1:14" x14ac:dyDescent="0.35">
      <c r="A28" t="s">
        <v>6</v>
      </c>
      <c r="B28">
        <v>3611</v>
      </c>
      <c r="C28" s="3">
        <v>4463</v>
      </c>
      <c r="D28" s="3">
        <v>4059</v>
      </c>
      <c r="E28" s="3">
        <f>L28-D28-C28-B28</f>
        <v>4705</v>
      </c>
      <c r="F28" s="3">
        <v>3195</v>
      </c>
      <c r="G28" s="3">
        <v>3702</v>
      </c>
      <c r="H28" s="3">
        <v>3130</v>
      </c>
      <c r="I28" s="3"/>
      <c r="J28" s="11" t="s">
        <v>151</v>
      </c>
      <c r="K28" s="3">
        <v>16797</v>
      </c>
      <c r="L28" s="7">
        <v>16838</v>
      </c>
      <c r="M28" s="3">
        <f>SUM(B28:E28)</f>
        <v>16838</v>
      </c>
      <c r="N28" s="3">
        <f>SUM(F28:I28)</f>
        <v>10027</v>
      </c>
    </row>
    <row r="29" spans="1:14" s="1" customFormat="1" x14ac:dyDescent="0.35">
      <c r="A29" s="1" t="s">
        <v>7</v>
      </c>
      <c r="B29" s="4">
        <f t="shared" ref="B29:G29" si="22">B27-B28</f>
        <v>1731</v>
      </c>
      <c r="C29" s="4">
        <f t="shared" si="22"/>
        <v>2104</v>
      </c>
      <c r="D29" s="4">
        <f t="shared" si="22"/>
        <v>1927</v>
      </c>
      <c r="E29" s="4">
        <f t="shared" si="22"/>
        <v>2087</v>
      </c>
      <c r="F29" s="4">
        <f t="shared" si="22"/>
        <v>1623</v>
      </c>
      <c r="G29" s="4">
        <f t="shared" si="22"/>
        <v>1786</v>
      </c>
      <c r="H29" s="4">
        <f>H27-H28</f>
        <v>1524</v>
      </c>
      <c r="I29" s="4">
        <f t="shared" ref="I29:N29" si="23">I27-I28</f>
        <v>0</v>
      </c>
      <c r="J29" s="11" t="s">
        <v>151</v>
      </c>
      <c r="K29" s="4">
        <f t="shared" ref="K29" si="24">K27-K28</f>
        <v>6754</v>
      </c>
      <c r="L29" s="8">
        <f t="shared" si="23"/>
        <v>7849</v>
      </c>
      <c r="M29" s="4">
        <f t="shared" si="23"/>
        <v>7849</v>
      </c>
      <c r="N29" s="4">
        <f t="shared" si="23"/>
        <v>4933</v>
      </c>
    </row>
    <row r="30" spans="1:14" x14ac:dyDescent="0.35">
      <c r="A30" t="s">
        <v>8</v>
      </c>
      <c r="B30">
        <v>438</v>
      </c>
      <c r="C30" s="3">
        <v>485</v>
      </c>
      <c r="D30" s="3">
        <v>462</v>
      </c>
      <c r="E30" s="3">
        <f t="shared" ref="E30:E34" si="25">L30-D30-C30-B30</f>
        <v>478</v>
      </c>
      <c r="F30" s="3">
        <v>411</v>
      </c>
      <c r="G30" s="3">
        <v>461</v>
      </c>
      <c r="H30" s="3">
        <v>426</v>
      </c>
      <c r="I30" s="3"/>
      <c r="J30" s="11" t="s">
        <v>151</v>
      </c>
      <c r="K30" s="3">
        <v>1752</v>
      </c>
      <c r="L30" s="7">
        <v>1863</v>
      </c>
      <c r="M30" s="3">
        <f>SUM(B30:E30)</f>
        <v>1863</v>
      </c>
      <c r="N30" s="3">
        <f>SUM(F30:I30)</f>
        <v>1298</v>
      </c>
    </row>
    <row r="31" spans="1:14" x14ac:dyDescent="0.35">
      <c r="A31" t="s">
        <v>9</v>
      </c>
      <c r="B31" s="4">
        <v>231</v>
      </c>
      <c r="C31" s="3">
        <v>269</v>
      </c>
      <c r="D31" s="3">
        <v>266</v>
      </c>
      <c r="E31" s="3">
        <f t="shared" si="25"/>
        <v>275</v>
      </c>
      <c r="F31" s="3">
        <v>228</v>
      </c>
      <c r="G31" s="3">
        <v>237</v>
      </c>
      <c r="H31" s="3">
        <v>221</v>
      </c>
      <c r="I31" s="3"/>
      <c r="J31" s="11" t="s">
        <v>151</v>
      </c>
      <c r="K31" s="3">
        <v>866</v>
      </c>
      <c r="L31" s="7">
        <v>1041</v>
      </c>
      <c r="M31" s="3">
        <f>SUM(B31:E31)</f>
        <v>1041</v>
      </c>
      <c r="N31" s="3">
        <f>SUM(F31:I31)</f>
        <v>686</v>
      </c>
    </row>
    <row r="32" spans="1:14" x14ac:dyDescent="0.35">
      <c r="A32" t="s">
        <v>10</v>
      </c>
      <c r="B32">
        <v>1</v>
      </c>
      <c r="C32" s="3">
        <v>2</v>
      </c>
      <c r="D32" s="3">
        <v>5</v>
      </c>
      <c r="E32" s="3">
        <f t="shared" si="25"/>
        <v>59</v>
      </c>
      <c r="F32" s="3">
        <v>31</v>
      </c>
      <c r="G32" s="3">
        <v>51</v>
      </c>
      <c r="H32" s="3">
        <v>12</v>
      </c>
      <c r="I32" s="3"/>
      <c r="J32" s="11" t="s">
        <v>151</v>
      </c>
      <c r="K32" s="3">
        <v>31</v>
      </c>
      <c r="L32" s="7">
        <v>67</v>
      </c>
      <c r="M32" s="3">
        <f>SUM(B32:E32)</f>
        <v>67</v>
      </c>
      <c r="N32" s="3">
        <f>SUM(F32:I32)</f>
        <v>94</v>
      </c>
    </row>
    <row r="33" spans="1:14" x14ac:dyDescent="0.35">
      <c r="A33" t="s">
        <v>11</v>
      </c>
      <c r="B33" s="4">
        <v>272</v>
      </c>
      <c r="C33" s="3">
        <v>323</v>
      </c>
      <c r="D33" s="3">
        <v>346</v>
      </c>
      <c r="E33" s="3">
        <f t="shared" si="25"/>
        <v>404</v>
      </c>
      <c r="F33" s="3">
        <v>394</v>
      </c>
      <c r="G33" s="3">
        <v>418</v>
      </c>
      <c r="H33" s="3">
        <v>378</v>
      </c>
      <c r="I33" s="3"/>
      <c r="J33" s="11" t="s">
        <v>151</v>
      </c>
      <c r="K33" s="3">
        <v>734</v>
      </c>
      <c r="L33" s="7">
        <v>1345</v>
      </c>
      <c r="M33" s="3">
        <f>SUM(B33:E33)</f>
        <v>1345</v>
      </c>
      <c r="N33" s="3">
        <f>SUM(F33:I33)</f>
        <v>1190</v>
      </c>
    </row>
    <row r="34" spans="1:14" x14ac:dyDescent="0.35">
      <c r="A34" t="s">
        <v>12</v>
      </c>
      <c r="B34">
        <v>163</v>
      </c>
      <c r="C34" s="3">
        <v>187</v>
      </c>
      <c r="D34" s="3">
        <v>186</v>
      </c>
      <c r="E34" s="3">
        <f t="shared" si="25"/>
        <v>294</v>
      </c>
      <c r="F34" s="3">
        <v>157</v>
      </c>
      <c r="G34" s="3">
        <v>165</v>
      </c>
      <c r="H34" s="3">
        <v>127</v>
      </c>
      <c r="I34" s="3"/>
      <c r="J34" s="11" t="s">
        <v>151</v>
      </c>
      <c r="K34" s="3">
        <v>689</v>
      </c>
      <c r="L34" s="7">
        <v>830</v>
      </c>
      <c r="M34" s="3">
        <f>SUM(B34:E34)</f>
        <v>830</v>
      </c>
      <c r="N34" s="3">
        <f>SUM(F34:I34)</f>
        <v>449</v>
      </c>
    </row>
    <row r="35" spans="1:14" s="1" customFormat="1" x14ac:dyDescent="0.35">
      <c r="A35" s="1" t="s">
        <v>13</v>
      </c>
      <c r="B35" s="4">
        <f t="shared" ref="B35:C35" si="26">SUM(B30:B34)+B28</f>
        <v>4716</v>
      </c>
      <c r="C35" s="4">
        <f t="shared" si="26"/>
        <v>5729</v>
      </c>
      <c r="D35" s="4">
        <f>SUM(D30:D34)+D28</f>
        <v>5324</v>
      </c>
      <c r="E35" s="4">
        <f t="shared" ref="E35:N35" si="27">SUM(E30:E34)+E28</f>
        <v>6215</v>
      </c>
      <c r="F35" s="4">
        <f t="shared" si="27"/>
        <v>4416</v>
      </c>
      <c r="G35" s="4">
        <f t="shared" ref="G35" si="28">SUM(G30:G34)+G28</f>
        <v>5034</v>
      </c>
      <c r="H35" s="4">
        <f t="shared" si="27"/>
        <v>4294</v>
      </c>
      <c r="I35" s="4">
        <f t="shared" si="27"/>
        <v>0</v>
      </c>
      <c r="J35" s="11" t="s">
        <v>151</v>
      </c>
      <c r="K35" s="4">
        <f t="shared" ref="K35:L35" si="29">SUM(K30:K34)+K28</f>
        <v>20869</v>
      </c>
      <c r="L35" s="8">
        <f t="shared" si="29"/>
        <v>21984</v>
      </c>
      <c r="M35" s="4">
        <f t="shared" si="27"/>
        <v>21984</v>
      </c>
      <c r="N35" s="4">
        <f t="shared" si="27"/>
        <v>13744</v>
      </c>
    </row>
    <row r="36" spans="1:14" s="1" customFormat="1" x14ac:dyDescent="0.35">
      <c r="A36" s="1" t="s">
        <v>14</v>
      </c>
      <c r="B36" s="4">
        <f t="shared" ref="B36:C36" si="30">B27-B35</f>
        <v>626</v>
      </c>
      <c r="C36" s="4">
        <f t="shared" si="30"/>
        <v>838</v>
      </c>
      <c r="D36" s="4">
        <f>D27-D35</f>
        <v>662</v>
      </c>
      <c r="E36" s="4">
        <f t="shared" ref="E36:N36" si="31">E27-E35</f>
        <v>577</v>
      </c>
      <c r="F36" s="4">
        <f t="shared" si="31"/>
        <v>402</v>
      </c>
      <c r="G36" s="4">
        <f t="shared" ref="G36" si="32">G27-G35</f>
        <v>454</v>
      </c>
      <c r="H36" s="4">
        <f t="shared" si="31"/>
        <v>360</v>
      </c>
      <c r="I36" s="4">
        <f t="shared" si="31"/>
        <v>0</v>
      </c>
      <c r="J36" s="11" t="s">
        <v>151</v>
      </c>
      <c r="K36" s="4">
        <f t="shared" ref="K36:L36" si="33">K27-K35</f>
        <v>2682</v>
      </c>
      <c r="L36" s="8">
        <f t="shared" si="33"/>
        <v>2703</v>
      </c>
      <c r="M36" s="4">
        <f t="shared" si="31"/>
        <v>2703</v>
      </c>
      <c r="N36" s="4">
        <f t="shared" si="31"/>
        <v>1216</v>
      </c>
    </row>
    <row r="37" spans="1:14" x14ac:dyDescent="0.35">
      <c r="A37" t="s">
        <v>15</v>
      </c>
      <c r="B37" s="4">
        <v>-173</v>
      </c>
      <c r="C37" s="3">
        <v>-192</v>
      </c>
      <c r="D37" s="3">
        <v>-171</v>
      </c>
      <c r="E37" s="3">
        <f t="shared" ref="E37:E39" si="34">L37-D37-C37-B37</f>
        <v>-58</v>
      </c>
      <c r="F37" s="3">
        <v>-77</v>
      </c>
      <c r="G37" s="3">
        <v>-95</v>
      </c>
      <c r="H37" s="3">
        <v>-75</v>
      </c>
      <c r="I37" s="3"/>
      <c r="J37" s="11" t="s">
        <v>151</v>
      </c>
      <c r="K37" s="3">
        <v>-747</v>
      </c>
      <c r="L37" s="7">
        <v>-594</v>
      </c>
      <c r="M37" s="3">
        <f>SUM(B37:E37)</f>
        <v>-594</v>
      </c>
      <c r="N37" s="3">
        <f>SUM(F37:I37)</f>
        <v>-247</v>
      </c>
    </row>
    <row r="38" spans="1:14" x14ac:dyDescent="0.35">
      <c r="A38" t="s">
        <v>16</v>
      </c>
      <c r="B38" s="4">
        <v>33</v>
      </c>
      <c r="C38" s="3">
        <v>64</v>
      </c>
      <c r="D38" s="3">
        <v>49</v>
      </c>
      <c r="E38" s="3">
        <f t="shared" si="34"/>
        <v>128</v>
      </c>
      <c r="F38" s="3">
        <v>77</v>
      </c>
      <c r="G38" s="3">
        <v>79</v>
      </c>
      <c r="H38" s="3">
        <v>25</v>
      </c>
      <c r="I38" s="3"/>
      <c r="J38" s="11" t="s">
        <v>151</v>
      </c>
      <c r="K38" s="3">
        <v>104</v>
      </c>
      <c r="L38" s="7">
        <v>274</v>
      </c>
      <c r="M38" s="3">
        <f>SUM(B38:E38)</f>
        <v>274</v>
      </c>
      <c r="N38" s="3">
        <f>SUM(F38:I38)</f>
        <v>181</v>
      </c>
    </row>
    <row r="39" spans="1:14" x14ac:dyDescent="0.35">
      <c r="A39" t="s">
        <v>17</v>
      </c>
      <c r="B39" s="4">
        <v>4</v>
      </c>
      <c r="C39" s="3">
        <v>4</v>
      </c>
      <c r="D39" s="3">
        <v>3</v>
      </c>
      <c r="E39" s="3">
        <f t="shared" si="34"/>
        <v>1</v>
      </c>
      <c r="F39" s="3">
        <v>1</v>
      </c>
      <c r="G39" s="3">
        <v>5</v>
      </c>
      <c r="H39" s="3">
        <v>4</v>
      </c>
      <c r="I39" s="3"/>
      <c r="J39" s="11" t="s">
        <v>151</v>
      </c>
      <c r="K39" s="3">
        <v>10</v>
      </c>
      <c r="L39" s="7">
        <v>12</v>
      </c>
      <c r="M39" s="3">
        <f>SUM(B39:E39)</f>
        <v>12</v>
      </c>
      <c r="N39" s="3">
        <f>SUM(F39:I39)</f>
        <v>10</v>
      </c>
    </row>
    <row r="40" spans="1:14" s="1" customFormat="1" x14ac:dyDescent="0.35">
      <c r="A40" s="1" t="s">
        <v>18</v>
      </c>
      <c r="B40" s="4">
        <f t="shared" ref="B40:C40" si="35">B36+B37+B38-B39</f>
        <v>482</v>
      </c>
      <c r="C40" s="4">
        <f t="shared" si="35"/>
        <v>706</v>
      </c>
      <c r="D40" s="4">
        <f>D36+D37+D38-D39</f>
        <v>537</v>
      </c>
      <c r="E40" s="4">
        <f t="shared" ref="E40:N40" si="36">E36+E37+E38-E39</f>
        <v>646</v>
      </c>
      <c r="F40" s="4">
        <f t="shared" si="36"/>
        <v>401</v>
      </c>
      <c r="G40" s="4">
        <f t="shared" si="36"/>
        <v>433</v>
      </c>
      <c r="H40" s="4">
        <f t="shared" si="36"/>
        <v>306</v>
      </c>
      <c r="I40" s="4">
        <f t="shared" si="36"/>
        <v>0</v>
      </c>
      <c r="J40" s="11" t="s">
        <v>151</v>
      </c>
      <c r="K40" s="4">
        <f t="shared" ref="K40" si="37">K36+K37+K38-K39</f>
        <v>2029</v>
      </c>
      <c r="L40" s="8">
        <f t="shared" si="36"/>
        <v>2371</v>
      </c>
      <c r="M40" s="4">
        <f t="shared" si="36"/>
        <v>2371</v>
      </c>
      <c r="N40" s="4">
        <f t="shared" si="36"/>
        <v>1140</v>
      </c>
    </row>
    <row r="41" spans="1:14" x14ac:dyDescent="0.35">
      <c r="J41" s="11" t="s">
        <v>151</v>
      </c>
      <c r="L41" s="9"/>
    </row>
    <row r="42" spans="1:14" s="1" customFormat="1" x14ac:dyDescent="0.35">
      <c r="A42" s="1" t="s">
        <v>19</v>
      </c>
      <c r="B42" s="2">
        <f t="shared" ref="B42:C42" si="38">B40/B45</f>
        <v>0.35916542473919522</v>
      </c>
      <c r="C42" s="2">
        <f t="shared" si="38"/>
        <v>0.52765321375186847</v>
      </c>
      <c r="D42" s="2">
        <f>D40/D45</f>
        <v>0.42822966507177035</v>
      </c>
      <c r="E42" s="2" t="e">
        <f t="shared" ref="E42:N42" si="39">E40/E45</f>
        <v>#DIV/0!</v>
      </c>
      <c r="F42" s="2">
        <f t="shared" si="39"/>
        <v>0.31825396825396823</v>
      </c>
      <c r="G42" s="2">
        <f t="shared" si="39"/>
        <v>0.34474522292993631</v>
      </c>
      <c r="H42" s="2">
        <f t="shared" si="39"/>
        <v>0.22972972972972974</v>
      </c>
      <c r="I42" s="2" t="e">
        <f t="shared" si="39"/>
        <v>#DIV/0!</v>
      </c>
      <c r="J42" s="11" t="s">
        <v>151</v>
      </c>
      <c r="K42" s="2" t="e">
        <f t="shared" ref="K42:L42" si="40">K40/K45</f>
        <v>#DIV/0!</v>
      </c>
      <c r="L42" s="10" t="e">
        <f t="shared" si="40"/>
        <v>#DIV/0!</v>
      </c>
      <c r="M42" s="2">
        <f t="shared" si="39"/>
        <v>0.60269445856634474</v>
      </c>
      <c r="N42" s="2">
        <f t="shared" si="39"/>
        <v>0.29625779625779625</v>
      </c>
    </row>
    <row r="43" spans="1:14" s="1" customFormat="1" x14ac:dyDescent="0.35">
      <c r="A43" s="1" t="s">
        <v>20</v>
      </c>
      <c r="B43" s="2">
        <f t="shared" ref="B43:C43" si="41">B40/B46</f>
        <v>0.35467255334805003</v>
      </c>
      <c r="C43" s="2">
        <f t="shared" si="41"/>
        <v>0.52103321033210337</v>
      </c>
      <c r="D43" s="2">
        <f>D40/D46</f>
        <v>0.42822966507177035</v>
      </c>
      <c r="E43" s="2" t="e">
        <f t="shared" ref="E43:N43" si="42">E40/E46</f>
        <v>#DIV/0!</v>
      </c>
      <c r="F43" s="2">
        <f t="shared" si="42"/>
        <v>0.31475667189952905</v>
      </c>
      <c r="G43" s="2">
        <f t="shared" si="42"/>
        <v>0.34365079365079365</v>
      </c>
      <c r="H43" s="2">
        <f t="shared" si="42"/>
        <v>0.22649888971132495</v>
      </c>
      <c r="I43" s="2" t="e">
        <f t="shared" si="42"/>
        <v>#DIV/0!</v>
      </c>
      <c r="J43" s="11" t="s">
        <v>151</v>
      </c>
      <c r="K43" s="2" t="e">
        <f t="shared" ref="K43:L43" si="43">K40/K46</f>
        <v>#DIV/0!</v>
      </c>
      <c r="L43" s="10" t="e">
        <f t="shared" si="43"/>
        <v>#DIV/0!</v>
      </c>
      <c r="M43" s="2">
        <f t="shared" si="42"/>
        <v>0.59753024193548387</v>
      </c>
      <c r="N43" s="2">
        <f t="shared" si="42"/>
        <v>0.29343629343629346</v>
      </c>
    </row>
    <row r="44" spans="1:14" x14ac:dyDescent="0.35">
      <c r="J44" s="11" t="s">
        <v>151</v>
      </c>
      <c r="L44" s="9"/>
    </row>
    <row r="45" spans="1:14" x14ac:dyDescent="0.35">
      <c r="A45" t="s">
        <v>22</v>
      </c>
      <c r="B45">
        <v>1342</v>
      </c>
      <c r="C45">
        <v>1338</v>
      </c>
      <c r="D45">
        <v>1254</v>
      </c>
      <c r="F45">
        <v>1260</v>
      </c>
      <c r="G45">
        <v>1256</v>
      </c>
      <c r="H45">
        <v>1332</v>
      </c>
      <c r="J45" s="11" t="s">
        <v>151</v>
      </c>
      <c r="L45" s="9"/>
      <c r="M45">
        <f>SUM(B45:E45)</f>
        <v>3934</v>
      </c>
      <c r="N45">
        <f>SUM(F45:I45)</f>
        <v>3848</v>
      </c>
    </row>
    <row r="46" spans="1:14" x14ac:dyDescent="0.35">
      <c r="A46" t="s">
        <v>21</v>
      </c>
      <c r="B46">
        <v>1359</v>
      </c>
      <c r="C46">
        <v>1355</v>
      </c>
      <c r="D46">
        <v>1254</v>
      </c>
      <c r="F46">
        <v>1274</v>
      </c>
      <c r="G46">
        <v>1260</v>
      </c>
      <c r="H46">
        <v>1351</v>
      </c>
      <c r="J46" s="11" t="s">
        <v>151</v>
      </c>
      <c r="L46" s="9"/>
      <c r="M46">
        <f>SUM(B46:E46)</f>
        <v>3968</v>
      </c>
      <c r="N46">
        <f>SUM(F46:I46)</f>
        <v>3885</v>
      </c>
    </row>
    <row r="47" spans="1:14" x14ac:dyDescent="0.35">
      <c r="J47" s="11" t="s">
        <v>151</v>
      </c>
      <c r="L47" s="9"/>
    </row>
    <row r="48" spans="1:14" x14ac:dyDescent="0.35">
      <c r="A48" t="s">
        <v>23</v>
      </c>
      <c r="B48">
        <v>0</v>
      </c>
      <c r="D48">
        <v>0</v>
      </c>
      <c r="F48">
        <v>0</v>
      </c>
      <c r="H48">
        <v>0</v>
      </c>
      <c r="J48" s="11" t="s">
        <v>151</v>
      </c>
      <c r="L48" s="9"/>
      <c r="M48">
        <f>SUM(B48:E48)</f>
        <v>0</v>
      </c>
      <c r="N48">
        <f>SUM(F48:I48)</f>
        <v>0</v>
      </c>
    </row>
    <row r="49" spans="1:14" x14ac:dyDescent="0.35">
      <c r="J49" s="11" t="s">
        <v>151</v>
      </c>
      <c r="L49" s="9"/>
    </row>
    <row r="50" spans="1:14" s="1" customFormat="1" x14ac:dyDescent="0.35">
      <c r="B50" s="1" t="str">
        <f>B2</f>
        <v>Q123</v>
      </c>
      <c r="C50" s="1" t="str">
        <f t="shared" ref="C50:N50" si="44">C2</f>
        <v>Q223</v>
      </c>
      <c r="D50" s="1" t="str">
        <f t="shared" si="44"/>
        <v>Q323</v>
      </c>
      <c r="E50" s="1" t="str">
        <f t="shared" si="44"/>
        <v>Q423</v>
      </c>
      <c r="F50" s="1" t="str">
        <f t="shared" si="44"/>
        <v>Q124</v>
      </c>
      <c r="G50" s="1" t="str">
        <f t="shared" si="44"/>
        <v>Q224</v>
      </c>
      <c r="H50" s="1" t="str">
        <f t="shared" si="44"/>
        <v>Q324</v>
      </c>
      <c r="I50" s="1" t="str">
        <f t="shared" si="44"/>
        <v>Q424</v>
      </c>
      <c r="J50" s="11" t="s">
        <v>151</v>
      </c>
      <c r="K50"/>
      <c r="L50" s="9"/>
      <c r="M50" s="1">
        <f t="shared" si="44"/>
        <v>2023</v>
      </c>
      <c r="N50" s="1">
        <f t="shared" si="44"/>
        <v>2024</v>
      </c>
    </row>
    <row r="51" spans="1:14" x14ac:dyDescent="0.35">
      <c r="J51" s="11" t="s">
        <v>151</v>
      </c>
      <c r="L51" s="9"/>
    </row>
    <row r="52" spans="1:14" x14ac:dyDescent="0.35">
      <c r="A52" t="s">
        <v>66</v>
      </c>
      <c r="B52" s="3">
        <v>486</v>
      </c>
      <c r="C52" s="3">
        <f>1196-B52</f>
        <v>710</v>
      </c>
      <c r="D52" s="3">
        <f>1704-C53-B53</f>
        <v>1526</v>
      </c>
      <c r="E52" s="3">
        <f>L52-D52-C52-B52</f>
        <v>-339</v>
      </c>
      <c r="F52" s="3">
        <v>402</v>
      </c>
      <c r="G52" s="3">
        <f>840-F52</f>
        <v>438</v>
      </c>
      <c r="H52" s="3">
        <f>1083-G53-F53</f>
        <v>876</v>
      </c>
      <c r="I52" s="3"/>
      <c r="J52" s="11" t="s">
        <v>151</v>
      </c>
      <c r="K52" s="3"/>
      <c r="L52" s="7">
        <v>2383</v>
      </c>
      <c r="M52" s="3">
        <f t="shared" ref="M52:M63" si="45">SUM(B52:E52)</f>
        <v>2383</v>
      </c>
      <c r="N52" s="3">
        <f t="shared" ref="N52:N63" si="46">SUM(F52:I52)</f>
        <v>1716</v>
      </c>
    </row>
    <row r="53" spans="1:14" x14ac:dyDescent="0.35">
      <c r="A53" t="s">
        <v>67</v>
      </c>
      <c r="B53" s="3">
        <v>86</v>
      </c>
      <c r="C53" s="3">
        <f>178-B53</f>
        <v>92</v>
      </c>
      <c r="D53" s="3">
        <f>276-C53-B53</f>
        <v>98</v>
      </c>
      <c r="E53" s="3">
        <f t="shared" ref="E53:E63" si="47">L53-D53-C53-B53</f>
        <v>101</v>
      </c>
      <c r="F53" s="3">
        <v>103</v>
      </c>
      <c r="G53" s="3">
        <f>207-F53</f>
        <v>104</v>
      </c>
      <c r="H53" s="3">
        <f>315-G53-F53</f>
        <v>108</v>
      </c>
      <c r="I53" s="3"/>
      <c r="J53" s="11" t="s">
        <v>151</v>
      </c>
      <c r="K53" s="3"/>
      <c r="L53" s="7">
        <v>377</v>
      </c>
      <c r="M53" s="3">
        <f t="shared" si="45"/>
        <v>377</v>
      </c>
      <c r="N53" s="3">
        <f t="shared" si="46"/>
        <v>315</v>
      </c>
    </row>
    <row r="54" spans="1:14" x14ac:dyDescent="0.35">
      <c r="A54" t="s">
        <v>68</v>
      </c>
      <c r="B54" s="3">
        <v>46</v>
      </c>
      <c r="C54" s="3">
        <f>92-B54</f>
        <v>46</v>
      </c>
      <c r="D54" s="3">
        <f>140-C54-B54</f>
        <v>48</v>
      </c>
      <c r="E54" s="3">
        <f t="shared" si="47"/>
        <v>47</v>
      </c>
      <c r="F54" s="3">
        <v>45</v>
      </c>
      <c r="G54" s="3">
        <f>92-F54</f>
        <v>47</v>
      </c>
      <c r="H54" s="3">
        <f>139-G54-F54</f>
        <v>47</v>
      </c>
      <c r="I54" s="3"/>
      <c r="J54" s="11" t="s">
        <v>151</v>
      </c>
      <c r="K54" s="3"/>
      <c r="L54" s="7">
        <v>187</v>
      </c>
      <c r="M54" s="3">
        <f t="shared" si="45"/>
        <v>187</v>
      </c>
      <c r="N54" s="3">
        <f t="shared" si="46"/>
        <v>139</v>
      </c>
    </row>
    <row r="55" spans="1:14" x14ac:dyDescent="0.35">
      <c r="A55" t="s">
        <v>69</v>
      </c>
      <c r="B55" s="3">
        <v>6</v>
      </c>
      <c r="C55" s="3">
        <f>20-B55</f>
        <v>14</v>
      </c>
      <c r="D55" s="3">
        <f>21-C55-B55</f>
        <v>1</v>
      </c>
      <c r="E55" s="3">
        <f t="shared" si="47"/>
        <v>-11</v>
      </c>
      <c r="F55" s="3">
        <v>0</v>
      </c>
      <c r="G55" s="3">
        <f>7-F55</f>
        <v>7</v>
      </c>
      <c r="H55" s="3">
        <f>7-G55-F55</f>
        <v>0</v>
      </c>
      <c r="I55" s="3"/>
      <c r="J55" s="11" t="s">
        <v>151</v>
      </c>
      <c r="K55" s="3"/>
      <c r="L55" s="7">
        <v>10</v>
      </c>
      <c r="M55" s="3">
        <f t="shared" si="45"/>
        <v>10</v>
      </c>
      <c r="N55" s="3">
        <f t="shared" si="46"/>
        <v>7</v>
      </c>
    </row>
    <row r="56" spans="1:14" x14ac:dyDescent="0.35">
      <c r="A56" t="s">
        <v>70</v>
      </c>
      <c r="B56" s="3">
        <v>9</v>
      </c>
      <c r="C56" s="3">
        <f>-46-B56</f>
        <v>-55</v>
      </c>
      <c r="D56" s="3">
        <f>-63-SUM(B56:C56)</f>
        <v>-17</v>
      </c>
      <c r="E56" s="3">
        <f t="shared" si="47"/>
        <v>-148</v>
      </c>
      <c r="F56" s="3">
        <v>-77</v>
      </c>
      <c r="G56" s="3">
        <f>-79-F56</f>
        <v>-2</v>
      </c>
      <c r="H56" s="3">
        <f>-31-SUM(F56:G56)</f>
        <v>48</v>
      </c>
      <c r="I56" s="3"/>
      <c r="J56" s="11" t="s">
        <v>151</v>
      </c>
      <c r="K56" s="3"/>
      <c r="L56" s="7">
        <v>-211</v>
      </c>
      <c r="M56" s="3">
        <f t="shared" si="45"/>
        <v>-211</v>
      </c>
      <c r="N56" s="3">
        <f t="shared" si="46"/>
        <v>-31</v>
      </c>
    </row>
    <row r="57" spans="1:14" x14ac:dyDescent="0.35">
      <c r="A57" t="s">
        <v>71</v>
      </c>
      <c r="B57" s="3">
        <v>32</v>
      </c>
      <c r="C57" s="3">
        <f>78-B57</f>
        <v>46</v>
      </c>
      <c r="D57" s="3">
        <f>136-C57-B57</f>
        <v>58</v>
      </c>
      <c r="E57" s="3">
        <f t="shared" si="47"/>
        <v>37</v>
      </c>
      <c r="F57" s="3">
        <v>57</v>
      </c>
      <c r="G57" s="3">
        <f>130-F57</f>
        <v>73</v>
      </c>
      <c r="H57" s="3">
        <f>276-G57-F57</f>
        <v>146</v>
      </c>
      <c r="I57" s="3"/>
      <c r="J57" s="11" t="s">
        <v>151</v>
      </c>
      <c r="K57" s="3"/>
      <c r="L57" s="7">
        <v>173</v>
      </c>
      <c r="M57" s="3">
        <f t="shared" si="45"/>
        <v>173</v>
      </c>
      <c r="N57" s="3">
        <f t="shared" si="46"/>
        <v>276</v>
      </c>
    </row>
    <row r="58" spans="1:14" x14ac:dyDescent="0.35">
      <c r="A58" t="s">
        <v>72</v>
      </c>
      <c r="B58" s="3">
        <v>113</v>
      </c>
      <c r="C58" s="3">
        <f>445-B58</f>
        <v>332</v>
      </c>
      <c r="D58" s="3">
        <f>618-C58-B58</f>
        <v>173</v>
      </c>
      <c r="E58" s="3">
        <f t="shared" si="47"/>
        <v>293</v>
      </c>
      <c r="F58" s="3">
        <v>-39</v>
      </c>
      <c r="G58" s="3">
        <f>105-F58</f>
        <v>144</v>
      </c>
      <c r="H58" s="3">
        <f>52-G58-F58</f>
        <v>-53</v>
      </c>
      <c r="I58" s="3"/>
      <c r="J58" s="11" t="s">
        <v>151</v>
      </c>
      <c r="K58" s="3"/>
      <c r="L58" s="7">
        <v>911</v>
      </c>
      <c r="M58" s="3">
        <f t="shared" si="45"/>
        <v>911</v>
      </c>
      <c r="N58" s="3">
        <f t="shared" si="46"/>
        <v>52</v>
      </c>
    </row>
    <row r="59" spans="1:14" x14ac:dyDescent="0.35">
      <c r="A59" t="s">
        <v>73</v>
      </c>
      <c r="B59" s="3">
        <v>-52</v>
      </c>
      <c r="C59" s="3">
        <f>-188-B59</f>
        <v>-136</v>
      </c>
      <c r="D59" s="3">
        <f>-319-C59-B59</f>
        <v>-131</v>
      </c>
      <c r="E59" s="3">
        <f t="shared" si="47"/>
        <v>-216</v>
      </c>
      <c r="F59" s="3">
        <v>-18</v>
      </c>
      <c r="G59" s="3">
        <f>-24-F59</f>
        <v>-6</v>
      </c>
      <c r="H59" s="3">
        <f>-31-G59-F59</f>
        <v>-7</v>
      </c>
      <c r="I59" s="3"/>
      <c r="J59" s="11" t="s">
        <v>151</v>
      </c>
      <c r="K59" s="3"/>
      <c r="L59" s="7">
        <v>-535</v>
      </c>
      <c r="M59" s="3">
        <f t="shared" si="45"/>
        <v>-535</v>
      </c>
      <c r="N59" s="3">
        <f t="shared" si="46"/>
        <v>-31</v>
      </c>
    </row>
    <row r="60" spans="1:14" x14ac:dyDescent="0.35">
      <c r="A60" t="s">
        <v>74</v>
      </c>
      <c r="B60" s="3">
        <v>-355</v>
      </c>
      <c r="C60" s="3">
        <f>-1380-B60</f>
        <v>-1025</v>
      </c>
      <c r="D60" s="3">
        <f>-1602-C60-B60</f>
        <v>-222</v>
      </c>
      <c r="E60" s="3">
        <f t="shared" si="47"/>
        <v>-666</v>
      </c>
      <c r="F60" s="3">
        <v>-22</v>
      </c>
      <c r="G60" s="3">
        <f>-136-F60</f>
        <v>-114</v>
      </c>
      <c r="H60" s="3">
        <f>482-G60-F60</f>
        <v>618</v>
      </c>
      <c r="I60" s="3"/>
      <c r="J60" s="11" t="s">
        <v>151</v>
      </c>
      <c r="K60" s="3"/>
      <c r="L60" s="7">
        <v>-2268</v>
      </c>
      <c r="M60" s="3">
        <f t="shared" si="45"/>
        <v>-2268</v>
      </c>
      <c r="N60" s="3">
        <f t="shared" si="46"/>
        <v>482</v>
      </c>
    </row>
    <row r="61" spans="1:14" x14ac:dyDescent="0.35">
      <c r="A61" t="s">
        <v>75</v>
      </c>
      <c r="B61" s="3">
        <v>-1057</v>
      </c>
      <c r="C61" s="3">
        <f>-1379-B61</f>
        <v>-322</v>
      </c>
      <c r="D61" s="3">
        <f>-1443-C61-B61</f>
        <v>-64</v>
      </c>
      <c r="E61" s="3">
        <f t="shared" si="47"/>
        <v>1184</v>
      </c>
      <c r="F61" s="3">
        <v>-681</v>
      </c>
      <c r="G61" s="3">
        <f>-495-F61</f>
        <v>186</v>
      </c>
      <c r="H61" s="3">
        <f>-256-G61-F61</f>
        <v>239</v>
      </c>
      <c r="I61" s="3"/>
      <c r="J61" s="11" t="s">
        <v>151</v>
      </c>
      <c r="K61" s="3"/>
      <c r="L61" s="7">
        <v>-259</v>
      </c>
      <c r="M61" s="3">
        <f t="shared" si="45"/>
        <v>-259</v>
      </c>
      <c r="N61" s="3">
        <f t="shared" si="46"/>
        <v>-256</v>
      </c>
    </row>
    <row r="62" spans="1:14" x14ac:dyDescent="0.35">
      <c r="A62" t="s">
        <v>76</v>
      </c>
      <c r="B62" s="3">
        <v>172</v>
      </c>
      <c r="C62" s="3">
        <f>202-B62</f>
        <v>30</v>
      </c>
      <c r="D62" s="3">
        <f>-101-C62-B62</f>
        <v>-303</v>
      </c>
      <c r="E62" s="3">
        <f t="shared" si="47"/>
        <v>-56</v>
      </c>
      <c r="F62" s="3">
        <v>-332</v>
      </c>
      <c r="G62" s="3">
        <f>-638-F62</f>
        <v>-306</v>
      </c>
      <c r="H62" s="3">
        <f>-1217-G62-F62</f>
        <v>-579</v>
      </c>
      <c r="I62" s="3"/>
      <c r="J62" s="11" t="s">
        <v>151</v>
      </c>
      <c r="K62" s="3"/>
      <c r="L62" s="7">
        <v>-157</v>
      </c>
      <c r="M62" s="3">
        <f t="shared" si="45"/>
        <v>-157</v>
      </c>
      <c r="N62" s="3">
        <f t="shared" si="46"/>
        <v>-1217</v>
      </c>
    </row>
    <row r="63" spans="1:14" x14ac:dyDescent="0.35">
      <c r="A63" t="s">
        <v>77</v>
      </c>
      <c r="B63" s="3">
        <v>-187</v>
      </c>
      <c r="C63" s="3">
        <f>-58-B63</f>
        <v>129</v>
      </c>
      <c r="D63" s="3">
        <f>25-C63-B63</f>
        <v>83</v>
      </c>
      <c r="E63" s="3">
        <f t="shared" si="47"/>
        <v>271</v>
      </c>
      <c r="F63" s="3">
        <v>-332</v>
      </c>
      <c r="G63" s="3">
        <f>-524-F63</f>
        <v>-192</v>
      </c>
      <c r="H63" s="3">
        <f>-543-G63-F63</f>
        <v>-19</v>
      </c>
      <c r="I63" s="3"/>
      <c r="J63" s="11" t="s">
        <v>151</v>
      </c>
      <c r="K63" s="3"/>
      <c r="L63" s="7">
        <v>296</v>
      </c>
      <c r="M63" s="3">
        <f t="shared" si="45"/>
        <v>296</v>
      </c>
      <c r="N63" s="3">
        <f t="shared" si="46"/>
        <v>-543</v>
      </c>
    </row>
    <row r="64" spans="1:14" s="1" customFormat="1" x14ac:dyDescent="0.35">
      <c r="A64" s="1" t="s">
        <v>78</v>
      </c>
      <c r="B64" s="4">
        <f t="shared" ref="B64:C64" si="48">SUM(B52:B63)</f>
        <v>-701</v>
      </c>
      <c r="C64" s="4">
        <f t="shared" si="48"/>
        <v>-139</v>
      </c>
      <c r="D64" s="4">
        <f>SUM(D52:D63)</f>
        <v>1250</v>
      </c>
      <c r="E64" s="4">
        <f t="shared" ref="E64:N64" si="49">SUM(E52:E63)</f>
        <v>497</v>
      </c>
      <c r="F64" s="4">
        <f t="shared" si="49"/>
        <v>-894</v>
      </c>
      <c r="G64" s="4">
        <f t="shared" si="49"/>
        <v>379</v>
      </c>
      <c r="H64" s="4">
        <f t="shared" si="49"/>
        <v>1424</v>
      </c>
      <c r="I64" s="4">
        <f t="shared" si="49"/>
        <v>0</v>
      </c>
      <c r="J64" s="11" t="s">
        <v>151</v>
      </c>
      <c r="K64" s="3"/>
      <c r="L64" s="8">
        <f t="shared" si="49"/>
        <v>907</v>
      </c>
      <c r="M64" s="4">
        <f t="shared" si="49"/>
        <v>907</v>
      </c>
      <c r="N64" s="4">
        <f t="shared" si="49"/>
        <v>909</v>
      </c>
    </row>
    <row r="65" spans="1:14" x14ac:dyDescent="0.35">
      <c r="J65" s="11" t="s">
        <v>151</v>
      </c>
      <c r="L65" s="9"/>
    </row>
    <row r="66" spans="1:14" s="1" customFormat="1" x14ac:dyDescent="0.35">
      <c r="B66" s="1" t="str">
        <f>B50</f>
        <v>Q123</v>
      </c>
      <c r="C66" s="1" t="str">
        <f t="shared" ref="C66:N66" si="50">C50</f>
        <v>Q223</v>
      </c>
      <c r="D66" s="1" t="str">
        <f t="shared" si="50"/>
        <v>Q323</v>
      </c>
      <c r="E66" s="1" t="str">
        <f t="shared" si="50"/>
        <v>Q423</v>
      </c>
      <c r="F66" s="1" t="str">
        <f t="shared" si="50"/>
        <v>Q124</v>
      </c>
      <c r="G66" s="1" t="str">
        <f t="shared" si="50"/>
        <v>Q224</v>
      </c>
      <c r="H66" s="1" t="str">
        <f t="shared" si="50"/>
        <v>Q324</v>
      </c>
      <c r="I66" s="1" t="str">
        <f t="shared" si="50"/>
        <v>Q424</v>
      </c>
      <c r="J66" s="11" t="s">
        <v>151</v>
      </c>
      <c r="K66"/>
      <c r="L66" s="9"/>
      <c r="M66" s="1">
        <f t="shared" si="50"/>
        <v>2023</v>
      </c>
      <c r="N66" s="1">
        <f t="shared" si="50"/>
        <v>2024</v>
      </c>
    </row>
    <row r="67" spans="1:14" x14ac:dyDescent="0.35">
      <c r="J67" s="11" t="s">
        <v>151</v>
      </c>
      <c r="L67" s="9"/>
    </row>
    <row r="68" spans="1:14" s="1" customFormat="1" x14ac:dyDescent="0.35">
      <c r="A68" s="1" t="s">
        <v>24</v>
      </c>
      <c r="J68" s="11" t="s">
        <v>151</v>
      </c>
      <c r="K68"/>
      <c r="L68" s="9"/>
    </row>
    <row r="69" spans="1:14" x14ac:dyDescent="0.35">
      <c r="A69" t="s">
        <v>25</v>
      </c>
      <c r="B69" s="3">
        <v>3213</v>
      </c>
      <c r="C69" s="3">
        <v>3194</v>
      </c>
      <c r="D69" s="3">
        <v>2979</v>
      </c>
      <c r="E69" s="3">
        <v>4322</v>
      </c>
      <c r="F69" s="3">
        <v>3236</v>
      </c>
      <c r="G69" s="3">
        <v>2002</v>
      </c>
      <c r="H69" s="3">
        <v>1801</v>
      </c>
      <c r="I69" s="3"/>
      <c r="J69" s="11" t="s">
        <v>151</v>
      </c>
      <c r="L69" s="9"/>
      <c r="M69" s="3">
        <f>E69</f>
        <v>4322</v>
      </c>
      <c r="N69" s="3">
        <f t="shared" ref="N69:N74" si="51">SUM(F69:I69)</f>
        <v>7039</v>
      </c>
    </row>
    <row r="70" spans="1:14" x14ac:dyDescent="0.35">
      <c r="A70" t="s">
        <v>27</v>
      </c>
      <c r="B70">
        <v>159</v>
      </c>
      <c r="C70">
        <v>191</v>
      </c>
      <c r="D70" s="3">
        <v>199</v>
      </c>
      <c r="E70" s="3">
        <v>133</v>
      </c>
      <c r="F70" s="3">
        <v>155</v>
      </c>
      <c r="G70">
        <v>246</v>
      </c>
      <c r="H70" s="3">
        <v>212</v>
      </c>
      <c r="I70" s="3"/>
      <c r="J70" s="11" t="s">
        <v>151</v>
      </c>
      <c r="L70" s="9"/>
      <c r="M70" s="3">
        <f t="shared" ref="M70:M74" si="52">E70</f>
        <v>133</v>
      </c>
      <c r="N70" s="3">
        <f t="shared" si="51"/>
        <v>613</v>
      </c>
    </row>
    <row r="71" spans="1:14" x14ac:dyDescent="0.35">
      <c r="A71" t="s">
        <v>28</v>
      </c>
      <c r="B71" s="3">
        <v>19974</v>
      </c>
      <c r="C71" s="3">
        <v>21541</v>
      </c>
      <c r="D71" s="3">
        <v>22240</v>
      </c>
      <c r="E71" s="3">
        <v>24249</v>
      </c>
      <c r="F71" s="3">
        <v>24120</v>
      </c>
      <c r="G71" s="3">
        <v>23868</v>
      </c>
      <c r="H71" s="3">
        <v>24062</v>
      </c>
      <c r="I71" s="3"/>
      <c r="J71" s="11" t="s">
        <v>151</v>
      </c>
      <c r="L71" s="9"/>
      <c r="M71" s="3">
        <f t="shared" si="52"/>
        <v>24249</v>
      </c>
      <c r="N71" s="3">
        <f t="shared" si="51"/>
        <v>72050</v>
      </c>
    </row>
    <row r="72" spans="1:14" x14ac:dyDescent="0.35">
      <c r="A72" t="s">
        <v>29</v>
      </c>
      <c r="B72" s="3">
        <v>255</v>
      </c>
      <c r="C72" s="3">
        <v>260</v>
      </c>
      <c r="D72" s="3">
        <v>229</v>
      </c>
      <c r="E72" s="3">
        <v>380</v>
      </c>
      <c r="F72" s="3">
        <v>230</v>
      </c>
      <c r="G72" s="3">
        <v>230</v>
      </c>
      <c r="H72" s="3">
        <v>274</v>
      </c>
      <c r="I72" s="3"/>
      <c r="J72" s="11" t="s">
        <v>151</v>
      </c>
      <c r="L72" s="9"/>
      <c r="M72" s="3">
        <f t="shared" si="52"/>
        <v>380</v>
      </c>
      <c r="N72" s="3">
        <f t="shared" si="51"/>
        <v>734</v>
      </c>
    </row>
    <row r="73" spans="1:14" x14ac:dyDescent="0.35">
      <c r="A73" t="s">
        <v>30</v>
      </c>
      <c r="B73" s="3">
        <v>5983</v>
      </c>
      <c r="C73" s="3">
        <v>6411</v>
      </c>
      <c r="D73" s="3">
        <v>6447</v>
      </c>
      <c r="E73" s="3">
        <v>5545</v>
      </c>
      <c r="F73" s="3">
        <v>6189</v>
      </c>
      <c r="G73" s="3">
        <v>5951</v>
      </c>
      <c r="H73" s="3">
        <v>5930</v>
      </c>
      <c r="I73" s="3"/>
      <c r="J73" s="11" t="s">
        <v>151</v>
      </c>
      <c r="L73" s="9"/>
      <c r="M73" s="3">
        <f t="shared" si="52"/>
        <v>5545</v>
      </c>
      <c r="N73" s="3">
        <f t="shared" si="51"/>
        <v>18070</v>
      </c>
    </row>
    <row r="74" spans="1:14" x14ac:dyDescent="0.35">
      <c r="A74" t="s">
        <v>33</v>
      </c>
      <c r="B74" s="3">
        <v>1470</v>
      </c>
      <c r="C74" s="3">
        <v>1458</v>
      </c>
      <c r="D74" s="3">
        <v>1454</v>
      </c>
      <c r="E74" s="3">
        <v>1417</v>
      </c>
      <c r="F74" s="3">
        <v>1374</v>
      </c>
      <c r="G74" s="3">
        <v>1354</v>
      </c>
      <c r="H74" s="3">
        <v>1406</v>
      </c>
      <c r="I74" s="3"/>
      <c r="J74" s="11" t="s">
        <v>151</v>
      </c>
      <c r="L74" s="9"/>
      <c r="M74" s="3">
        <f t="shared" si="52"/>
        <v>1417</v>
      </c>
      <c r="N74" s="3">
        <f t="shared" si="51"/>
        <v>4134</v>
      </c>
    </row>
    <row r="75" spans="1:14" s="1" customFormat="1" x14ac:dyDescent="0.35">
      <c r="A75" s="1" t="s">
        <v>31</v>
      </c>
      <c r="B75" s="4">
        <f t="shared" ref="B75:I75" si="53">SUM(B69:B74)</f>
        <v>31054</v>
      </c>
      <c r="C75" s="4">
        <f t="shared" si="53"/>
        <v>33055</v>
      </c>
      <c r="D75" s="4">
        <f>SUM(D69:D74)</f>
        <v>33548</v>
      </c>
      <c r="E75" s="4">
        <f>SUM(E69:E74)</f>
        <v>36046</v>
      </c>
      <c r="F75" s="4">
        <f t="shared" si="53"/>
        <v>35304</v>
      </c>
      <c r="G75" s="4">
        <f t="shared" si="53"/>
        <v>33651</v>
      </c>
      <c r="H75" s="4">
        <f t="shared" si="53"/>
        <v>33685</v>
      </c>
      <c r="I75" s="4">
        <f t="shared" si="53"/>
        <v>0</v>
      </c>
      <c r="J75" s="11" t="s">
        <v>151</v>
      </c>
      <c r="K75" s="3"/>
      <c r="L75" s="7"/>
      <c r="M75" s="4">
        <f>SUM(M69:M74)</f>
        <v>36046</v>
      </c>
      <c r="N75" s="4">
        <f>SUM(N69:N74)</f>
        <v>102640</v>
      </c>
    </row>
    <row r="76" spans="1:14" x14ac:dyDescent="0.35">
      <c r="A76" t="s">
        <v>26</v>
      </c>
      <c r="B76" s="3">
        <v>792</v>
      </c>
      <c r="C76" s="3">
        <v>731</v>
      </c>
      <c r="D76" s="3">
        <v>706</v>
      </c>
      <c r="E76" s="3">
        <v>723</v>
      </c>
      <c r="F76" s="3">
        <v>723</v>
      </c>
      <c r="G76" s="3">
        <v>645</v>
      </c>
      <c r="H76" s="3">
        <v>649</v>
      </c>
      <c r="I76" s="3"/>
      <c r="J76" s="11" t="s">
        <v>151</v>
      </c>
      <c r="L76" s="9"/>
      <c r="M76" s="3">
        <f t="shared" ref="M76:M83" si="54">E76</f>
        <v>723</v>
      </c>
      <c r="N76" s="3">
        <f t="shared" ref="N76:N83" si="55">SUM(F76:I76)</f>
        <v>2017</v>
      </c>
    </row>
    <row r="77" spans="1:14" s="1" customFormat="1" x14ac:dyDescent="0.35">
      <c r="A77" t="s">
        <v>32</v>
      </c>
      <c r="B77" s="3">
        <v>1574</v>
      </c>
      <c r="C77" s="3">
        <v>1643</v>
      </c>
      <c r="D77" s="3">
        <v>1681</v>
      </c>
      <c r="E77" s="3">
        <v>1913</v>
      </c>
      <c r="F77" s="3">
        <v>1903</v>
      </c>
      <c r="G77" s="3">
        <v>1909</v>
      </c>
      <c r="H77" s="3">
        <v>1980</v>
      </c>
      <c r="I77" s="3"/>
      <c r="J77" s="11" t="s">
        <v>151</v>
      </c>
      <c r="K77"/>
      <c r="L77" s="9"/>
      <c r="M77" s="3">
        <f t="shared" si="54"/>
        <v>1913</v>
      </c>
      <c r="N77" s="3">
        <f t="shared" si="55"/>
        <v>5792</v>
      </c>
    </row>
    <row r="78" spans="1:14" x14ac:dyDescent="0.35">
      <c r="A78" t="s">
        <v>40</v>
      </c>
      <c r="B78" s="3">
        <v>357</v>
      </c>
      <c r="C78" s="3">
        <v>405</v>
      </c>
      <c r="D78" s="3">
        <v>477</v>
      </c>
      <c r="E78" s="3">
        <v>563</v>
      </c>
      <c r="F78" s="3">
        <v>559</v>
      </c>
      <c r="G78" s="3">
        <v>615</v>
      </c>
      <c r="H78" s="3">
        <v>532</v>
      </c>
      <c r="I78" s="3"/>
      <c r="J78" s="11" t="s">
        <v>151</v>
      </c>
      <c r="L78" s="9"/>
      <c r="M78" s="3">
        <f t="shared" si="54"/>
        <v>563</v>
      </c>
      <c r="N78" s="3">
        <f t="shared" si="55"/>
        <v>1706</v>
      </c>
    </row>
    <row r="79" spans="1:14" x14ac:dyDescent="0.35">
      <c r="A79" t="s">
        <v>34</v>
      </c>
      <c r="B79" s="3">
        <v>3514</v>
      </c>
      <c r="C79" s="3">
        <v>3490</v>
      </c>
      <c r="D79" s="3">
        <v>3490</v>
      </c>
      <c r="E79" s="3">
        <v>3614</v>
      </c>
      <c r="F79" s="3">
        <v>3603</v>
      </c>
      <c r="G79" s="3">
        <v>3599</v>
      </c>
      <c r="H79" s="3">
        <v>3615</v>
      </c>
      <c r="I79" s="3"/>
      <c r="J79" s="11" t="s">
        <v>151</v>
      </c>
      <c r="L79" s="9"/>
      <c r="M79" s="3">
        <f t="shared" si="54"/>
        <v>3614</v>
      </c>
      <c r="N79" s="3">
        <f t="shared" si="55"/>
        <v>10817</v>
      </c>
    </row>
    <row r="80" spans="1:14" x14ac:dyDescent="0.35">
      <c r="A80" t="s">
        <v>35</v>
      </c>
      <c r="B80" s="3">
        <v>1199</v>
      </c>
      <c r="C80" s="3">
        <v>1229</v>
      </c>
      <c r="D80" s="3">
        <v>1237</v>
      </c>
      <c r="E80" s="3">
        <v>1292</v>
      </c>
      <c r="F80" s="3">
        <v>1265</v>
      </c>
      <c r="G80" s="3">
        <v>1247</v>
      </c>
      <c r="H80" s="3">
        <v>1251</v>
      </c>
      <c r="I80" s="3"/>
      <c r="J80" s="11" t="s">
        <v>151</v>
      </c>
      <c r="L80" s="9"/>
      <c r="M80" s="3">
        <f t="shared" si="54"/>
        <v>1292</v>
      </c>
      <c r="N80" s="3">
        <f t="shared" si="55"/>
        <v>3763</v>
      </c>
    </row>
    <row r="81" spans="1:14" x14ac:dyDescent="0.35">
      <c r="A81" t="s">
        <v>36</v>
      </c>
      <c r="B81" s="3">
        <v>434</v>
      </c>
      <c r="C81" s="3">
        <v>587</v>
      </c>
      <c r="D81" s="3">
        <v>704</v>
      </c>
      <c r="E81" s="3">
        <v>979</v>
      </c>
      <c r="F81" s="3">
        <v>977</v>
      </c>
      <c r="G81" s="3">
        <v>942</v>
      </c>
      <c r="H81" s="3">
        <v>957</v>
      </c>
      <c r="I81" s="3"/>
      <c r="J81" s="11" t="s">
        <v>151</v>
      </c>
      <c r="L81" s="9"/>
      <c r="M81" s="3">
        <f t="shared" si="54"/>
        <v>979</v>
      </c>
      <c r="N81" s="3">
        <f t="shared" si="55"/>
        <v>2876</v>
      </c>
    </row>
    <row r="82" spans="1:14" x14ac:dyDescent="0.35">
      <c r="A82" t="s">
        <v>37</v>
      </c>
      <c r="B82" s="3">
        <v>179</v>
      </c>
      <c r="C82" s="3">
        <v>195</v>
      </c>
      <c r="D82" s="3">
        <v>163</v>
      </c>
      <c r="E82" s="3">
        <v>136</v>
      </c>
      <c r="F82" s="3">
        <v>103</v>
      </c>
      <c r="G82" s="3">
        <v>133</v>
      </c>
      <c r="H82" s="3">
        <v>159</v>
      </c>
      <c r="I82" s="3"/>
      <c r="J82" s="11" t="s">
        <v>151</v>
      </c>
      <c r="L82" s="9"/>
      <c r="M82" s="3">
        <f t="shared" si="54"/>
        <v>136</v>
      </c>
      <c r="N82" s="3">
        <f t="shared" si="55"/>
        <v>395</v>
      </c>
    </row>
    <row r="83" spans="1:14" x14ac:dyDescent="0.35">
      <c r="A83" t="s">
        <v>38</v>
      </c>
      <c r="B83" s="3">
        <v>1463</v>
      </c>
      <c r="C83" s="3">
        <v>1352</v>
      </c>
      <c r="D83" s="3">
        <v>1035</v>
      </c>
      <c r="E83" s="3">
        <v>1085</v>
      </c>
      <c r="F83" s="3">
        <v>1289</v>
      </c>
      <c r="G83" s="3">
        <v>1218</v>
      </c>
      <c r="H83" s="3">
        <v>1205</v>
      </c>
      <c r="I83" s="3"/>
      <c r="J83" s="11" t="s">
        <v>151</v>
      </c>
      <c r="L83" s="9"/>
      <c r="M83" s="3">
        <f t="shared" si="54"/>
        <v>1085</v>
      </c>
      <c r="N83" s="3">
        <f t="shared" si="55"/>
        <v>3712</v>
      </c>
    </row>
    <row r="84" spans="1:14" s="1" customFormat="1" x14ac:dyDescent="0.35">
      <c r="A84" s="1" t="s">
        <v>39</v>
      </c>
      <c r="B84" s="4">
        <f t="shared" ref="B84:C84" si="56">SUM(B75:B83)</f>
        <v>40566</v>
      </c>
      <c r="C84" s="4">
        <f t="shared" si="56"/>
        <v>42687</v>
      </c>
      <c r="D84" s="4">
        <f t="shared" ref="D84:I84" si="57">SUM(D75:D83)</f>
        <v>43041</v>
      </c>
      <c r="E84" s="4">
        <f t="shared" ref="E84" si="58">SUM(E75:E83)</f>
        <v>46351</v>
      </c>
      <c r="F84" s="4">
        <f t="shared" si="57"/>
        <v>45726</v>
      </c>
      <c r="G84" s="4">
        <f t="shared" si="57"/>
        <v>43959</v>
      </c>
      <c r="H84" s="4">
        <f t="shared" si="57"/>
        <v>44033</v>
      </c>
      <c r="I84" s="4">
        <f t="shared" si="57"/>
        <v>0</v>
      </c>
      <c r="J84" s="11" t="s">
        <v>151</v>
      </c>
      <c r="K84" s="3"/>
      <c r="L84" s="7"/>
      <c r="M84" s="4">
        <f>SUM(M75:M83)</f>
        <v>46351</v>
      </c>
      <c r="N84" s="4">
        <f>SUM(N75:N83)</f>
        <v>133718</v>
      </c>
    </row>
    <row r="85" spans="1:14" x14ac:dyDescent="0.35">
      <c r="J85" s="11" t="s">
        <v>151</v>
      </c>
      <c r="L85" s="9"/>
    </row>
    <row r="86" spans="1:14" s="1" customFormat="1" x14ac:dyDescent="0.35">
      <c r="A86" s="1" t="s">
        <v>41</v>
      </c>
      <c r="J86" s="11" t="s">
        <v>151</v>
      </c>
      <c r="L86" s="6"/>
    </row>
    <row r="87" spans="1:14" x14ac:dyDescent="0.35">
      <c r="A87" t="s">
        <v>42</v>
      </c>
      <c r="B87" s="3">
        <v>23552</v>
      </c>
      <c r="C87" s="3">
        <v>24870</v>
      </c>
      <c r="D87" s="3">
        <v>24958</v>
      </c>
      <c r="E87" s="3">
        <v>27326</v>
      </c>
      <c r="F87" s="3">
        <v>27780</v>
      </c>
      <c r="G87" s="3">
        <v>26808</v>
      </c>
      <c r="H87" s="3">
        <v>27300</v>
      </c>
      <c r="I87" s="3"/>
      <c r="J87" s="11" t="s">
        <v>151</v>
      </c>
      <c r="M87" s="3">
        <f t="shared" ref="M87:M93" si="59">E87</f>
        <v>27326</v>
      </c>
      <c r="N87" s="3">
        <f t="shared" ref="N87:N93" si="60">SUM(F87:I87)</f>
        <v>81888</v>
      </c>
    </row>
    <row r="88" spans="1:14" x14ac:dyDescent="0.35">
      <c r="A88" t="s">
        <v>43</v>
      </c>
      <c r="B88" s="3">
        <v>57</v>
      </c>
      <c r="C88" s="3">
        <v>111</v>
      </c>
      <c r="D88" s="3">
        <v>76</v>
      </c>
      <c r="E88" s="3">
        <v>146</v>
      </c>
      <c r="F88" s="3">
        <v>70</v>
      </c>
      <c r="G88" s="3">
        <v>60</v>
      </c>
      <c r="H88" s="3">
        <v>48</v>
      </c>
      <c r="I88" s="3"/>
      <c r="J88" s="11" t="s">
        <v>151</v>
      </c>
      <c r="M88" s="3">
        <f t="shared" si="59"/>
        <v>146</v>
      </c>
      <c r="N88" s="3">
        <f t="shared" si="60"/>
        <v>178</v>
      </c>
    </row>
    <row r="89" spans="1:14" x14ac:dyDescent="0.35">
      <c r="A89" t="s">
        <v>44</v>
      </c>
      <c r="B89" s="3">
        <v>3897</v>
      </c>
      <c r="C89" s="3">
        <v>3937</v>
      </c>
      <c r="D89" s="3">
        <v>3574</v>
      </c>
      <c r="E89" s="3">
        <v>3611</v>
      </c>
      <c r="F89" s="3">
        <v>3225</v>
      </c>
      <c r="G89" s="3">
        <v>2911</v>
      </c>
      <c r="H89" s="3">
        <v>2409</v>
      </c>
      <c r="I89" s="3"/>
      <c r="J89" s="11" t="s">
        <v>151</v>
      </c>
      <c r="M89" s="3">
        <f t="shared" si="59"/>
        <v>3611</v>
      </c>
      <c r="N89" s="3">
        <f t="shared" si="60"/>
        <v>8545</v>
      </c>
    </row>
    <row r="90" spans="1:14" x14ac:dyDescent="0.35">
      <c r="A90" t="s">
        <v>45</v>
      </c>
      <c r="B90" s="3">
        <v>44</v>
      </c>
      <c r="C90" s="3">
        <v>37</v>
      </c>
      <c r="D90" s="3">
        <v>26</v>
      </c>
      <c r="E90" s="3">
        <v>35</v>
      </c>
      <c r="F90" s="3">
        <v>39</v>
      </c>
      <c r="G90" s="3">
        <v>44</v>
      </c>
      <c r="H90" s="3">
        <v>36</v>
      </c>
      <c r="I90" s="3"/>
      <c r="J90" s="11" t="s">
        <v>151</v>
      </c>
      <c r="M90" s="3">
        <f t="shared" si="59"/>
        <v>35</v>
      </c>
      <c r="N90" s="3">
        <f t="shared" si="60"/>
        <v>119</v>
      </c>
    </row>
    <row r="91" spans="1:14" x14ac:dyDescent="0.35">
      <c r="A91" t="s">
        <v>46</v>
      </c>
      <c r="B91" s="3">
        <v>449</v>
      </c>
      <c r="C91" s="3">
        <v>442</v>
      </c>
      <c r="D91" s="3">
        <v>421</v>
      </c>
      <c r="E91" s="3">
        <v>476</v>
      </c>
      <c r="F91" s="3">
        <v>458</v>
      </c>
      <c r="G91" s="3">
        <v>443</v>
      </c>
      <c r="H91" s="3">
        <v>450</v>
      </c>
      <c r="I91" s="3"/>
      <c r="J91" s="11" t="s">
        <v>151</v>
      </c>
      <c r="M91" s="3">
        <f t="shared" si="59"/>
        <v>476</v>
      </c>
      <c r="N91" s="3">
        <f t="shared" si="60"/>
        <v>1351</v>
      </c>
    </row>
    <row r="92" spans="1:14" x14ac:dyDescent="0.35">
      <c r="A92" t="s">
        <v>47</v>
      </c>
      <c r="B92" s="3">
        <v>177</v>
      </c>
      <c r="C92" s="3">
        <v>243</v>
      </c>
      <c r="D92" s="3">
        <v>246</v>
      </c>
      <c r="E92" s="3">
        <v>216</v>
      </c>
      <c r="F92" s="3">
        <v>175</v>
      </c>
      <c r="G92" s="3">
        <v>178</v>
      </c>
      <c r="H92" s="3">
        <v>145</v>
      </c>
      <c r="I92" s="3"/>
      <c r="J92" s="11" t="s">
        <v>151</v>
      </c>
      <c r="M92" s="3">
        <f t="shared" si="59"/>
        <v>216</v>
      </c>
      <c r="N92" s="3">
        <f t="shared" si="60"/>
        <v>498</v>
      </c>
    </row>
    <row r="93" spans="1:14" x14ac:dyDescent="0.35">
      <c r="A93" t="s">
        <v>48</v>
      </c>
      <c r="B93" s="3">
        <v>4939</v>
      </c>
      <c r="C93" s="3">
        <v>5417</v>
      </c>
      <c r="D93" s="3">
        <v>5625</v>
      </c>
      <c r="E93" s="3">
        <v>6307</v>
      </c>
      <c r="F93" s="3">
        <v>5967</v>
      </c>
      <c r="G93" s="3">
        <v>5853</v>
      </c>
      <c r="H93" s="3">
        <v>5876</v>
      </c>
      <c r="I93" s="3"/>
      <c r="J93" s="11" t="s">
        <v>151</v>
      </c>
      <c r="M93" s="3">
        <f t="shared" si="59"/>
        <v>6307</v>
      </c>
      <c r="N93" s="3">
        <f t="shared" si="60"/>
        <v>17696</v>
      </c>
    </row>
    <row r="94" spans="1:14" s="1" customFormat="1" x14ac:dyDescent="0.35">
      <c r="A94" s="1" t="s">
        <v>49</v>
      </c>
      <c r="B94" s="4">
        <f t="shared" ref="B94:C94" si="61">SUM(B87:B93)</f>
        <v>33115</v>
      </c>
      <c r="C94" s="4">
        <f t="shared" si="61"/>
        <v>35057</v>
      </c>
      <c r="D94" s="4">
        <f>SUM(D87:D93)</f>
        <v>34926</v>
      </c>
      <c r="E94" s="4">
        <f>SUM(E87:E93)</f>
        <v>38117</v>
      </c>
      <c r="F94" s="4">
        <f t="shared" ref="F94:N94" si="62">SUM(F87:F93)</f>
        <v>37714</v>
      </c>
      <c r="G94" s="4">
        <f t="shared" si="62"/>
        <v>36297</v>
      </c>
      <c r="H94" s="4">
        <f t="shared" si="62"/>
        <v>36264</v>
      </c>
      <c r="I94" s="4">
        <f t="shared" si="62"/>
        <v>0</v>
      </c>
      <c r="J94" s="11" t="s">
        <v>151</v>
      </c>
      <c r="K94" s="4"/>
      <c r="L94" s="8"/>
      <c r="M94" s="4">
        <f t="shared" si="62"/>
        <v>38117</v>
      </c>
      <c r="N94" s="4">
        <f t="shared" si="62"/>
        <v>110275</v>
      </c>
    </row>
    <row r="95" spans="1:14" x14ac:dyDescent="0.35">
      <c r="A95" t="s">
        <v>50</v>
      </c>
      <c r="B95" s="3">
        <v>52</v>
      </c>
      <c r="C95" s="3">
        <v>55</v>
      </c>
      <c r="D95" s="3">
        <v>58</v>
      </c>
      <c r="E95" s="3">
        <v>54</v>
      </c>
      <c r="F95" s="3">
        <v>57</v>
      </c>
      <c r="G95" s="3"/>
      <c r="H95" s="3">
        <v>57</v>
      </c>
      <c r="I95" s="3"/>
      <c r="J95" s="11" t="s">
        <v>151</v>
      </c>
      <c r="M95" s="3">
        <f t="shared" ref="M95" si="63">E95</f>
        <v>54</v>
      </c>
      <c r="N95" s="3">
        <f>SUM(F95:I95)</f>
        <v>114</v>
      </c>
    </row>
    <row r="96" spans="1:14" x14ac:dyDescent="0.35">
      <c r="B96" s="3"/>
      <c r="C96" s="3"/>
      <c r="D96" s="3"/>
      <c r="E96" s="3"/>
      <c r="F96" s="3"/>
      <c r="G96" s="3"/>
      <c r="H96" s="3"/>
      <c r="I96" s="3"/>
      <c r="J96" s="11" t="s">
        <v>151</v>
      </c>
      <c r="M96" s="3"/>
      <c r="N96" s="3"/>
    </row>
    <row r="97" spans="1:14" s="1" customFormat="1" x14ac:dyDescent="0.35">
      <c r="A97" s="1" t="s">
        <v>51</v>
      </c>
      <c r="B97" s="4">
        <f t="shared" ref="B97:C97" si="64">B84-B94-B95</f>
        <v>7399</v>
      </c>
      <c r="C97" s="4">
        <f t="shared" si="64"/>
        <v>7575</v>
      </c>
      <c r="D97" s="4">
        <f>D84-D94-D95</f>
        <v>8057</v>
      </c>
      <c r="E97" s="4">
        <f t="shared" ref="E97:N97" si="65">E84-E94-E95</f>
        <v>8180</v>
      </c>
      <c r="F97" s="4">
        <f t="shared" si="65"/>
        <v>7955</v>
      </c>
      <c r="G97" s="4">
        <f t="shared" si="65"/>
        <v>7662</v>
      </c>
      <c r="H97" s="4">
        <f t="shared" si="65"/>
        <v>7712</v>
      </c>
      <c r="I97" s="4">
        <f t="shared" si="65"/>
        <v>0</v>
      </c>
      <c r="J97" s="11" t="s">
        <v>151</v>
      </c>
      <c r="K97" s="4"/>
      <c r="L97" s="8"/>
      <c r="M97" s="4">
        <f t="shared" si="65"/>
        <v>8180</v>
      </c>
      <c r="N97" s="4">
        <f t="shared" si="65"/>
        <v>23329</v>
      </c>
    </row>
    <row r="98" spans="1:14" s="1" customFormat="1" x14ac:dyDescent="0.35">
      <c r="A98" s="1" t="s">
        <v>52</v>
      </c>
      <c r="B98" s="4"/>
      <c r="C98" s="4"/>
      <c r="D98" s="4"/>
      <c r="E98" s="4"/>
      <c r="F98" s="4"/>
      <c r="G98" s="4"/>
      <c r="H98" s="4"/>
      <c r="I98" s="4"/>
      <c r="J98" s="11" t="s">
        <v>151</v>
      </c>
      <c r="L98" s="6"/>
      <c r="M98" s="4"/>
      <c r="N98" s="4"/>
    </row>
    <row r="99" spans="1:14" x14ac:dyDescent="0.35">
      <c r="A99" t="s">
        <v>53</v>
      </c>
      <c r="B99" s="3">
        <v>25</v>
      </c>
      <c r="C99" s="3">
        <v>25</v>
      </c>
      <c r="D99" s="3">
        <v>25</v>
      </c>
      <c r="E99" s="3">
        <v>25</v>
      </c>
      <c r="F99" s="3">
        <v>25</v>
      </c>
      <c r="G99" s="3">
        <v>25</v>
      </c>
      <c r="H99" s="3">
        <v>25</v>
      </c>
      <c r="I99" s="3"/>
      <c r="J99" s="11" t="s">
        <v>151</v>
      </c>
      <c r="M99" s="3">
        <f t="shared" ref="M99:M104" si="66">E99</f>
        <v>25</v>
      </c>
      <c r="N99" s="3">
        <f t="shared" ref="N99:N104" si="67">SUM(F99:I99)</f>
        <v>75</v>
      </c>
    </row>
    <row r="100" spans="1:14" x14ac:dyDescent="0.35">
      <c r="A100" t="s">
        <v>54</v>
      </c>
      <c r="B100" s="3">
        <v>-301</v>
      </c>
      <c r="C100" s="3">
        <v>-382</v>
      </c>
      <c r="D100" s="3">
        <v>-437</v>
      </c>
      <c r="E100" s="3">
        <v>-865</v>
      </c>
      <c r="F100" s="3">
        <v>-1276</v>
      </c>
      <c r="G100" s="3">
        <v>-1317</v>
      </c>
      <c r="H100" s="3">
        <v>-1376</v>
      </c>
      <c r="I100" s="3"/>
      <c r="J100" s="11" t="s">
        <v>151</v>
      </c>
      <c r="M100" s="3">
        <f t="shared" si="66"/>
        <v>-865</v>
      </c>
      <c r="N100" s="3">
        <f t="shared" si="67"/>
        <v>-3969</v>
      </c>
    </row>
    <row r="101" spans="1:14" x14ac:dyDescent="0.35">
      <c r="A101" t="s">
        <v>55</v>
      </c>
      <c r="B101" s="3">
        <v>1528</v>
      </c>
      <c r="C101" s="3">
        <v>1536</v>
      </c>
      <c r="D101" s="3">
        <v>1563</v>
      </c>
      <c r="E101" s="3">
        <v>1578</v>
      </c>
      <c r="F101" s="3">
        <v>1415</v>
      </c>
      <c r="G101" s="3">
        <v>1401</v>
      </c>
      <c r="H101" s="3">
        <v>1415</v>
      </c>
      <c r="I101" s="3"/>
      <c r="J101" s="11" t="s">
        <v>151</v>
      </c>
      <c r="M101" s="3">
        <f t="shared" si="66"/>
        <v>1578</v>
      </c>
      <c r="N101" s="3">
        <f t="shared" si="67"/>
        <v>4231</v>
      </c>
    </row>
    <row r="102" spans="1:14" x14ac:dyDescent="0.35">
      <c r="A102" t="s">
        <v>56</v>
      </c>
      <c r="B102" s="3">
        <v>8388</v>
      </c>
      <c r="C102" s="3">
        <v>8567</v>
      </c>
      <c r="D102" s="3">
        <v>9134</v>
      </c>
      <c r="E102" s="3">
        <v>9654</v>
      </c>
      <c r="F102" s="3">
        <v>10151</v>
      </c>
      <c r="G102" s="3">
        <v>9993</v>
      </c>
      <c r="H102" s="3">
        <v>10136</v>
      </c>
      <c r="I102" s="3"/>
      <c r="J102" s="11" t="s">
        <v>151</v>
      </c>
      <c r="M102" s="3">
        <f t="shared" si="66"/>
        <v>9654</v>
      </c>
      <c r="N102" s="3">
        <f t="shared" si="67"/>
        <v>30280</v>
      </c>
    </row>
    <row r="103" spans="1:14" x14ac:dyDescent="0.35">
      <c r="A103" t="s">
        <v>57</v>
      </c>
      <c r="B103" s="3">
        <v>-2316</v>
      </c>
      <c r="C103" s="3">
        <v>-2246</v>
      </c>
      <c r="D103" s="3">
        <v>-2300</v>
      </c>
      <c r="E103" s="3">
        <v>-2362</v>
      </c>
      <c r="F103" s="3">
        <v>-2423</v>
      </c>
      <c r="G103" s="3">
        <v>-2564</v>
      </c>
      <c r="H103" s="3">
        <v>-2557</v>
      </c>
      <c r="I103" s="3"/>
      <c r="J103" s="11" t="s">
        <v>151</v>
      </c>
      <c r="M103" s="3">
        <f t="shared" si="66"/>
        <v>-2362</v>
      </c>
      <c r="N103" s="3">
        <f t="shared" si="67"/>
        <v>-7544</v>
      </c>
    </row>
    <row r="104" spans="1:14" x14ac:dyDescent="0.35">
      <c r="A104" t="s">
        <v>50</v>
      </c>
      <c r="B104" s="3">
        <v>75</v>
      </c>
      <c r="C104" s="3">
        <v>75</v>
      </c>
      <c r="D104" s="3">
        <v>72</v>
      </c>
      <c r="E104" s="3">
        <v>66</v>
      </c>
      <c r="F104" s="3">
        <v>63</v>
      </c>
      <c r="G104" s="3">
        <v>64</v>
      </c>
      <c r="H104" s="3">
        <v>69</v>
      </c>
      <c r="I104" s="3"/>
      <c r="J104" s="11" t="s">
        <v>151</v>
      </c>
      <c r="M104" s="3">
        <f t="shared" si="66"/>
        <v>66</v>
      </c>
      <c r="N104" s="3">
        <f t="shared" si="67"/>
        <v>196</v>
      </c>
    </row>
    <row r="105" spans="1:14" s="1" customFormat="1" x14ac:dyDescent="0.35">
      <c r="A105" s="1" t="s">
        <v>58</v>
      </c>
      <c r="B105" s="4">
        <f t="shared" ref="B105:C105" si="68">SUM(B99:B104)</f>
        <v>7399</v>
      </c>
      <c r="C105" s="4">
        <f t="shared" si="68"/>
        <v>7575</v>
      </c>
      <c r="D105" s="4">
        <f>SUM(D99:D104)</f>
        <v>8057</v>
      </c>
      <c r="E105" s="4">
        <f t="shared" ref="E105:N105" si="69">SUM(E99:E104)</f>
        <v>8096</v>
      </c>
      <c r="F105" s="4">
        <f t="shared" si="69"/>
        <v>7955</v>
      </c>
      <c r="G105" s="4">
        <f t="shared" si="69"/>
        <v>7602</v>
      </c>
      <c r="H105" s="4">
        <f t="shared" si="69"/>
        <v>7712</v>
      </c>
      <c r="I105" s="4">
        <f t="shared" si="69"/>
        <v>0</v>
      </c>
      <c r="J105" s="11" t="s">
        <v>151</v>
      </c>
      <c r="K105" s="4"/>
      <c r="L105" s="8"/>
      <c r="M105" s="4">
        <f t="shared" si="69"/>
        <v>8096</v>
      </c>
      <c r="N105" s="4">
        <f t="shared" si="69"/>
        <v>23269</v>
      </c>
    </row>
    <row r="106" spans="1:14" s="1" customFormat="1" x14ac:dyDescent="0.35">
      <c r="A106" s="1" t="s">
        <v>59</v>
      </c>
      <c r="B106" s="4">
        <f t="shared" ref="B106:C106" si="70">B105+B95+B94</f>
        <v>40566</v>
      </c>
      <c r="C106" s="4">
        <f t="shared" si="70"/>
        <v>42687</v>
      </c>
      <c r="D106" s="4">
        <f>D105+D95+D94</f>
        <v>43041</v>
      </c>
      <c r="E106" s="4">
        <f t="shared" ref="E106:N106" si="71">E105+E95+E94</f>
        <v>46267</v>
      </c>
      <c r="F106" s="4">
        <f t="shared" si="71"/>
        <v>45726</v>
      </c>
      <c r="G106" s="4">
        <f t="shared" si="71"/>
        <v>43899</v>
      </c>
      <c r="H106" s="4">
        <f t="shared" si="71"/>
        <v>44033</v>
      </c>
      <c r="I106" s="4">
        <f t="shared" si="71"/>
        <v>0</v>
      </c>
      <c r="J106" s="11" t="s">
        <v>151</v>
      </c>
      <c r="K106" s="4"/>
      <c r="L106" s="8"/>
      <c r="M106" s="4">
        <f t="shared" si="71"/>
        <v>46267</v>
      </c>
      <c r="N106" s="4">
        <f t="shared" si="71"/>
        <v>133658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workbookViewId="0">
      <selection activeCell="D21" sqref="D21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138</v>
      </c>
      <c r="C2" t="s">
        <v>139</v>
      </c>
    </row>
    <row r="3" spans="2:3" x14ac:dyDescent="0.35">
      <c r="B3" t="s">
        <v>138</v>
      </c>
      <c r="C3" t="s">
        <v>140</v>
      </c>
    </row>
    <row r="4" spans="2:3" x14ac:dyDescent="0.35">
      <c r="B4" t="s">
        <v>138</v>
      </c>
      <c r="C4" t="s">
        <v>141</v>
      </c>
    </row>
    <row r="6" spans="2:3" x14ac:dyDescent="0.35">
      <c r="B6" t="s">
        <v>65</v>
      </c>
      <c r="C6" t="s">
        <v>135</v>
      </c>
    </row>
    <row r="7" spans="2:3" x14ac:dyDescent="0.35">
      <c r="B7" t="s">
        <v>65</v>
      </c>
      <c r="C7" t="s">
        <v>134</v>
      </c>
    </row>
    <row r="8" spans="2:3" x14ac:dyDescent="0.35">
      <c r="B8" t="s">
        <v>65</v>
      </c>
      <c r="C8" t="s">
        <v>137</v>
      </c>
    </row>
    <row r="9" spans="2:3" x14ac:dyDescent="0.35">
      <c r="B9" t="s">
        <v>65</v>
      </c>
      <c r="C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0E6B-A220-4F07-99AE-595E7A5EC7D2}">
  <dimension ref="B2"/>
  <sheetViews>
    <sheetView workbookViewId="0">
      <selection activeCell="B5" sqref="B5"/>
    </sheetView>
  </sheetViews>
  <sheetFormatPr defaultRowHeight="14.5" x14ac:dyDescent="0.35"/>
  <sheetData>
    <row r="2" spans="2:2" x14ac:dyDescent="0.35">
      <c r="B2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9"/>
  <sheetViews>
    <sheetView workbookViewId="0">
      <selection activeCell="E17" sqref="E17"/>
    </sheetView>
  </sheetViews>
  <sheetFormatPr defaultRowHeight="14.5" x14ac:dyDescent="0.35"/>
  <cols>
    <col min="2" max="2" width="10.453125" bestFit="1" customWidth="1"/>
  </cols>
  <sheetData>
    <row r="2" spans="2:3" x14ac:dyDescent="0.35">
      <c r="B2" t="s">
        <v>64</v>
      </c>
      <c r="C2" t="s">
        <v>142</v>
      </c>
    </row>
    <row r="3" spans="2:3" x14ac:dyDescent="0.35">
      <c r="B3" s="5" t="s">
        <v>4</v>
      </c>
      <c r="C3" t="s">
        <v>91</v>
      </c>
    </row>
    <row r="4" spans="2:3" x14ac:dyDescent="0.35">
      <c r="B4" t="s">
        <v>60</v>
      </c>
      <c r="C4" t="s">
        <v>92</v>
      </c>
    </row>
    <row r="5" spans="2:3" x14ac:dyDescent="0.35">
      <c r="B5" t="s">
        <v>60</v>
      </c>
      <c r="C5" t="s">
        <v>93</v>
      </c>
    </row>
    <row r="6" spans="2:3" x14ac:dyDescent="0.35">
      <c r="B6" t="s">
        <v>133</v>
      </c>
      <c r="C6" t="s">
        <v>123</v>
      </c>
    </row>
    <row r="7" spans="2:3" x14ac:dyDescent="0.35">
      <c r="B7" t="s">
        <v>133</v>
      </c>
      <c r="C7" t="s">
        <v>145</v>
      </c>
    </row>
    <row r="8" spans="2:3" x14ac:dyDescent="0.35">
      <c r="B8" t="s">
        <v>146</v>
      </c>
      <c r="C8" t="s">
        <v>147</v>
      </c>
    </row>
    <row r="9" spans="2:3" x14ac:dyDescent="0.35">
      <c r="B9" t="s">
        <v>146</v>
      </c>
      <c r="C9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notes</vt:lpstr>
      <vt:lpstr>todo</vt:lpstr>
      <vt:lpstr>M&amp;A,Ptshp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2024-12-19T03:43:39Z</dcterms:modified>
</cp:coreProperties>
</file>