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373BC9F6-C06A-49D7-9C54-9A78473032C4}" xr6:coauthVersionLast="47" xr6:coauthVersionMax="47" xr10:uidLastSave="{00000000-0000-0000-0000-000000000000}"/>
  <bookViews>
    <workbookView xWindow="1080" yWindow="1770" windowWidth="16300" windowHeight="1752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4" i="2" l="1"/>
  <c r="O76" i="2"/>
  <c r="O74" i="2"/>
  <c r="N74" i="2"/>
  <c r="P76" i="2"/>
  <c r="P74" i="2"/>
  <c r="N17" i="2"/>
  <c r="O17" i="2"/>
  <c r="P17" i="2"/>
  <c r="P18" i="2" s="1"/>
  <c r="P9" i="2"/>
  <c r="P8" i="2"/>
  <c r="P7" i="2"/>
  <c r="P6" i="2"/>
  <c r="P79" i="2"/>
  <c r="P81" i="2"/>
  <c r="P83" i="2"/>
  <c r="P85" i="2"/>
  <c r="P20" i="2"/>
  <c r="P22" i="2"/>
  <c r="P24" i="2"/>
  <c r="P26" i="2"/>
  <c r="I243" i="2"/>
  <c r="I242" i="2"/>
  <c r="I241" i="2"/>
  <c r="I112" i="2"/>
  <c r="I124" i="2" s="1"/>
  <c r="I111" i="2"/>
  <c r="I56" i="4" s="1"/>
  <c r="I110" i="2"/>
  <c r="I55" i="4" s="1"/>
  <c r="I109" i="2"/>
  <c r="I121" i="2" s="1"/>
  <c r="I92" i="2"/>
  <c r="I106" i="2" s="1"/>
  <c r="I90" i="2"/>
  <c r="I104" i="2" s="1"/>
  <c r="I89" i="2"/>
  <c r="I103" i="2" s="1"/>
  <c r="I88" i="2"/>
  <c r="I48" i="4" s="1"/>
  <c r="I50" i="2"/>
  <c r="I62" i="2" s="1"/>
  <c r="I49" i="2"/>
  <c r="I61" i="2" s="1"/>
  <c r="I48" i="2"/>
  <c r="I60" i="2" s="1"/>
  <c r="I47" i="2"/>
  <c r="I32" i="2"/>
  <c r="I8" i="3" s="1"/>
  <c r="I31" i="2"/>
  <c r="I7" i="3" s="1"/>
  <c r="I30" i="2"/>
  <c r="I6" i="3" s="1"/>
  <c r="I29" i="2"/>
  <c r="I41" i="2" s="1"/>
  <c r="P170" i="2"/>
  <c r="P235" i="2"/>
  <c r="P233" i="2"/>
  <c r="P232" i="2"/>
  <c r="P231" i="2"/>
  <c r="P230" i="2"/>
  <c r="P227" i="2"/>
  <c r="P226" i="2"/>
  <c r="P225" i="2"/>
  <c r="P224" i="2"/>
  <c r="P222" i="2"/>
  <c r="P221" i="2"/>
  <c r="P220" i="2"/>
  <c r="P219" i="2"/>
  <c r="P218" i="2"/>
  <c r="P215" i="2"/>
  <c r="P214" i="2"/>
  <c r="P213" i="2"/>
  <c r="P212" i="2"/>
  <c r="P210" i="2"/>
  <c r="P209" i="2"/>
  <c r="P208" i="2"/>
  <c r="P206" i="2"/>
  <c r="P205" i="2"/>
  <c r="P204" i="2"/>
  <c r="P203" i="2"/>
  <c r="P202" i="2"/>
  <c r="I151" i="2"/>
  <c r="I149" i="2"/>
  <c r="I147" i="2"/>
  <c r="I144" i="2"/>
  <c r="I143" i="2"/>
  <c r="I142" i="2"/>
  <c r="I141" i="2"/>
  <c r="I153" i="2" s="1"/>
  <c r="I140" i="2"/>
  <c r="I139" i="2"/>
  <c r="I137" i="2"/>
  <c r="I136"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I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55" i="2"/>
  <c r="K254" i="2"/>
  <c r="K246" i="2"/>
  <c r="K240" i="2"/>
  <c r="K234" i="2"/>
  <c r="K236" i="2" s="1"/>
  <c r="K223" i="2"/>
  <c r="K228" i="2" s="1"/>
  <c r="K211" i="2"/>
  <c r="K216" i="2" s="1"/>
  <c r="K207" i="2"/>
  <c r="K192" i="2"/>
  <c r="K183" i="2"/>
  <c r="K171" i="2"/>
  <c r="K173" i="2" s="1"/>
  <c r="K153" i="2"/>
  <c r="K145" i="2"/>
  <c r="K138" i="2"/>
  <c r="K133" i="2"/>
  <c r="K201" i="2" s="1"/>
  <c r="K239" i="2" s="1"/>
  <c r="K245" i="2" s="1"/>
  <c r="K253" i="2" s="1"/>
  <c r="K108" i="2"/>
  <c r="K53" i="4" s="1"/>
  <c r="K87" i="2"/>
  <c r="K47" i="4" s="1"/>
  <c r="K46" i="2"/>
  <c r="K10" i="3" s="1"/>
  <c r="K28" i="2"/>
  <c r="K4" i="3" s="1"/>
  <c r="K12" i="2"/>
  <c r="K71" i="2" s="1"/>
  <c r="K46" i="4" s="1"/>
  <c r="K9" i="2"/>
  <c r="K8" i="2"/>
  <c r="K7" i="2"/>
  <c r="K6" i="2"/>
  <c r="J255" i="2"/>
  <c r="J254" i="2"/>
  <c r="J246" i="2"/>
  <c r="J240" i="2"/>
  <c r="J234" i="2"/>
  <c r="J236" i="2" s="1"/>
  <c r="J223" i="2"/>
  <c r="J228" i="2" s="1"/>
  <c r="J211" i="2"/>
  <c r="J216" i="2" s="1"/>
  <c r="J207" i="2"/>
  <c r="J192" i="2"/>
  <c r="J183" i="2"/>
  <c r="J171" i="2"/>
  <c r="J173" i="2" s="1"/>
  <c r="J153" i="2"/>
  <c r="J145" i="2"/>
  <c r="J138" i="2"/>
  <c r="J133" i="2"/>
  <c r="J201" i="2" s="1"/>
  <c r="J239" i="2" s="1"/>
  <c r="J245" i="2" s="1"/>
  <c r="J253" i="2" s="1"/>
  <c r="J108" i="2"/>
  <c r="J53" i="4" s="1"/>
  <c r="J87" i="2"/>
  <c r="J47" i="4" s="1"/>
  <c r="J46" i="2"/>
  <c r="J10" i="3" s="1"/>
  <c r="J28" i="2"/>
  <c r="J4" i="3" s="1"/>
  <c r="J12" i="2"/>
  <c r="J71" i="2" s="1"/>
  <c r="J46" i="4" s="1"/>
  <c r="J9" i="2"/>
  <c r="J8" i="2"/>
  <c r="J7" i="2"/>
  <c r="J6" i="2"/>
  <c r="H22" i="2"/>
  <c r="H18" i="2"/>
  <c r="F77" i="2"/>
  <c r="H77" i="2"/>
  <c r="H81" i="2"/>
  <c r="C124" i="2"/>
  <c r="C123" i="2"/>
  <c r="C122" i="2"/>
  <c r="C121" i="2"/>
  <c r="D124" i="2"/>
  <c r="D123" i="2"/>
  <c r="D122" i="2"/>
  <c r="D121" i="2"/>
  <c r="H124" i="2"/>
  <c r="H123" i="2"/>
  <c r="H122" i="2"/>
  <c r="H121" i="2"/>
  <c r="H118" i="2"/>
  <c r="H117" i="2"/>
  <c r="H116" i="2"/>
  <c r="H115" i="2"/>
  <c r="E112" i="2"/>
  <c r="F124" i="2" s="1"/>
  <c r="E111" i="2"/>
  <c r="F123" i="2" s="1"/>
  <c r="E110" i="2"/>
  <c r="F122" i="2" s="1"/>
  <c r="E109" i="2"/>
  <c r="F121" i="2" s="1"/>
  <c r="C106" i="2"/>
  <c r="C104" i="2"/>
  <c r="C103" i="2"/>
  <c r="C102" i="2"/>
  <c r="D106" i="2"/>
  <c r="D104" i="2"/>
  <c r="D103" i="2"/>
  <c r="D102" i="2"/>
  <c r="H106" i="2"/>
  <c r="H104" i="2"/>
  <c r="H103" i="2"/>
  <c r="H102" i="2"/>
  <c r="H99" i="2"/>
  <c r="H97" i="2"/>
  <c r="H96" i="2"/>
  <c r="H95" i="2"/>
  <c r="E92" i="2"/>
  <c r="F106" i="2" s="1"/>
  <c r="E90" i="2"/>
  <c r="F104" i="2" s="1"/>
  <c r="E89" i="2"/>
  <c r="F103" i="2" s="1"/>
  <c r="E88" i="2"/>
  <c r="E48" i="4" s="1"/>
  <c r="H56" i="2"/>
  <c r="H55" i="2"/>
  <c r="H54" i="2"/>
  <c r="H53" i="2"/>
  <c r="C62" i="2"/>
  <c r="C61" i="2"/>
  <c r="C60" i="2"/>
  <c r="C59" i="2"/>
  <c r="D62" i="2"/>
  <c r="D61" i="2"/>
  <c r="D60" i="2"/>
  <c r="D59" i="2"/>
  <c r="H62" i="2"/>
  <c r="H61" i="2"/>
  <c r="H60" i="2"/>
  <c r="H59" i="2"/>
  <c r="E50" i="2"/>
  <c r="E49" i="2"/>
  <c r="F61" i="2" s="1"/>
  <c r="E48" i="2"/>
  <c r="F60" i="2" s="1"/>
  <c r="E47" i="2"/>
  <c r="E32" i="2"/>
  <c r="F44" i="2" s="1"/>
  <c r="E31" i="2"/>
  <c r="E43" i="2" s="1"/>
  <c r="E30" i="2"/>
  <c r="E6" i="3" s="1"/>
  <c r="E29" i="2"/>
  <c r="E41" i="2" s="1"/>
  <c r="D44" i="2"/>
  <c r="D43" i="2"/>
  <c r="D42" i="2"/>
  <c r="D41" i="2"/>
  <c r="C44" i="2"/>
  <c r="C43" i="2"/>
  <c r="C42" i="2"/>
  <c r="C41" i="2"/>
  <c r="H44" i="2"/>
  <c r="H43" i="2"/>
  <c r="H42" i="2"/>
  <c r="H41" i="2"/>
  <c r="H38" i="2"/>
  <c r="H37" i="2"/>
  <c r="H36" i="2"/>
  <c r="H35" i="2"/>
  <c r="H178" i="2"/>
  <c r="I178" i="2" s="1"/>
  <c r="H177" i="2"/>
  <c r="I177" i="2" s="1"/>
  <c r="O134" i="2"/>
  <c r="N134" i="2"/>
  <c r="D135" i="2"/>
  <c r="C135" i="2"/>
  <c r="E151" i="2"/>
  <c r="E149" i="2"/>
  <c r="E147" i="2"/>
  <c r="E144" i="2"/>
  <c r="E143" i="2"/>
  <c r="E142" i="2"/>
  <c r="E141" i="2"/>
  <c r="E153" i="2" s="1"/>
  <c r="E140" i="2"/>
  <c r="E139" i="2"/>
  <c r="E137" i="2"/>
  <c r="E136" i="2"/>
  <c r="E135" i="2" s="1"/>
  <c r="H134" i="2"/>
  <c r="G118" i="2"/>
  <c r="G117" i="2"/>
  <c r="G116" i="2"/>
  <c r="G115" i="2"/>
  <c r="G99" i="2"/>
  <c r="G97" i="2"/>
  <c r="G96" i="2"/>
  <c r="G95" i="2"/>
  <c r="G106" i="2"/>
  <c r="G104" i="2"/>
  <c r="G103" i="2"/>
  <c r="G102" i="2"/>
  <c r="G124" i="2"/>
  <c r="G123" i="2"/>
  <c r="G122" i="2"/>
  <c r="G121" i="2"/>
  <c r="G56" i="2"/>
  <c r="G55" i="2"/>
  <c r="G54" i="2"/>
  <c r="G53" i="2"/>
  <c r="G38" i="2"/>
  <c r="G37" i="2"/>
  <c r="G36" i="2"/>
  <c r="G35" i="2"/>
  <c r="G62" i="2"/>
  <c r="G61" i="2"/>
  <c r="G60" i="2"/>
  <c r="G59" i="2"/>
  <c r="G44" i="2"/>
  <c r="G43" i="2"/>
  <c r="G42" i="2"/>
  <c r="G41" i="2"/>
  <c r="C196" i="2"/>
  <c r="D196" i="2" s="1"/>
  <c r="E196" i="2" s="1"/>
  <c r="C191" i="2"/>
  <c r="D191" i="2" s="1"/>
  <c r="E191" i="2" s="1"/>
  <c r="C190" i="2"/>
  <c r="D190" i="2" s="1"/>
  <c r="E190" i="2" s="1"/>
  <c r="C189" i="2"/>
  <c r="D189" i="2" s="1"/>
  <c r="E189" i="2" s="1"/>
  <c r="C188" i="2"/>
  <c r="D188" i="2" s="1"/>
  <c r="E188" i="2" s="1"/>
  <c r="C187" i="2"/>
  <c r="D187" i="2" s="1"/>
  <c r="E187" i="2" s="1"/>
  <c r="C186" i="2"/>
  <c r="D186" i="2" s="1"/>
  <c r="E186" i="2" s="1"/>
  <c r="C185" i="2"/>
  <c r="D185" i="2" s="1"/>
  <c r="E185" i="2" s="1"/>
  <c r="C180" i="2"/>
  <c r="D180" i="2" s="1"/>
  <c r="E180" i="2" s="1"/>
  <c r="C182" i="2"/>
  <c r="D182" i="2" s="1"/>
  <c r="E182" i="2" s="1"/>
  <c r="C181" i="2"/>
  <c r="D181" i="2" s="1"/>
  <c r="E181" i="2" s="1"/>
  <c r="C179" i="2"/>
  <c r="D179" i="2" s="1"/>
  <c r="E179" i="2" s="1"/>
  <c r="C178" i="2"/>
  <c r="D178" i="2" s="1"/>
  <c r="E178" i="2" s="1"/>
  <c r="C177" i="2"/>
  <c r="D177" i="2" s="1"/>
  <c r="E177" i="2" s="1"/>
  <c r="C176" i="2"/>
  <c r="D176" i="2" s="1"/>
  <c r="E176" i="2" s="1"/>
  <c r="C175" i="2"/>
  <c r="D175" i="2" s="1"/>
  <c r="E175" i="2" s="1"/>
  <c r="C172" i="2"/>
  <c r="D172" i="2" s="1"/>
  <c r="E172" i="2" s="1"/>
  <c r="C169" i="2"/>
  <c r="D169" i="2" s="1"/>
  <c r="E169" i="2" s="1"/>
  <c r="C168" i="2"/>
  <c r="D168" i="2" s="1"/>
  <c r="E168" i="2" s="1"/>
  <c r="C167" i="2"/>
  <c r="D167" i="2" s="1"/>
  <c r="E167" i="2" s="1"/>
  <c r="C166" i="2"/>
  <c r="D166" i="2" s="1"/>
  <c r="E166" i="2" s="1"/>
  <c r="C165" i="2"/>
  <c r="D165" i="2" s="1"/>
  <c r="E165" i="2" s="1"/>
  <c r="C164" i="2"/>
  <c r="D164" i="2" s="1"/>
  <c r="E164" i="2" s="1"/>
  <c r="C163" i="2"/>
  <c r="D163" i="2" s="1"/>
  <c r="E163" i="2" s="1"/>
  <c r="C162" i="2"/>
  <c r="D162" i="2" s="1"/>
  <c r="E162" i="2" s="1"/>
  <c r="C161" i="2"/>
  <c r="D161" i="2" s="1"/>
  <c r="E161" i="2" s="1"/>
  <c r="G196" i="2"/>
  <c r="I196" i="2" s="1"/>
  <c r="G191" i="2"/>
  <c r="H191" i="2" s="1"/>
  <c r="G190" i="2"/>
  <c r="H190" i="2" s="1"/>
  <c r="G189" i="2"/>
  <c r="H189" i="2" s="1"/>
  <c r="G188" i="2"/>
  <c r="H188" i="2" s="1"/>
  <c r="G187" i="2"/>
  <c r="G186" i="2"/>
  <c r="G185" i="2"/>
  <c r="H185" i="2" s="1"/>
  <c r="G182" i="2"/>
  <c r="H182" i="2" s="1"/>
  <c r="G181" i="2"/>
  <c r="H181" i="2" s="1"/>
  <c r="G180" i="2"/>
  <c r="H180" i="2" s="1"/>
  <c r="G179" i="2"/>
  <c r="H179" i="2" s="1"/>
  <c r="G176" i="2"/>
  <c r="H176" i="2" s="1"/>
  <c r="G175" i="2"/>
  <c r="H175" i="2" s="1"/>
  <c r="G172" i="2"/>
  <c r="H172" i="2" s="1"/>
  <c r="G169" i="2"/>
  <c r="H169" i="2" s="1"/>
  <c r="G168" i="2"/>
  <c r="H168" i="2" s="1"/>
  <c r="G167" i="2"/>
  <c r="H167" i="2" s="1"/>
  <c r="G166" i="2"/>
  <c r="G165" i="2"/>
  <c r="G164" i="2"/>
  <c r="H164" i="2" s="1"/>
  <c r="G163" i="2"/>
  <c r="H163" i="2" s="1"/>
  <c r="G162" i="2"/>
  <c r="H162" i="2" s="1"/>
  <c r="G161" i="2"/>
  <c r="H161" i="2" s="1"/>
  <c r="G134" i="2"/>
  <c r="F134" i="2"/>
  <c r="F118" i="2"/>
  <c r="F117" i="2"/>
  <c r="F116" i="2"/>
  <c r="F115" i="2"/>
  <c r="F56" i="2"/>
  <c r="F55" i="2"/>
  <c r="F54" i="2"/>
  <c r="F53" i="2"/>
  <c r="F99" i="2"/>
  <c r="F97" i="2"/>
  <c r="F96" i="2"/>
  <c r="F95" i="2"/>
  <c r="F18" i="2"/>
  <c r="F38" i="2"/>
  <c r="F37" i="2"/>
  <c r="F36" i="2"/>
  <c r="F35" i="2"/>
  <c r="H9" i="2"/>
  <c r="G9" i="2"/>
  <c r="F9" i="2"/>
  <c r="D9" i="2"/>
  <c r="C9" i="2"/>
  <c r="B9" i="2"/>
  <c r="H8" i="2"/>
  <c r="G8" i="2"/>
  <c r="F8" i="2"/>
  <c r="D8" i="2"/>
  <c r="C8" i="2"/>
  <c r="B8" i="2"/>
  <c r="I7" i="2"/>
  <c r="H7" i="2"/>
  <c r="G7" i="2"/>
  <c r="F7" i="2"/>
  <c r="D7" i="2"/>
  <c r="C7" i="2"/>
  <c r="B7" i="2"/>
  <c r="H6" i="2"/>
  <c r="G6" i="2"/>
  <c r="F6" i="2"/>
  <c r="D6" i="2"/>
  <c r="C6" i="2"/>
  <c r="B6" i="2"/>
  <c r="B170" i="2"/>
  <c r="B171" i="2" s="1"/>
  <c r="B173" i="2" s="1"/>
  <c r="F170" i="2"/>
  <c r="F171" i="2" s="1"/>
  <c r="F173" i="2" s="1"/>
  <c r="B255" i="2"/>
  <c r="B254" i="2"/>
  <c r="B246" i="2"/>
  <c r="B240" i="2"/>
  <c r="B234" i="2"/>
  <c r="B236" i="2" s="1"/>
  <c r="B223" i="2"/>
  <c r="B228" i="2" s="1"/>
  <c r="B211" i="2"/>
  <c r="B216" i="2" s="1"/>
  <c r="B207" i="2"/>
  <c r="B192" i="2"/>
  <c r="B183" i="2"/>
  <c r="B153" i="2"/>
  <c r="B145" i="2"/>
  <c r="B138" i="2"/>
  <c r="B133" i="2"/>
  <c r="B201" i="2" s="1"/>
  <c r="B239" i="2" s="1"/>
  <c r="B245" i="2" s="1"/>
  <c r="B253" i="2" s="1"/>
  <c r="B108" i="2"/>
  <c r="B53" i="4" s="1"/>
  <c r="B87" i="2"/>
  <c r="B47" i="4" s="1"/>
  <c r="B46" i="2"/>
  <c r="B10" i="3" s="1"/>
  <c r="B28" i="2"/>
  <c r="B4" i="3" s="1"/>
  <c r="B12" i="2"/>
  <c r="B71" i="2" s="1"/>
  <c r="B46" i="4" s="1"/>
  <c r="C255" i="2"/>
  <c r="C254" i="2"/>
  <c r="C246" i="2"/>
  <c r="C240" i="2"/>
  <c r="C234" i="2"/>
  <c r="C236" i="2" s="1"/>
  <c r="C223" i="2"/>
  <c r="C228" i="2" s="1"/>
  <c r="C211" i="2"/>
  <c r="C216" i="2" s="1"/>
  <c r="C207" i="2"/>
  <c r="C153" i="2"/>
  <c r="C145" i="2"/>
  <c r="C138" i="2"/>
  <c r="C133" i="2"/>
  <c r="C201" i="2" s="1"/>
  <c r="C239" i="2" s="1"/>
  <c r="C245" i="2" s="1"/>
  <c r="C253" i="2" s="1"/>
  <c r="C108" i="2"/>
  <c r="C53" i="4" s="1"/>
  <c r="C87" i="2"/>
  <c r="C46" i="2"/>
  <c r="C28" i="2"/>
  <c r="C4" i="3" s="1"/>
  <c r="C12" i="2"/>
  <c r="C71" i="2" s="1"/>
  <c r="C46" i="4" s="1"/>
  <c r="D255" i="2"/>
  <c r="D254" i="2"/>
  <c r="D246" i="2"/>
  <c r="D240" i="2"/>
  <c r="D234" i="2"/>
  <c r="D236" i="2" s="1"/>
  <c r="D223" i="2"/>
  <c r="D228" i="2" s="1"/>
  <c r="D211" i="2"/>
  <c r="D216" i="2" s="1"/>
  <c r="D207" i="2"/>
  <c r="D153" i="2"/>
  <c r="D145" i="2"/>
  <c r="D138" i="2"/>
  <c r="D133" i="2"/>
  <c r="D201" i="2" s="1"/>
  <c r="D239" i="2" s="1"/>
  <c r="D245" i="2" s="1"/>
  <c r="D253" i="2" s="1"/>
  <c r="D108" i="2"/>
  <c r="D87" i="2"/>
  <c r="D46" i="2"/>
  <c r="D28" i="2"/>
  <c r="D4" i="3" s="1"/>
  <c r="D12" i="2"/>
  <c r="D71" i="2" s="1"/>
  <c r="D46" i="4" s="1"/>
  <c r="E255" i="2"/>
  <c r="E254" i="2"/>
  <c r="E246" i="2"/>
  <c r="E240" i="2"/>
  <c r="E234" i="2"/>
  <c r="E236" i="2" s="1"/>
  <c r="E223" i="2"/>
  <c r="E228" i="2" s="1"/>
  <c r="E211" i="2"/>
  <c r="E216" i="2" s="1"/>
  <c r="E207" i="2"/>
  <c r="E133" i="2"/>
  <c r="E201" i="2" s="1"/>
  <c r="E239" i="2" s="1"/>
  <c r="E245" i="2" s="1"/>
  <c r="E253" i="2" s="1"/>
  <c r="E12" i="2"/>
  <c r="E71" i="2" s="1"/>
  <c r="E46" i="4" s="1"/>
  <c r="F255" i="2"/>
  <c r="F254" i="2"/>
  <c r="F246" i="2"/>
  <c r="F240" i="2"/>
  <c r="F234" i="2"/>
  <c r="F236" i="2" s="1"/>
  <c r="F223" i="2"/>
  <c r="F228" i="2" s="1"/>
  <c r="F211" i="2"/>
  <c r="F216" i="2" s="1"/>
  <c r="F207" i="2"/>
  <c r="F192" i="2"/>
  <c r="F183" i="2"/>
  <c r="F153" i="2"/>
  <c r="F145" i="2"/>
  <c r="F138" i="2"/>
  <c r="F133" i="2"/>
  <c r="F201" i="2" s="1"/>
  <c r="F239" i="2" s="1"/>
  <c r="F245" i="2" s="1"/>
  <c r="F253" i="2" s="1"/>
  <c r="F108" i="2"/>
  <c r="F53" i="4" s="1"/>
  <c r="F87" i="2"/>
  <c r="F47" i="4" s="1"/>
  <c r="F46" i="2"/>
  <c r="F10" i="3" s="1"/>
  <c r="F28" i="2"/>
  <c r="F4" i="3" s="1"/>
  <c r="F12" i="2"/>
  <c r="F71" i="2" s="1"/>
  <c r="F46" i="4" s="1"/>
  <c r="G255" i="2"/>
  <c r="G254" i="2"/>
  <c r="G246" i="2"/>
  <c r="G240" i="2"/>
  <c r="G234" i="2"/>
  <c r="G236" i="2" s="1"/>
  <c r="G223" i="2"/>
  <c r="G228" i="2" s="1"/>
  <c r="G211" i="2"/>
  <c r="G216" i="2" s="1"/>
  <c r="G207" i="2"/>
  <c r="G153" i="2"/>
  <c r="G145" i="2"/>
  <c r="G138" i="2"/>
  <c r="G135" i="2"/>
  <c r="G133" i="2"/>
  <c r="G201" i="2" s="1"/>
  <c r="G239" i="2" s="1"/>
  <c r="G245" i="2" s="1"/>
  <c r="G253" i="2" s="1"/>
  <c r="G108" i="2"/>
  <c r="G87" i="2"/>
  <c r="G46" i="2"/>
  <c r="G10" i="3" s="1"/>
  <c r="G28" i="2"/>
  <c r="G4" i="3" s="1"/>
  <c r="G12" i="2"/>
  <c r="G71" i="2" s="1"/>
  <c r="G46" i="4" s="1"/>
  <c r="H255" i="2"/>
  <c r="H254" i="2"/>
  <c r="H246" i="2"/>
  <c r="H240" i="2"/>
  <c r="H234" i="2"/>
  <c r="H236" i="2" s="1"/>
  <c r="H223" i="2"/>
  <c r="H228" i="2" s="1"/>
  <c r="H211" i="2"/>
  <c r="H216" i="2" s="1"/>
  <c r="H207" i="2"/>
  <c r="H153" i="2"/>
  <c r="H145" i="2"/>
  <c r="H138" i="2"/>
  <c r="H133" i="2"/>
  <c r="H201" i="2" s="1"/>
  <c r="H239" i="2" s="1"/>
  <c r="H245" i="2" s="1"/>
  <c r="H253" i="2" s="1"/>
  <c r="H108" i="2"/>
  <c r="H53" i="4" s="1"/>
  <c r="H87" i="2"/>
  <c r="H46" i="2"/>
  <c r="H10" i="3" s="1"/>
  <c r="H28" i="2"/>
  <c r="H12" i="2"/>
  <c r="H71" i="2" s="1"/>
  <c r="H46" i="4" s="1"/>
  <c r="I255" i="2"/>
  <c r="I254" i="2"/>
  <c r="I246" i="2"/>
  <c r="I234" i="2"/>
  <c r="I236" i="2" s="1"/>
  <c r="I223" i="2"/>
  <c r="I228" i="2" s="1"/>
  <c r="I211" i="2"/>
  <c r="I216" i="2" s="1"/>
  <c r="I207" i="2"/>
  <c r="I133" i="2"/>
  <c r="I201" i="2" s="1"/>
  <c r="I239" i="2" s="1"/>
  <c r="I245" i="2" s="1"/>
  <c r="I253" i="2" s="1"/>
  <c r="I12" i="2"/>
  <c r="I71" i="2" s="1"/>
  <c r="I46" i="4" s="1"/>
  <c r="O85" i="2"/>
  <c r="N85" i="2"/>
  <c r="O83" i="2"/>
  <c r="N83" i="2"/>
  <c r="O81" i="2"/>
  <c r="N81" i="2"/>
  <c r="O79" i="2"/>
  <c r="N79" i="2"/>
  <c r="O26" i="2"/>
  <c r="N26" i="2"/>
  <c r="O24" i="2"/>
  <c r="N24" i="2"/>
  <c r="O22" i="2"/>
  <c r="N22" i="2"/>
  <c r="O20" i="2"/>
  <c r="N20" i="2"/>
  <c r="N255" i="2"/>
  <c r="N254" i="2"/>
  <c r="P255" i="2"/>
  <c r="O255" i="2"/>
  <c r="M255" i="2"/>
  <c r="P254" i="2"/>
  <c r="O254" i="2"/>
  <c r="M254" i="2"/>
  <c r="N239" i="2"/>
  <c r="N245" i="2" s="1"/>
  <c r="N253" i="2" s="1"/>
  <c r="M239" i="2"/>
  <c r="M245" i="2" s="1"/>
  <c r="M253" i="2" s="1"/>
  <c r="P246" i="2"/>
  <c r="O246" i="2"/>
  <c r="N246" i="2"/>
  <c r="M246" i="2"/>
  <c r="P240" i="2"/>
  <c r="O240" i="2"/>
  <c r="N240" i="2"/>
  <c r="M240" i="2"/>
  <c r="O9" i="2"/>
  <c r="N9" i="2"/>
  <c r="M9" i="2"/>
  <c r="O8" i="2"/>
  <c r="N8" i="2"/>
  <c r="M8" i="2"/>
  <c r="O7" i="2"/>
  <c r="N7" i="2"/>
  <c r="M7" i="2"/>
  <c r="O6" i="2"/>
  <c r="N6" i="2"/>
  <c r="M6" i="2"/>
  <c r="P12" i="2"/>
  <c r="P71" i="2" s="1"/>
  <c r="P46" i="4" s="1"/>
  <c r="O12" i="2"/>
  <c r="O71" i="2" s="1"/>
  <c r="O46" i="4" s="1"/>
  <c r="N12" i="2"/>
  <c r="N71" i="2" s="1"/>
  <c r="N46" i="4" s="1"/>
  <c r="M12" i="2"/>
  <c r="M71" i="2" s="1"/>
  <c r="M46" i="4" s="1"/>
  <c r="P118" i="2"/>
  <c r="O118" i="2"/>
  <c r="N118" i="2"/>
  <c r="P117" i="2"/>
  <c r="O117" i="2"/>
  <c r="N117" i="2"/>
  <c r="P116" i="2"/>
  <c r="O116" i="2"/>
  <c r="N116" i="2"/>
  <c r="P115" i="2"/>
  <c r="O115" i="2"/>
  <c r="N115" i="2"/>
  <c r="P108" i="2"/>
  <c r="P53" i="4" s="1"/>
  <c r="O108" i="2"/>
  <c r="O53" i="4" s="1"/>
  <c r="N108" i="2"/>
  <c r="N53" i="4" s="1"/>
  <c r="P99" i="2"/>
  <c r="O99" i="2"/>
  <c r="N99" i="2"/>
  <c r="P97" i="2"/>
  <c r="O97" i="2"/>
  <c r="N97" i="2"/>
  <c r="P96" i="2"/>
  <c r="O96" i="2"/>
  <c r="N96" i="2"/>
  <c r="P95" i="2"/>
  <c r="O95" i="2"/>
  <c r="N95" i="2"/>
  <c r="P87" i="2"/>
  <c r="P47" i="4" s="1"/>
  <c r="O87" i="2"/>
  <c r="O47" i="4" s="1"/>
  <c r="N87" i="2"/>
  <c r="N47" i="4" s="1"/>
  <c r="M87" i="2"/>
  <c r="M47" i="4" s="1"/>
  <c r="O77" i="2"/>
  <c r="N77" i="2"/>
  <c r="N18" i="2"/>
  <c r="P56" i="2"/>
  <c r="O56" i="2"/>
  <c r="N56" i="2"/>
  <c r="N62" i="2" s="1"/>
  <c r="P55" i="2"/>
  <c r="O55" i="2"/>
  <c r="N55" i="2"/>
  <c r="N61" i="2" s="1"/>
  <c r="P54" i="2"/>
  <c r="O54" i="2"/>
  <c r="N54" i="2"/>
  <c r="N60" i="2" s="1"/>
  <c r="P53" i="2"/>
  <c r="O53" i="2"/>
  <c r="N53" i="2"/>
  <c r="N59" i="2" s="1"/>
  <c r="P38" i="2"/>
  <c r="P37" i="2"/>
  <c r="P36" i="2"/>
  <c r="P35" i="2"/>
  <c r="P46" i="2"/>
  <c r="P10" i="3" s="1"/>
  <c r="O46" i="2"/>
  <c r="O10" i="3" s="1"/>
  <c r="N46" i="2"/>
  <c r="N10" i="3" s="1"/>
  <c r="M46" i="2"/>
  <c r="M10" i="3" s="1"/>
  <c r="O38" i="2"/>
  <c r="O37" i="2"/>
  <c r="O36" i="2"/>
  <c r="O35" i="2"/>
  <c r="N38" i="2"/>
  <c r="N37" i="2"/>
  <c r="N36" i="2"/>
  <c r="N35" i="2"/>
  <c r="P28" i="2"/>
  <c r="P4" i="3" s="1"/>
  <c r="O28" i="2"/>
  <c r="O4" i="3" s="1"/>
  <c r="N28" i="2"/>
  <c r="N4" i="3" s="1"/>
  <c r="M28" i="2"/>
  <c r="M4" i="3" s="1"/>
  <c r="P77" i="2" l="1"/>
  <c r="I12" i="3"/>
  <c r="I54" i="4"/>
  <c r="G120" i="2"/>
  <c r="I51" i="4"/>
  <c r="O18" i="2"/>
  <c r="J146" i="2"/>
  <c r="J148" i="2" s="1"/>
  <c r="J150" i="2" s="1"/>
  <c r="J152" i="2" s="1"/>
  <c r="J154" i="2" s="1"/>
  <c r="J160" i="2" s="1"/>
  <c r="J217" i="2"/>
  <c r="H101" i="2"/>
  <c r="I87" i="2"/>
  <c r="I47" i="4" s="1"/>
  <c r="I96" i="2"/>
  <c r="I9" i="2"/>
  <c r="I14" i="3"/>
  <c r="I50" i="4"/>
  <c r="I57" i="4"/>
  <c r="I115" i="2"/>
  <c r="P5" i="2"/>
  <c r="P60" i="2"/>
  <c r="C58" i="2"/>
  <c r="E6" i="2"/>
  <c r="E103" i="2"/>
  <c r="I240" i="2"/>
  <c r="I123" i="2"/>
  <c r="I122" i="2"/>
  <c r="I108" i="2"/>
  <c r="I53" i="4" s="1"/>
  <c r="I97" i="2"/>
  <c r="I116" i="2"/>
  <c r="I99" i="2"/>
  <c r="I117" i="2"/>
  <c r="I118" i="2"/>
  <c r="I8" i="2"/>
  <c r="K217" i="2"/>
  <c r="K229" i="2" s="1"/>
  <c r="I102" i="2"/>
  <c r="I46" i="2"/>
  <c r="I10" i="3" s="1"/>
  <c r="F102" i="2"/>
  <c r="I13" i="3"/>
  <c r="I95" i="2"/>
  <c r="H40" i="2"/>
  <c r="E8" i="3"/>
  <c r="I28" i="2"/>
  <c r="I4" i="3" s="1"/>
  <c r="E56" i="4"/>
  <c r="G3" i="3"/>
  <c r="I5" i="3"/>
  <c r="I163" i="2"/>
  <c r="I172" i="2"/>
  <c r="I182" i="2"/>
  <c r="I36" i="2"/>
  <c r="G101" i="2"/>
  <c r="D120" i="2"/>
  <c r="C101" i="2"/>
  <c r="E11" i="3"/>
  <c r="I138" i="2"/>
  <c r="I169" i="2"/>
  <c r="I43" i="2"/>
  <c r="C120" i="2"/>
  <c r="E54" i="4"/>
  <c r="I3" i="3"/>
  <c r="I53" i="2"/>
  <c r="H4" i="3"/>
  <c r="F41" i="2"/>
  <c r="O3" i="3"/>
  <c r="I145" i="2"/>
  <c r="I54" i="2"/>
  <c r="I185" i="2"/>
  <c r="D58" i="2"/>
  <c r="E42" i="2"/>
  <c r="G47" i="4"/>
  <c r="I161" i="2"/>
  <c r="I56" i="2"/>
  <c r="I180" i="2"/>
  <c r="I190" i="2"/>
  <c r="H114" i="2"/>
  <c r="D101" i="2"/>
  <c r="E9" i="2"/>
  <c r="J237" i="2"/>
  <c r="K146" i="2"/>
  <c r="K148" i="2" s="1"/>
  <c r="K150" i="2" s="1"/>
  <c r="K152" i="2" s="1"/>
  <c r="K154" i="2" s="1"/>
  <c r="K160" i="2" s="1"/>
  <c r="H3" i="3"/>
  <c r="P3" i="3"/>
  <c r="C10" i="3"/>
  <c r="G53" i="4"/>
  <c r="I162" i="2"/>
  <c r="I181" i="2"/>
  <c r="I191" i="2"/>
  <c r="I35" i="2"/>
  <c r="I44" i="2"/>
  <c r="I55" i="2"/>
  <c r="E61" i="2"/>
  <c r="E7" i="3"/>
  <c r="D10" i="3"/>
  <c r="E57" i="4"/>
  <c r="E55" i="4"/>
  <c r="I6" i="2"/>
  <c r="G114" i="2"/>
  <c r="H186" i="2"/>
  <c r="I186" i="2" s="1"/>
  <c r="F42" i="2"/>
  <c r="E102" i="2"/>
  <c r="B3" i="3"/>
  <c r="J3" i="3"/>
  <c r="H47" i="4"/>
  <c r="E51" i="4"/>
  <c r="I164" i="2"/>
  <c r="I175" i="2"/>
  <c r="I37" i="2"/>
  <c r="E108" i="2"/>
  <c r="H165" i="2"/>
  <c r="I165" i="2" s="1"/>
  <c r="H187" i="2"/>
  <c r="I187" i="2" s="1"/>
  <c r="F43" i="2"/>
  <c r="E122" i="2"/>
  <c r="J5" i="2"/>
  <c r="C3" i="3"/>
  <c r="K3" i="3"/>
  <c r="I11" i="3"/>
  <c r="E50" i="4"/>
  <c r="D53" i="4"/>
  <c r="I176" i="2"/>
  <c r="I38" i="2"/>
  <c r="I59" i="2"/>
  <c r="H166" i="2"/>
  <c r="I166" i="2" s="1"/>
  <c r="C40" i="2"/>
  <c r="E104" i="2"/>
  <c r="E123" i="2"/>
  <c r="K194" i="2"/>
  <c r="K197" i="2" s="1"/>
  <c r="K199" i="2" s="1"/>
  <c r="D3" i="3"/>
  <c r="E5" i="3"/>
  <c r="E14" i="3"/>
  <c r="E49" i="4"/>
  <c r="E8" i="2"/>
  <c r="F62" i="2"/>
  <c r="E106" i="2"/>
  <c r="J229" i="2"/>
  <c r="K5" i="2"/>
  <c r="E3" i="3"/>
  <c r="M3" i="3"/>
  <c r="E13" i="3"/>
  <c r="C47" i="4"/>
  <c r="I167" i="2"/>
  <c r="I188" i="2"/>
  <c r="H52" i="2"/>
  <c r="G34" i="2"/>
  <c r="D40" i="2"/>
  <c r="E192" i="2"/>
  <c r="E60" i="2"/>
  <c r="F3" i="3"/>
  <c r="N3" i="3"/>
  <c r="E12" i="3"/>
  <c r="D47" i="4"/>
  <c r="I168" i="2"/>
  <c r="I179" i="2"/>
  <c r="I189" i="2"/>
  <c r="I42" i="2"/>
  <c r="K237" i="2"/>
  <c r="K159" i="2"/>
  <c r="J194" i="2"/>
  <c r="J159" i="2"/>
  <c r="E183" i="2"/>
  <c r="H34" i="2"/>
  <c r="H94" i="2"/>
  <c r="E44" i="2"/>
  <c r="E59" i="2"/>
  <c r="E121" i="2"/>
  <c r="F59" i="2"/>
  <c r="E62" i="2"/>
  <c r="E87" i="2"/>
  <c r="E47" i="4" s="1"/>
  <c r="E124" i="2"/>
  <c r="E7" i="2"/>
  <c r="E28" i="2"/>
  <c r="P62" i="2"/>
  <c r="G94" i="2"/>
  <c r="H58" i="2"/>
  <c r="H120" i="2"/>
  <c r="E46" i="2"/>
  <c r="E10" i="3" s="1"/>
  <c r="H5" i="2"/>
  <c r="H183" i="2"/>
  <c r="D192" i="2"/>
  <c r="D183" i="2"/>
  <c r="E145" i="2"/>
  <c r="E138" i="2"/>
  <c r="O59" i="2"/>
  <c r="O62" i="2"/>
  <c r="O60" i="2"/>
  <c r="G58" i="2"/>
  <c r="P61" i="2"/>
  <c r="G52" i="2"/>
  <c r="P59" i="2"/>
  <c r="O61" i="2"/>
  <c r="G5" i="2"/>
  <c r="G40" i="2"/>
  <c r="C170" i="2"/>
  <c r="G170" i="2"/>
  <c r="C192" i="2"/>
  <c r="C183" i="2"/>
  <c r="G192" i="2"/>
  <c r="G183" i="2"/>
  <c r="F52" i="2"/>
  <c r="F114" i="2"/>
  <c r="F94" i="2"/>
  <c r="F5" i="2"/>
  <c r="D146" i="2"/>
  <c r="D148" i="2" s="1"/>
  <c r="D150" i="2" s="1"/>
  <c r="D152" i="2" s="1"/>
  <c r="D154" i="2" s="1"/>
  <c r="D160" i="2" s="1"/>
  <c r="D5" i="2"/>
  <c r="F34" i="2"/>
  <c r="C5" i="2"/>
  <c r="B5" i="2"/>
  <c r="B194" i="2"/>
  <c r="B197" i="2" s="1"/>
  <c r="I217" i="2"/>
  <c r="I229" i="2" s="1"/>
  <c r="H146" i="2"/>
  <c r="H148" i="2" s="1"/>
  <c r="D237" i="2"/>
  <c r="H237" i="2"/>
  <c r="G146" i="2"/>
  <c r="G148" i="2" s="1"/>
  <c r="G150" i="2" s="1"/>
  <c r="G152" i="2" s="1"/>
  <c r="G154" i="2" s="1"/>
  <c r="G160" i="2" s="1"/>
  <c r="D217" i="2"/>
  <c r="D229" i="2" s="1"/>
  <c r="I237" i="2"/>
  <c r="G217" i="2"/>
  <c r="G229" i="2" s="1"/>
  <c r="H217" i="2"/>
  <c r="H229" i="2" s="1"/>
  <c r="G237" i="2"/>
  <c r="C146" i="2"/>
  <c r="C148" i="2" s="1"/>
  <c r="C150" i="2" s="1"/>
  <c r="C152" i="2" s="1"/>
  <c r="C154" i="2" s="1"/>
  <c r="C160" i="2" s="1"/>
  <c r="C217" i="2"/>
  <c r="C229" i="2" s="1"/>
  <c r="G159" i="2"/>
  <c r="E159" i="2"/>
  <c r="E217" i="2"/>
  <c r="E229" i="2" s="1"/>
  <c r="B237" i="2"/>
  <c r="B217" i="2"/>
  <c r="B229" i="2" s="1"/>
  <c r="F217" i="2"/>
  <c r="F229" i="2" s="1"/>
  <c r="B146" i="2"/>
  <c r="B148" i="2" s="1"/>
  <c r="B150" i="2" s="1"/>
  <c r="B152" i="2" s="1"/>
  <c r="B154" i="2" s="1"/>
  <c r="B160" i="2" s="1"/>
  <c r="F146" i="2"/>
  <c r="F148" i="2" s="1"/>
  <c r="F150" i="2" s="1"/>
  <c r="F152" i="2" s="1"/>
  <c r="F154" i="2" s="1"/>
  <c r="F160" i="2" s="1"/>
  <c r="B159" i="2"/>
  <c r="C237" i="2"/>
  <c r="C159" i="2"/>
  <c r="D159" i="2"/>
  <c r="E237" i="2"/>
  <c r="F237" i="2"/>
  <c r="F135" i="2"/>
  <c r="F194" i="2"/>
  <c r="F197" i="2" s="1"/>
  <c r="F159" i="2"/>
  <c r="H135" i="2"/>
  <c r="H159" i="2"/>
  <c r="I135" i="2"/>
  <c r="I159" i="2"/>
  <c r="N5" i="2"/>
  <c r="O5" i="2"/>
  <c r="M5" i="2"/>
  <c r="N114" i="2"/>
  <c r="P94" i="2"/>
  <c r="O114" i="2"/>
  <c r="O94" i="2"/>
  <c r="P114" i="2"/>
  <c r="N94" i="2"/>
  <c r="P52" i="2"/>
  <c r="P34" i="2"/>
  <c r="N34" i="2"/>
  <c r="O52" i="2"/>
  <c r="N52" i="2"/>
  <c r="N58" i="2" s="1"/>
  <c r="O34" i="2"/>
  <c r="P192" i="2"/>
  <c r="O192" i="2"/>
  <c r="N192" i="2"/>
  <c r="M192" i="2"/>
  <c r="N177" i="2"/>
  <c r="N183" i="2" s="1"/>
  <c r="M177" i="2"/>
  <c r="M183" i="2" s="1"/>
  <c r="P183" i="2"/>
  <c r="O183" i="2"/>
  <c r="I114" i="2" l="1"/>
  <c r="I101" i="2"/>
  <c r="I120" i="2"/>
  <c r="I5" i="2"/>
  <c r="K195" i="2"/>
  <c r="I58" i="2"/>
  <c r="I94" i="2"/>
  <c r="I146" i="2"/>
  <c r="I148" i="2" s="1"/>
  <c r="I150" i="2" s="1"/>
  <c r="I152" i="2" s="1"/>
  <c r="I154" i="2" s="1"/>
  <c r="I160" i="2" s="1"/>
  <c r="E5" i="2"/>
  <c r="I40" i="2"/>
  <c r="I183" i="2"/>
  <c r="I192" i="2"/>
  <c r="E40" i="2"/>
  <c r="E4" i="3"/>
  <c r="I34" i="2"/>
  <c r="H192" i="2"/>
  <c r="I52" i="2"/>
  <c r="E120" i="2"/>
  <c r="E53" i="4"/>
  <c r="F120" i="2"/>
  <c r="J197" i="2"/>
  <c r="J199" i="2" s="1"/>
  <c r="J195" i="2"/>
  <c r="C171" i="2"/>
  <c r="C173" i="2" s="1"/>
  <c r="C194" i="2" s="1"/>
  <c r="C197" i="2" s="1"/>
  <c r="C199" i="2" s="1"/>
  <c r="D170" i="2"/>
  <c r="D171" i="2" s="1"/>
  <c r="D173" i="2" s="1"/>
  <c r="D194" i="2" s="1"/>
  <c r="D197" i="2" s="1"/>
  <c r="H150" i="2"/>
  <c r="H152" i="2" s="1"/>
  <c r="H154" i="2" s="1"/>
  <c r="H160" i="2" s="1"/>
  <c r="F58" i="2"/>
  <c r="E58" i="2"/>
  <c r="E101" i="2"/>
  <c r="F101" i="2"/>
  <c r="G171" i="2"/>
  <c r="G173" i="2" s="1"/>
  <c r="G194" i="2" s="1"/>
  <c r="G197" i="2" s="1"/>
  <c r="G199" i="2" s="1"/>
  <c r="H170" i="2"/>
  <c r="H171" i="2" s="1"/>
  <c r="H173" i="2" s="1"/>
  <c r="F40" i="2"/>
  <c r="E146" i="2"/>
  <c r="E148" i="2" s="1"/>
  <c r="E150" i="2" s="1"/>
  <c r="E152" i="2" s="1"/>
  <c r="E154" i="2" s="1"/>
  <c r="E160" i="2" s="1"/>
  <c r="O58" i="2"/>
  <c r="P58" i="2"/>
  <c r="F195" i="2"/>
  <c r="F199" i="2" s="1"/>
  <c r="B195" i="2"/>
  <c r="B199" i="2" s="1"/>
  <c r="M170" i="2"/>
  <c r="M171" i="2" s="1"/>
  <c r="N170" i="2"/>
  <c r="N171" i="2" s="1"/>
  <c r="P171" i="2"/>
  <c r="O170" i="2"/>
  <c r="P234" i="2"/>
  <c r="P236" i="2" s="1"/>
  <c r="N234" i="2"/>
  <c r="N236" i="2" s="1"/>
  <c r="M234" i="2"/>
  <c r="M236" i="2" s="1"/>
  <c r="P223" i="2"/>
  <c r="P228" i="2" s="1"/>
  <c r="N223" i="2"/>
  <c r="N228" i="2" s="1"/>
  <c r="M223" i="2"/>
  <c r="M228" i="2" s="1"/>
  <c r="P211" i="2"/>
  <c r="P216" i="2" s="1"/>
  <c r="N211" i="2"/>
  <c r="N216" i="2" s="1"/>
  <c r="M211" i="2"/>
  <c r="M216" i="2" s="1"/>
  <c r="P207" i="2"/>
  <c r="N207" i="2"/>
  <c r="M207" i="2"/>
  <c r="O234" i="2"/>
  <c r="O236" i="2" s="1"/>
  <c r="O223" i="2"/>
  <c r="O228" i="2" s="1"/>
  <c r="O211" i="2"/>
  <c r="O216" i="2" s="1"/>
  <c r="O207" i="2"/>
  <c r="P153" i="2"/>
  <c r="O153" i="2"/>
  <c r="N153" i="2"/>
  <c r="M153" i="2"/>
  <c r="P145" i="2"/>
  <c r="O145" i="2"/>
  <c r="N145" i="2"/>
  <c r="M145" i="2"/>
  <c r="N138" i="2"/>
  <c r="M138" i="2"/>
  <c r="O138" i="2"/>
  <c r="P133" i="2"/>
  <c r="O133" i="2"/>
  <c r="O201" i="2" s="1"/>
  <c r="O239" i="2" s="1"/>
  <c r="O245" i="2" s="1"/>
  <c r="O253" i="2" s="1"/>
  <c r="N133" i="2"/>
  <c r="N159" i="2" s="1"/>
  <c r="M133" i="2"/>
  <c r="M159" i="2" s="1"/>
  <c r="N4" i="1"/>
  <c r="N7" i="1" s="1"/>
  <c r="H194" i="2" l="1"/>
  <c r="H197" i="2" s="1"/>
  <c r="I170" i="2"/>
  <c r="I171" i="2" s="1"/>
  <c r="I173" i="2" s="1"/>
  <c r="I194" i="2" s="1"/>
  <c r="P138" i="2"/>
  <c r="P146" i="2" s="1"/>
  <c r="P148" i="2" s="1"/>
  <c r="P150" i="2" s="1"/>
  <c r="P152" i="2" s="1"/>
  <c r="P134" i="2"/>
  <c r="O171" i="2"/>
  <c r="O173" i="2" s="1"/>
  <c r="O194" i="2" s="1"/>
  <c r="E170" i="2"/>
  <c r="E171" i="2" s="1"/>
  <c r="E173" i="2" s="1"/>
  <c r="E194" i="2" s="1"/>
  <c r="E197" i="2" s="1"/>
  <c r="D195" i="2"/>
  <c r="D199" i="2" s="1"/>
  <c r="G195" i="2"/>
  <c r="C195" i="2"/>
  <c r="P159" i="2"/>
  <c r="P201" i="2"/>
  <c r="P239" i="2" s="1"/>
  <c r="P245" i="2" s="1"/>
  <c r="P253" i="2" s="1"/>
  <c r="O217" i="2"/>
  <c r="O229" i="2" s="1"/>
  <c r="P217" i="2"/>
  <c r="P229" i="2" s="1"/>
  <c r="M217" i="2"/>
  <c r="M229" i="2" s="1"/>
  <c r="N217" i="2"/>
  <c r="N229" i="2" s="1"/>
  <c r="P173" i="2"/>
  <c r="P194" i="2" s="1"/>
  <c r="N173" i="2"/>
  <c r="N194" i="2" s="1"/>
  <c r="M173" i="2"/>
  <c r="M194" i="2" s="1"/>
  <c r="O159" i="2"/>
  <c r="M146" i="2"/>
  <c r="M148" i="2" s="1"/>
  <c r="M150" i="2" s="1"/>
  <c r="M152" i="2" s="1"/>
  <c r="M237" i="2"/>
  <c r="P237" i="2"/>
  <c r="N237" i="2"/>
  <c r="O237" i="2"/>
  <c r="O146" i="2"/>
  <c r="O148" i="2" s="1"/>
  <c r="O150" i="2" s="1"/>
  <c r="O152" i="2" s="1"/>
  <c r="N146" i="2"/>
  <c r="N148" i="2" s="1"/>
  <c r="N150" i="2" s="1"/>
  <c r="N152" i="2" s="1"/>
  <c r="H195" i="2" l="1"/>
  <c r="H199" i="2" s="1"/>
  <c r="P154" i="2"/>
  <c r="P160" i="2" s="1"/>
  <c r="P195" i="2" s="1"/>
  <c r="P157" i="2"/>
  <c r="E195" i="2"/>
  <c r="E199" i="2" s="1"/>
  <c r="I197" i="2"/>
  <c r="I195" i="2"/>
  <c r="N154" i="2"/>
  <c r="N160" i="2" s="1"/>
  <c r="N195" i="2" s="1"/>
  <c r="N197" i="2" s="1"/>
  <c r="N199" i="2" s="1"/>
  <c r="N157" i="2"/>
  <c r="M154" i="2"/>
  <c r="M160" i="2" s="1"/>
  <c r="M195" i="2" s="1"/>
  <c r="M197" i="2" s="1"/>
  <c r="M199" i="2" s="1"/>
  <c r="M157" i="2"/>
  <c r="O157" i="2"/>
  <c r="O154" i="2"/>
  <c r="O160" i="2" s="1"/>
  <c r="O195" i="2" s="1"/>
  <c r="O197" i="2" s="1"/>
  <c r="O199" i="2" s="1"/>
  <c r="I199" i="2" l="1"/>
  <c r="P197" i="2"/>
  <c r="P19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F65" authorId="2"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65" authorId="3"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65" authorId="4"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65" authorId="5"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65" authorId="6"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66" authorId="7"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66" authorId="8"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66" authorId="9"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66" authorId="10"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66" authorId="11"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67" authorId="12"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67" authorId="13"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67" authorId="14"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68" authorId="15"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68" authorId="16"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76" authorId="17"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76" authorId="18"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27" authorId="19"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27" authorId="20"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27" authorId="21"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27" authorId="22"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27" authorId="23"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28" authorId="24"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28" authorId="25"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28" authorId="26"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28" authorId="27"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29" authorId="28"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29" authorId="29"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29" authorId="30"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30" authorId="31"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30" authorId="32"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30" authorId="33"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06" authorId="34"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15" authorId="35"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<sst xmlns="http://schemas.openxmlformats.org/spreadsheetml/2006/main" count="1155" uniqueCount="591">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</sst>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2">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6</xdr:col>
      <xdr:colOff>366059</xdr:colOff>
      <xdr:row>36</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30</xdr:row>
      <xdr:rowOff>37353</xdr:rowOff>
    </xdr:from>
    <xdr:to>
      <xdr:col>12</xdr:col>
      <xdr:colOff>287064</xdr:colOff>
      <xdr:row>37</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24</xdr:row>
      <xdr:rowOff>1</xdr:rowOff>
    </xdr:from>
    <xdr:to>
      <xdr:col>9</xdr:col>
      <xdr:colOff>127000</xdr:colOff>
      <xdr:row>29</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294</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294</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F65"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65" dT="2025-01-29T01:38:05.15" personId="{96B94962-3352-4CD0-9600-990C74CCBDE4}" id="{26BB3A61-A0BD-4310-8D46-07EE4DAD265D}">
    <text xml:space="preserve">The price decline was primarily related to end of season settlement in North America </text>
  </threadedComment>
  <threadedComment ref="N65"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65"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65"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66"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66" dT="2025-01-29T01:38:18.90" personId="{96B94962-3352-4CD0-9600-990C74CCBDE4}" id="{D63AF44D-E587-4A65-A189-CA1F89FC67CD}">
    <text xml:space="preserve">Lower volumes were due primarily to reduced corn planted area in Argentina </text>
  </threadedComment>
  <threadedComment ref="N66"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66"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66"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67" dT="2025-01-28T03:35:32.50" personId="{96B94962-3352-4CD0-9600-990C74CCBDE4}" id="{74DCAFB6-4FF1-440B-8E4A-76A517E6F95A}">
    <text xml:space="preserve">Unfavorable currency impacts were led by the Turkish lira. </text>
  </threadedComment>
  <threadedComment ref="H67" dT="2025-01-29T01:38:29.26" personId="{96B94962-3352-4CD0-9600-990C74CCBDE4}" id="{423AEE22-8FD0-44FE-B151-1BBBF9C14249}">
    <text xml:space="preserve">Unfavorable currency impacts were led by the Brazilian Real. </text>
  </threadedComment>
  <threadedComment ref="P67" dT="2025-02-17T20:52:09.19" personId="{96B94962-3352-4CD0-9600-990C74CCBDE4}" id="{20648CF9-644B-4C50-B64F-2A3A88DA408D}">
    <text xml:space="preserve">Unfavorable currency impacts were led by the Brazilian Real and Turkish Lira. 
</text>
  </threadedComment>
  <threadedComment ref="N68" dT="2025-01-23T04:12:35.38" personId="{96B94962-3352-4CD0-9600-990C74CCBDE4}" id="{037E3C55-28FE-4865-BE0F-2C6C8F0BF827}">
    <text xml:space="preserve">The portfolio impact was driven by a divestiture in Asia Pacific. </text>
  </threadedComment>
  <threadedComment ref="O68"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76"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76"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27"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27" dT="2025-01-29T01:39:49.99" personId="{96B94962-3352-4CD0-9600-990C74CCBDE4}" id="{F222016D-49D1-4238-82B2-9E99D5C052CB}">
    <text xml:space="preserve">The price decline was primarily due to the competitive pricing environment in Latin America. </text>
  </threadedComment>
  <threadedComment ref="N127"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27"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27" dT="2025-02-17T21:00:49.20" personId="{96B94962-3352-4CD0-9600-990C74CCBDE4}" id="{1C26C88B-1C2F-49FA-88CB-3593CBE67FBF}">
    <text xml:space="preserve">The price decline was primarily due to market dynamics in Latin America </text>
  </threadedComment>
  <threadedComment ref="F128"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28"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28"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28"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29" dT="2025-01-28T03:39:35.40" personId="{96B94962-3352-4CD0-9600-990C74CCBDE4}" id="{615280BE-5DAE-43FF-B07C-40E189103624}">
    <text xml:space="preserve">Unfavorable currency impacts were primarily related to the Turkish Lira. </text>
  </threadedComment>
  <threadedComment ref="H129" dT="2025-01-29T01:40:04.89" personId="{96B94962-3352-4CD0-9600-990C74CCBDE4}" id="{9BE92F34-B13B-4E35-A3FA-13A53955E9E8}">
    <text xml:space="preserve">Unfavorable currency impacts were led by the Brazilian Real. </text>
  </threadedComment>
  <threadedComment ref="P129" dT="2025-02-17T21:01:05.08" personId="{96B94962-3352-4CD0-9600-990C74CCBDE4}" id="{3A4D19BC-C9B0-44C9-A0A6-FBFCFDEBCC75}">
    <text xml:space="preserve">Unfavorable currency impacts were led by the Brazilian Real and Turkish Lira </text>
  </threadedComment>
  <threadedComment ref="N130" dT="2025-01-23T04:12:35.38" personId="{96B94962-3352-4CD0-9600-990C74CCBDE4}" id="{103B9CD5-2717-4CDF-9CC0-F3C2E65538E8}">
    <text xml:space="preserve">The portfolio impact was driven by a divestiture in Asia Pacific. </text>
  </threadedComment>
  <threadedComment ref="O130"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30"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06" dT="2025-02-18T00:58:43.97" personId="{96B94962-3352-4CD0-9600-990C74CCBDE4}" id="{D15013F7-4ADC-4951-A5A7-6764CD948A6F}">
    <text>65M from prepaid royalties</text>
  </threadedComment>
  <threadedComment ref="I215"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tabSelected="1" zoomScale="70" zoomScaleNormal="70" workbookViewId="0">
      <selection activeCell="T27" sqref="T27"/>
    </sheetView>
  </sheetViews>
  <sheetFormatPr defaultRowHeight="14.5"/>
  <cols>
    <col min="15" max="15" width="9.90625" bestFit="1" customWidth="1"/>
  </cols>
  <sheetData>
    <row r="2" spans="2:15">
      <c r="B2" s="5" t="s">
        <v>11</v>
      </c>
      <c r="G2" s="1" t="s">
        <v>34</v>
      </c>
      <c r="M2" t="s">
        <v>0</v>
      </c>
      <c r="N2">
        <v>63.64</v>
      </c>
      <c r="O2" s="9">
        <v>45708</v>
      </c>
    </row>
    <row r="3" spans="2:15">
      <c r="B3">
        <v>1</v>
      </c>
      <c r="C3" s="7" t="s">
        <v>13</v>
      </c>
      <c r="M3" t="s">
        <v>1</v>
      </c>
      <c r="N3" s="11">
        <v>687.29</v>
      </c>
      <c r="O3" s="9">
        <v>45695</v>
      </c>
    </row>
    <row r="4" spans="2:15">
      <c r="B4">
        <v>2</v>
      </c>
      <c r="C4" s="7" t="s">
        <v>14</v>
      </c>
      <c r="G4" s="5" t="s">
        <v>573</v>
      </c>
      <c r="M4" t="s">
        <v>2</v>
      </c>
      <c r="N4" s="10">
        <f>+N3*N2</f>
        <v>43739.135600000001</v>
      </c>
    </row>
    <row r="5" spans="2:15">
      <c r="G5" t="s">
        <v>572</v>
      </c>
      <c r="M5" t="s">
        <v>3</v>
      </c>
      <c r="N5" s="10">
        <f>+SUM(model!I202:I203)</f>
        <v>3169</v>
      </c>
    </row>
    <row r="6" spans="2:15">
      <c r="B6" s="7" t="s">
        <v>242</v>
      </c>
      <c r="G6" t="s">
        <v>570</v>
      </c>
      <c r="M6" t="s">
        <v>4</v>
      </c>
      <c r="N6" s="10">
        <f>+model!I224+model!I218</f>
        <v>2703</v>
      </c>
    </row>
    <row r="7" spans="2:15">
      <c r="G7" t="s">
        <v>571</v>
      </c>
      <c r="M7" t="s">
        <v>5</v>
      </c>
      <c r="N7" s="10">
        <f>+N4-N5+N6</f>
        <v>43273.135600000001</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4" spans="2:12">
      <c r="B24" s="5" t="s">
        <v>230</v>
      </c>
    </row>
    <row r="39" spans="2:9">
      <c r="B39" s="5" t="s">
        <v>201</v>
      </c>
    </row>
    <row r="40" spans="2:9">
      <c r="B40">
        <v>1</v>
      </c>
      <c r="C40" t="s">
        <v>202</v>
      </c>
    </row>
    <row r="41" spans="2:9">
      <c r="B41">
        <v>2</v>
      </c>
      <c r="C41" t="s">
        <v>203</v>
      </c>
    </row>
    <row r="42" spans="2:9" ht="14.5" customHeight="1">
      <c r="B42">
        <v>3</v>
      </c>
      <c r="C42" s="8" t="s">
        <v>204</v>
      </c>
      <c r="D42" s="8"/>
      <c r="E42" s="8"/>
      <c r="F42" s="8"/>
      <c r="G42" s="8"/>
      <c r="H42" s="8"/>
      <c r="I42" s="8"/>
    </row>
    <row r="43" spans="2:9">
      <c r="C43" s="8"/>
      <c r="D43" s="8" t="s">
        <v>205</v>
      </c>
      <c r="E43" s="8"/>
      <c r="F43" s="8"/>
      <c r="G43" s="8"/>
      <c r="H43" s="8"/>
      <c r="I43" s="8"/>
    </row>
    <row r="44" spans="2:9">
      <c r="B44">
        <v>4</v>
      </c>
      <c r="C44" t="s">
        <v>206</v>
      </c>
      <c r="D44" s="8"/>
      <c r="E44" s="8"/>
      <c r="F44" s="8"/>
      <c r="G44" s="8"/>
      <c r="H44" s="8"/>
      <c r="I44" s="8"/>
    </row>
    <row r="45" spans="2:9">
      <c r="B45">
        <v>5</v>
      </c>
      <c r="C45" t="s">
        <v>207</v>
      </c>
      <c r="D45" s="8"/>
      <c r="E45" s="8"/>
      <c r="F45" s="8"/>
      <c r="G45" s="8"/>
      <c r="H45" s="8"/>
      <c r="I45" s="8"/>
    </row>
    <row r="46" spans="2:9">
      <c r="B46">
        <v>6</v>
      </c>
      <c r="C46" t="s">
        <v>208</v>
      </c>
    </row>
    <row r="47" spans="2:9">
      <c r="B47">
        <v>7</v>
      </c>
      <c r="C47" t="s">
        <v>209</v>
      </c>
    </row>
    <row r="48" spans="2:9">
      <c r="D48" t="s">
        <v>210</v>
      </c>
    </row>
    <row r="49" spans="2:4">
      <c r="B49">
        <v>8</v>
      </c>
      <c r="C49" t="s">
        <v>211</v>
      </c>
    </row>
    <row r="50" spans="2:4">
      <c r="B50">
        <v>9</v>
      </c>
      <c r="C50" t="s">
        <v>212</v>
      </c>
    </row>
    <row r="51" spans="2:4">
      <c r="D51" t="s">
        <v>213</v>
      </c>
    </row>
    <row r="52" spans="2:4">
      <c r="B52" s="5" t="s">
        <v>214</v>
      </c>
    </row>
    <row r="53" spans="2:4">
      <c r="B53">
        <v>1</v>
      </c>
      <c r="C53" t="s">
        <v>215</v>
      </c>
    </row>
    <row r="54" spans="2:4">
      <c r="B54">
        <v>2</v>
      </c>
      <c r="C54" t="s">
        <v>216</v>
      </c>
    </row>
    <row r="55" spans="2:4">
      <c r="B55">
        <v>3</v>
      </c>
      <c r="C55" t="s">
        <v>217</v>
      </c>
    </row>
    <row r="56" spans="2:4">
      <c r="B56">
        <v>4</v>
      </c>
      <c r="C56" t="s">
        <v>218</v>
      </c>
    </row>
    <row r="57" spans="2:4">
      <c r="B57">
        <v>5</v>
      </c>
      <c r="C57" t="s">
        <v>219</v>
      </c>
    </row>
    <row r="58" spans="2:4">
      <c r="B58">
        <v>6</v>
      </c>
      <c r="C58" t="s">
        <v>220</v>
      </c>
    </row>
    <row r="59" spans="2:4">
      <c r="B59">
        <v>7</v>
      </c>
      <c r="C59" t="s">
        <v>221</v>
      </c>
    </row>
    <row r="60" spans="2:4">
      <c r="B60">
        <v>8</v>
      </c>
      <c r="C60" t="s">
        <v>222</v>
      </c>
    </row>
    <row r="61" spans="2:4">
      <c r="B61">
        <v>9</v>
      </c>
      <c r="C61" t="s">
        <v>223</v>
      </c>
    </row>
    <row r="62" spans="2:4">
      <c r="B62">
        <v>10</v>
      </c>
      <c r="C62" t="s">
        <v>224</v>
      </c>
    </row>
    <row r="63" spans="2:4">
      <c r="B63">
        <v>11</v>
      </c>
      <c r="C63" t="s">
        <v>225</v>
      </c>
    </row>
    <row r="64" spans="2:4">
      <c r="B64">
        <v>12</v>
      </c>
      <c r="C64"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+model!B71</f>
        <v>Q123</v>
      </c>
      <c r="C46" s="47" t="str">
        <f>+model!C71</f>
        <v>Q223</v>
      </c>
      <c r="D46" s="47" t="str">
        <f>+model!D71</f>
        <v>Q323</v>
      </c>
      <c r="E46" s="47" t="str">
        <f>+model!E71</f>
        <v>Q423</v>
      </c>
      <c r="F46" s="47" t="str">
        <f>+model!F71</f>
        <v>Q124</v>
      </c>
      <c r="G46" s="47" t="str">
        <f>+model!G71</f>
        <v>Q224</v>
      </c>
      <c r="H46" s="47" t="str">
        <f>+model!H71</f>
        <v>Q324</v>
      </c>
      <c r="I46" s="47" t="str">
        <f>+model!I71</f>
        <v>Q424</v>
      </c>
      <c r="J46" s="47" t="str">
        <f>+model!J71</f>
        <v>Q125</v>
      </c>
      <c r="K46" s="47" t="str">
        <f>+model!K71</f>
        <v>Q225</v>
      </c>
      <c r="L46" s="47" t="str">
        <f>+model!L71</f>
        <v>xxx</v>
      </c>
      <c r="M46" s="47">
        <f>+model!M71</f>
        <v>2021</v>
      </c>
      <c r="N46" s="47">
        <f>+model!N71</f>
        <v>2022</v>
      </c>
      <c r="O46" s="47">
        <f>+model!O71</f>
        <v>2023</v>
      </c>
      <c r="P46" s="47">
        <f>+model!P71</f>
        <v>2024</v>
      </c>
    </row>
    <row r="47" spans="1:16">
      <c r="A47" t="str">
        <f>+model!A87</f>
        <v>Crop protection sales by type</v>
      </c>
      <c r="B47">
        <f>+model!B87</f>
        <v>2189</v>
      </c>
      <c r="C47">
        <f>+model!C87</f>
        <v>1781</v>
      </c>
      <c r="D47">
        <f>+model!D87</f>
        <v>1712</v>
      </c>
      <c r="E47">
        <f>+model!E87</f>
        <v>2072</v>
      </c>
      <c r="F47">
        <f>+model!F87</f>
        <v>1741</v>
      </c>
      <c r="G47">
        <f>+model!G87</f>
        <v>1781</v>
      </c>
      <c r="H47">
        <f>+model!H87</f>
        <v>1635</v>
      </c>
      <c r="I47">
        <f>+model!I87</f>
        <v>2206</v>
      </c>
      <c r="J47">
        <f>+model!J87</f>
        <v>0</v>
      </c>
      <c r="K47">
        <f>+model!K87</f>
        <v>0</v>
      </c>
      <c r="L47" t="str">
        <f>+model!L87</f>
        <v>xxx</v>
      </c>
      <c r="M47">
        <f>+model!M87</f>
        <v>7253</v>
      </c>
      <c r="N47">
        <f>+model!N87</f>
        <v>8476</v>
      </c>
      <c r="O47">
        <f>+model!O87</f>
        <v>7754</v>
      </c>
      <c r="P47">
        <f>+model!P87</f>
        <v>7363</v>
      </c>
    </row>
    <row r="48" spans="1:16">
      <c r="A48" t="str">
        <f>+model!A88</f>
        <v>Herbicides sales</v>
      </c>
      <c r="B48">
        <f>+model!B88</f>
        <v>1242</v>
      </c>
      <c r="C48">
        <f>+model!C88</f>
        <v>986</v>
      </c>
      <c r="D48">
        <f>+model!D88</f>
        <v>815</v>
      </c>
      <c r="E48">
        <f>+model!E88</f>
        <v>991</v>
      </c>
      <c r="F48">
        <f>+model!F88</f>
        <v>886</v>
      </c>
      <c r="G48">
        <f>+model!G88</f>
        <v>946</v>
      </c>
      <c r="H48">
        <f>+model!H88</f>
        <v>736</v>
      </c>
      <c r="I48">
        <f>+model!I88</f>
        <v>1031</v>
      </c>
      <c r="J48">
        <f>+model!J88</f>
        <v>0</v>
      </c>
      <c r="K48">
        <f>+model!K88</f>
        <v>0</v>
      </c>
      <c r="L48" t="str">
        <f>+model!L88</f>
        <v>xxx</v>
      </c>
      <c r="M48">
        <f>+model!M88</f>
        <v>3815</v>
      </c>
      <c r="N48">
        <f>+model!N88</f>
        <v>4591</v>
      </c>
      <c r="O48">
        <f>+model!O88</f>
        <v>4034</v>
      </c>
      <c r="P48">
        <f>+model!P88</f>
        <v>3599</v>
      </c>
    </row>
    <row r="49" spans="1:16">
      <c r="A49" t="str">
        <f>+model!A89</f>
        <v>Insecticides sales</v>
      </c>
      <c r="B49">
        <f>+model!B89</f>
        <v>409</v>
      </c>
      <c r="C49">
        <f>+model!C89</f>
        <v>331</v>
      </c>
      <c r="D49">
        <f>+model!D89</f>
        <v>416</v>
      </c>
      <c r="E49">
        <f>+model!E89</f>
        <v>442</v>
      </c>
      <c r="F49">
        <f>+model!F89</f>
        <v>373</v>
      </c>
      <c r="G49">
        <f>+model!G89</f>
        <v>415</v>
      </c>
      <c r="H49">
        <f>+model!H89</f>
        <v>437</v>
      </c>
      <c r="I49">
        <f>+model!I89</f>
        <v>490</v>
      </c>
      <c r="J49">
        <f>+model!J89</f>
        <v>0</v>
      </c>
      <c r="K49">
        <f>+model!K89</f>
        <v>0</v>
      </c>
      <c r="L49" t="str">
        <f>+model!L89</f>
        <v>xxx</v>
      </c>
      <c r="M49">
        <f>+model!M89</f>
        <v>1730</v>
      </c>
      <c r="N49">
        <f>+model!N89</f>
        <v>1831</v>
      </c>
      <c r="O49">
        <f>+model!O89</f>
        <v>1598</v>
      </c>
      <c r="P49">
        <f>+model!P89</f>
        <v>1715</v>
      </c>
    </row>
    <row r="50" spans="1:16">
      <c r="A50" t="str">
        <f>+model!A90</f>
        <v>Fungicides sales</v>
      </c>
      <c r="B50">
        <f>+model!B90</f>
        <v>359</v>
      </c>
      <c r="C50">
        <f>+model!C90</f>
        <v>252</v>
      </c>
      <c r="D50">
        <f>+model!D90</f>
        <v>226</v>
      </c>
      <c r="E50">
        <f>+model!E90</f>
        <v>275</v>
      </c>
      <c r="F50">
        <f>+model!F90</f>
        <v>295</v>
      </c>
      <c r="G50">
        <f>+model!G90</f>
        <v>250</v>
      </c>
      <c r="H50">
        <f>+model!H90</f>
        <v>216</v>
      </c>
      <c r="I50">
        <f>+model!I90</f>
        <v>320</v>
      </c>
      <c r="J50">
        <f>+model!J90</f>
        <v>0</v>
      </c>
      <c r="K50">
        <f>+model!K90</f>
        <v>0</v>
      </c>
      <c r="L50" t="str">
        <f>+model!L90</f>
        <v>xxx</v>
      </c>
      <c r="M50">
        <f>+model!M90</f>
        <v>1310</v>
      </c>
      <c r="N50">
        <f>+model!N90</f>
        <v>1450</v>
      </c>
      <c r="O50">
        <f>+model!O90</f>
        <v>1112</v>
      </c>
      <c r="P50">
        <f>+model!P90</f>
        <v>1081</v>
      </c>
    </row>
    <row r="51" spans="1:16">
      <c r="A51" t="str">
        <f>+model!A92</f>
        <v>Other crop protection sales</v>
      </c>
      <c r="B51">
        <f>+model!B92</f>
        <v>179</v>
      </c>
      <c r="C51">
        <f>+model!C92</f>
        <v>212</v>
      </c>
      <c r="D51">
        <f>+model!D92</f>
        <v>255</v>
      </c>
      <c r="E51">
        <f>+model!E92</f>
        <v>364</v>
      </c>
      <c r="F51">
        <f>+model!F92</f>
        <v>187</v>
      </c>
      <c r="G51">
        <f>+model!G92</f>
        <v>170</v>
      </c>
      <c r="H51">
        <f>+model!H92</f>
        <v>246</v>
      </c>
      <c r="I51">
        <f>+model!I92</f>
        <v>365</v>
      </c>
      <c r="J51">
        <f>+model!J92</f>
        <v>0</v>
      </c>
      <c r="K51">
        <f>+model!K92</f>
        <v>0</v>
      </c>
      <c r="L51" t="str">
        <f>+model!L92</f>
        <v>xxx</v>
      </c>
      <c r="M51">
        <f>+model!M92</f>
        <v>398</v>
      </c>
      <c r="N51">
        <f>+model!N92</f>
        <v>604</v>
      </c>
      <c r="O51">
        <f>+model!O92</f>
        <v>1010</v>
      </c>
      <c r="P51">
        <f>+model!P92</f>
        <v>492</v>
      </c>
    </row>
    <row r="53" spans="1:16">
      <c r="A53" s="10" t="str">
        <f>+model!A108</f>
        <v>Worldwide crop protection sales</v>
      </c>
      <c r="B53" s="10">
        <f>+model!B108</f>
        <v>2189</v>
      </c>
      <c r="C53" s="10">
        <f>+model!C108</f>
        <v>1781</v>
      </c>
      <c r="D53" s="10">
        <f>+model!D108</f>
        <v>1712</v>
      </c>
      <c r="E53" s="10">
        <f>+model!E108</f>
        <v>2072</v>
      </c>
      <c r="F53" s="10">
        <f>+model!F108</f>
        <v>1741</v>
      </c>
      <c r="G53" s="10">
        <f>+model!G108</f>
        <v>1781</v>
      </c>
      <c r="H53" s="10">
        <f>+model!H108</f>
        <v>1635</v>
      </c>
      <c r="I53" s="10">
        <f>+model!I108</f>
        <v>2206</v>
      </c>
      <c r="J53" s="10">
        <f>+model!J108</f>
        <v>0</v>
      </c>
      <c r="K53" s="10">
        <f>+model!K108</f>
        <v>0</v>
      </c>
      <c r="L53" s="10" t="str">
        <f>+model!L108</f>
        <v>xxx</v>
      </c>
      <c r="M53" s="10" t="str">
        <f>+model!M108</f>
        <v xml:space="preserve"> </v>
      </c>
      <c r="N53" s="10">
        <f>+model!N108</f>
        <v>8476</v>
      </c>
      <c r="O53" s="10">
        <f>+model!O108</f>
        <v>7754</v>
      </c>
      <c r="P53" s="10">
        <f>+model!P108</f>
        <v>7363</v>
      </c>
    </row>
    <row r="54" spans="1:16">
      <c r="A54" s="10" t="str">
        <f>+model!A109</f>
        <v>North America crop protection sales</v>
      </c>
      <c r="B54" s="10">
        <f>+model!B109</f>
        <v>879</v>
      </c>
      <c r="C54" s="10">
        <f>+model!C109</f>
        <v>623</v>
      </c>
      <c r="D54" s="10">
        <f>+model!D109</f>
        <v>399</v>
      </c>
      <c r="E54" s="10">
        <f>+model!E109</f>
        <v>921</v>
      </c>
      <c r="F54" s="10">
        <f>+model!F109</f>
        <v>616</v>
      </c>
      <c r="G54" s="10">
        <f>+model!G109</f>
        <v>647</v>
      </c>
      <c r="H54" s="10">
        <f>+model!H109</f>
        <v>440</v>
      </c>
      <c r="I54" s="10">
        <f>+model!I109</f>
        <v>924</v>
      </c>
      <c r="J54" s="10">
        <f>+model!J109</f>
        <v>0</v>
      </c>
      <c r="K54" s="10">
        <f>+model!K109</f>
        <v>0</v>
      </c>
      <c r="L54" s="10" t="str">
        <f>+model!L109</f>
        <v>xxx</v>
      </c>
      <c r="M54" s="10">
        <f>+model!M109</f>
        <v>2532</v>
      </c>
      <c r="N54" s="10">
        <f>+model!N109</f>
        <v>3116</v>
      </c>
      <c r="O54" s="10">
        <f>+model!O109</f>
        <v>2822</v>
      </c>
      <c r="P54" s="10">
        <f>+model!P109</f>
        <v>2627</v>
      </c>
    </row>
    <row r="55" spans="1:16">
      <c r="A55" s="10" t="str">
        <f>+model!A110</f>
        <v>EMEA crop protection sales</v>
      </c>
      <c r="B55" s="10">
        <f>+model!B110</f>
        <v>801</v>
      </c>
      <c r="C55" s="10">
        <f>+model!C110</f>
        <v>483</v>
      </c>
      <c r="D55" s="10">
        <f>+model!D110</f>
        <v>271</v>
      </c>
      <c r="E55" s="10">
        <f>+model!E110</f>
        <v>190</v>
      </c>
      <c r="F55" s="10">
        <f>+model!F110</f>
        <v>670</v>
      </c>
      <c r="G55" s="10">
        <f>+model!G110</f>
        <v>422</v>
      </c>
      <c r="H55" s="10">
        <f>+model!H110</f>
        <v>219</v>
      </c>
      <c r="I55" s="10">
        <f>+model!I110</f>
        <v>232</v>
      </c>
      <c r="J55" s="10">
        <f>+model!J110</f>
        <v>0</v>
      </c>
      <c r="K55" s="10">
        <f>+model!K110</f>
        <v>0</v>
      </c>
      <c r="L55" s="10" t="str">
        <f>+model!L110</f>
        <v>xxx</v>
      </c>
      <c r="M55" s="10">
        <f>+model!M110</f>
        <v>1524</v>
      </c>
      <c r="N55" s="10">
        <f>+model!N110</f>
        <v>1647</v>
      </c>
      <c r="O55" s="10">
        <f>+model!O110</f>
        <v>1745</v>
      </c>
      <c r="P55" s="10">
        <f>+model!P110</f>
        <v>1543</v>
      </c>
    </row>
    <row r="56" spans="1:16">
      <c r="A56" s="10" t="str">
        <f>+model!A111</f>
        <v>Latin America crop protection sales</v>
      </c>
      <c r="B56" s="10">
        <f>+model!B111</f>
        <v>293</v>
      </c>
      <c r="C56" s="10">
        <f>+model!C111</f>
        <v>400</v>
      </c>
      <c r="D56" s="10">
        <f>+model!D111</f>
        <v>844</v>
      </c>
      <c r="E56" s="10">
        <f>+model!E111</f>
        <v>732</v>
      </c>
      <c r="F56" s="10">
        <f>+model!F111</f>
        <v>244</v>
      </c>
      <c r="G56" s="10">
        <f>+model!G111</f>
        <v>443</v>
      </c>
      <c r="H56" s="10">
        <f>+model!H111</f>
        <v>771</v>
      </c>
      <c r="I56" s="10">
        <f>+model!I111</f>
        <v>795</v>
      </c>
      <c r="J56" s="10">
        <f>+model!J111</f>
        <v>0</v>
      </c>
      <c r="K56" s="10">
        <f>+model!K111</f>
        <v>0</v>
      </c>
      <c r="L56" s="10" t="str">
        <f>+model!L111</f>
        <v>xxx</v>
      </c>
      <c r="M56" s="10">
        <f>+model!M111</f>
        <v>2125</v>
      </c>
      <c r="N56" s="10">
        <f>+model!N111</f>
        <v>2687</v>
      </c>
      <c r="O56" s="10">
        <f>+model!O111</f>
        <v>2269</v>
      </c>
      <c r="P56" s="10">
        <f>+model!P111</f>
        <v>2253</v>
      </c>
    </row>
    <row r="57" spans="1:16">
      <c r="A57" s="10" t="str">
        <f>+model!A112</f>
        <v>Asia Pacific crop protection sales</v>
      </c>
      <c r="B57" s="10">
        <f>+model!B112</f>
        <v>216</v>
      </c>
      <c r="C57" s="10">
        <f>+model!C112</f>
        <v>275</v>
      </c>
      <c r="D57" s="10">
        <f>+model!D112</f>
        <v>198</v>
      </c>
      <c r="E57" s="10">
        <f>+model!E112</f>
        <v>229</v>
      </c>
      <c r="F57" s="10">
        <f>+model!F112</f>
        <v>211</v>
      </c>
      <c r="G57" s="10">
        <f>+model!G112</f>
        <v>269</v>
      </c>
      <c r="H57" s="10">
        <f>+model!H112</f>
        <v>205</v>
      </c>
      <c r="I57" s="10">
        <f>+model!I112</f>
        <v>255</v>
      </c>
      <c r="J57" s="10">
        <f>+model!J112</f>
        <v>0</v>
      </c>
      <c r="K57" s="10">
        <f>+model!K112</f>
        <v>0</v>
      </c>
      <c r="L57" s="10" t="str">
        <f>+model!L112</f>
        <v>xxx</v>
      </c>
      <c r="M57" s="10">
        <f>+model!M112</f>
        <v>1072</v>
      </c>
      <c r="N57" s="10">
        <f>+model!N112</f>
        <v>1026</v>
      </c>
      <c r="O57" s="10">
        <f>+model!O112</f>
        <v>918</v>
      </c>
      <c r="P57" s="10">
        <f>+model!P112</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292"/>
  <sheetViews>
    <sheetView topLeftCell="A163" zoomScale="70" zoomScaleNormal="70" workbookViewId="0">
      <pane xSplit="1" topLeftCell="B1" activePane="topRight" state="frozen"/>
      <selection pane="topRight" activeCell="P98" sqref="P98"/>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+B47+B109</f>
        <v>2202</v>
      </c>
      <c r="C6" s="23">
        <f t="shared" si="4"/>
        <v>4319</v>
      </c>
      <c r="D6" s="23">
        <f t="shared" si="4"/>
        <v>572</v>
      </c>
      <c r="E6" s="23">
        <f t="shared" si="4"/>
        <v>1497</v>
      </c>
      <c r="F6" s="23">
        <f t="shared" si="4"/>
        <v>2087</v>
      </c>
      <c r="G6" s="23">
        <f t="shared" si="4"/>
        <v>4400</v>
      </c>
      <c r="H6" s="23">
        <f t="shared" si="4"/>
        <v>610</v>
      </c>
      <c r="I6" s="23">
        <f t="shared" si="4"/>
        <v>1563</v>
      </c>
      <c r="J6" s="23">
        <f t="shared" ref="J6:K6" si="5">+J47+J109</f>
        <v>0</v>
      </c>
      <c r="K6" s="23">
        <f t="shared" si="5"/>
        <v>0</v>
      </c>
      <c r="L6" s="22" t="s">
        <v>442</v>
      </c>
      <c r="M6" s="23">
        <f t="shared" ref="M6:P9" si="6">+M47+M109</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+J48+J110</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+J49+J111</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+J50+J112</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19"/>
      <c r="B27" s="20"/>
      <c r="C27" s="20"/>
      <c r="D27" s="20"/>
      <c r="E27" s="20"/>
      <c r="F27" s="20"/>
      <c r="G27" s="20"/>
      <c r="H27" s="20"/>
      <c r="I27" s="20"/>
      <c r="J27" s="20"/>
      <c r="K27" s="20"/>
      <c r="L27" s="22" t="s">
        <v>442</v>
      </c>
      <c r="M27" s="20"/>
      <c r="N27" s="20"/>
      <c r="O27" s="20"/>
      <c r="P27" s="20"/>
      <c r="Q27" s="20"/>
      <c r="R27" s="20"/>
      <c r="S27" s="20"/>
      <c r="T27" s="20"/>
    </row>
    <row r="28" spans="1:20">
      <c r="A28" s="22" t="s">
        <v>329</v>
      </c>
      <c r="B28" s="23">
        <f t="shared" ref="B28" si="14">+SUM(B29:B32)</f>
        <v>2695</v>
      </c>
      <c r="C28" s="23">
        <f t="shared" ref="C28" si="15">+SUM(C29:C32)</f>
        <v>4264</v>
      </c>
      <c r="D28" s="23">
        <f t="shared" ref="D28" si="16">+SUM(D29:D32)</f>
        <v>878</v>
      </c>
      <c r="E28" s="23">
        <f>+SUM(E29:E32)</f>
        <v>1635</v>
      </c>
      <c r="F28" s="23">
        <f>+SUM(F29:F32)</f>
        <v>2751</v>
      </c>
      <c r="G28" s="23">
        <f t="shared" ref="G28:H28" si="17">+SUM(G29:G32)</f>
        <v>4331</v>
      </c>
      <c r="H28" s="23">
        <f t="shared" si="17"/>
        <v>691</v>
      </c>
      <c r="I28" s="23">
        <f t="shared" ref="I28:J28" si="18">+SUM(I29:I32)</f>
        <v>1772</v>
      </c>
      <c r="J28" s="23">
        <f t="shared" si="18"/>
        <v>0</v>
      </c>
      <c r="K28" s="23">
        <f t="shared" ref="K28" si="19">+SUM(K29:K32)</f>
        <v>0</v>
      </c>
      <c r="L28" s="22" t="s">
        <v>442</v>
      </c>
      <c r="M28" s="23">
        <f>+SUM(M29:M32)</f>
        <v>8402</v>
      </c>
      <c r="N28" s="23">
        <f t="shared" ref="N28:P28" si="20">+SUM(N29:N32)</f>
        <v>8979</v>
      </c>
      <c r="O28" s="23">
        <f t="shared" si="20"/>
        <v>9472</v>
      </c>
      <c r="P28" s="23">
        <f t="shared" si="20"/>
        <v>9545</v>
      </c>
      <c r="Q28" s="19"/>
      <c r="R28" s="19"/>
      <c r="S28" s="19"/>
      <c r="T28" s="19"/>
    </row>
    <row r="29" spans="1:20">
      <c r="A29" s="19" t="s">
        <v>361</v>
      </c>
      <c r="B29" s="20">
        <v>1979</v>
      </c>
      <c r="C29" s="20">
        <v>2673</v>
      </c>
      <c r="D29" s="20">
        <v>487</v>
      </c>
      <c r="E29" s="20">
        <f>+O29-SUM(B29:D29)</f>
        <v>1308</v>
      </c>
      <c r="F29" s="20">
        <v>2087</v>
      </c>
      <c r="G29" s="20">
        <v>2683</v>
      </c>
      <c r="H29" s="20">
        <v>315</v>
      </c>
      <c r="I29" s="20">
        <f>+P29-SUM(F29:H29)</f>
        <v>1411</v>
      </c>
      <c r="J29" s="20"/>
      <c r="K29" s="20"/>
      <c r="L29" s="22" t="s">
        <v>442</v>
      </c>
      <c r="M29" s="20">
        <v>5618</v>
      </c>
      <c r="N29" s="20">
        <v>5955</v>
      </c>
      <c r="O29" s="20">
        <v>6447</v>
      </c>
      <c r="P29" s="20">
        <v>6496</v>
      </c>
      <c r="Q29" s="19"/>
      <c r="R29" s="19"/>
      <c r="S29" s="19"/>
      <c r="T29" s="19"/>
    </row>
    <row r="30" spans="1:20">
      <c r="A30" s="19" t="s">
        <v>362</v>
      </c>
      <c r="B30" s="20">
        <v>269</v>
      </c>
      <c r="C30" s="20">
        <v>1255</v>
      </c>
      <c r="D30" s="20">
        <v>189</v>
      </c>
      <c r="E30" s="20">
        <f t="shared" ref="E30:E32" si="21">+O30-SUM(B30:D30)</f>
        <v>145</v>
      </c>
      <c r="F30" s="20">
        <v>292</v>
      </c>
      <c r="G30" s="20">
        <v>1317</v>
      </c>
      <c r="H30" s="20">
        <v>164</v>
      </c>
      <c r="I30" s="20">
        <f t="shared" ref="I30:I32" si="22">+P30-SUM(F30:H30)</f>
        <v>154</v>
      </c>
      <c r="J30" s="20"/>
      <c r="K30" s="20"/>
      <c r="L30" s="22" t="s">
        <v>442</v>
      </c>
      <c r="M30" s="20">
        <v>1568</v>
      </c>
      <c r="N30" s="20">
        <v>1810</v>
      </c>
      <c r="O30" s="20">
        <v>1858</v>
      </c>
      <c r="P30" s="20">
        <v>1927</v>
      </c>
      <c r="Q30" s="19"/>
      <c r="R30" s="19"/>
      <c r="S30" s="19"/>
      <c r="T30" s="19"/>
    </row>
    <row r="31" spans="1:20">
      <c r="A31" s="19" t="s">
        <v>336</v>
      </c>
      <c r="B31" s="20">
        <v>301</v>
      </c>
      <c r="C31" s="20">
        <v>194</v>
      </c>
      <c r="D31" s="20">
        <v>142</v>
      </c>
      <c r="E31" s="20">
        <f t="shared" si="21"/>
        <v>71</v>
      </c>
      <c r="F31" s="20">
        <v>245</v>
      </c>
      <c r="G31" s="20">
        <v>186</v>
      </c>
      <c r="H31" s="20">
        <v>135</v>
      </c>
      <c r="I31" s="20">
        <f t="shared" si="22"/>
        <v>87</v>
      </c>
      <c r="J31" s="20"/>
      <c r="K31" s="20"/>
      <c r="L31" s="22" t="s">
        <v>442</v>
      </c>
      <c r="M31" s="20">
        <v>752</v>
      </c>
      <c r="N31" s="20">
        <v>714</v>
      </c>
      <c r="O31" s="20">
        <v>708</v>
      </c>
      <c r="P31" s="20">
        <v>653</v>
      </c>
      <c r="Q31" s="19"/>
      <c r="R31" s="19"/>
      <c r="S31" s="19"/>
      <c r="T31" s="19"/>
    </row>
    <row r="32" spans="1:20">
      <c r="A32" s="19" t="s">
        <v>335</v>
      </c>
      <c r="B32" s="20">
        <v>146</v>
      </c>
      <c r="C32" s="20">
        <v>142</v>
      </c>
      <c r="D32" s="20">
        <v>60</v>
      </c>
      <c r="E32" s="20">
        <f t="shared" si="21"/>
        <v>111</v>
      </c>
      <c r="F32" s="20">
        <v>127</v>
      </c>
      <c r="G32" s="20">
        <v>145</v>
      </c>
      <c r="H32" s="20">
        <v>77</v>
      </c>
      <c r="I32" s="20">
        <f t="shared" si="22"/>
        <v>120</v>
      </c>
      <c r="J32" s="20"/>
      <c r="K32" s="20"/>
      <c r="L32" s="22" t="s">
        <v>442</v>
      </c>
      <c r="M32" s="20">
        <v>464</v>
      </c>
      <c r="N32" s="20">
        <v>500</v>
      </c>
      <c r="O32" s="20">
        <v>459</v>
      </c>
      <c r="P32" s="20">
        <v>469</v>
      </c>
      <c r="Q32" s="19"/>
      <c r="R32" s="19"/>
      <c r="S32" s="19"/>
      <c r="T32" s="19"/>
    </row>
    <row r="33" spans="1:20">
      <c r="A33" s="22"/>
      <c r="B33" s="19"/>
      <c r="C33" s="19"/>
      <c r="D33" s="19"/>
      <c r="E33" s="19"/>
      <c r="F33" s="19"/>
      <c r="G33" s="19"/>
      <c r="H33" s="19"/>
      <c r="I33" s="19"/>
      <c r="J33" s="19"/>
      <c r="K33" s="19"/>
      <c r="L33" s="22" t="s">
        <v>442</v>
      </c>
      <c r="M33" s="22"/>
      <c r="N33" s="21"/>
      <c r="O33" s="21"/>
      <c r="P33" s="19"/>
      <c r="Q33" s="19"/>
      <c r="R33" s="19"/>
      <c r="S33" s="19"/>
      <c r="T33" s="19"/>
    </row>
    <row r="34" spans="1:20">
      <c r="A34" s="22" t="s">
        <v>330</v>
      </c>
      <c r="B34" s="21"/>
      <c r="C34" s="21"/>
      <c r="D34" s="21"/>
      <c r="E34" s="21"/>
      <c r="F34" s="21">
        <f>+(F28-B28)/B28</f>
        <v>2.0779220779220779E-2</v>
      </c>
      <c r="G34" s="21">
        <f>+(G28-C28)/C28</f>
        <v>1.571294559099437E-2</v>
      </c>
      <c r="H34" s="21">
        <f>+(H28-D28)/D28</f>
        <v>-0.21298405466970388</v>
      </c>
      <c r="I34" s="21">
        <f>+(I28-E28)/E28</f>
        <v>8.3792048929663604E-2</v>
      </c>
      <c r="J34" s="21"/>
      <c r="K34" s="21"/>
      <c r="L34" s="22" t="s">
        <v>442</v>
      </c>
      <c r="M34" s="21"/>
      <c r="N34" s="21">
        <f>+(N28-M28)/M28</f>
        <v>6.867412520828374E-2</v>
      </c>
      <c r="O34" s="21">
        <f>+(O28-N28)/N28</f>
        <v>5.4905891524668668E-2</v>
      </c>
      <c r="P34" s="21">
        <f>+(P28-O28)/O28</f>
        <v>7.7069256756756759E-3</v>
      </c>
      <c r="Q34" s="22"/>
      <c r="R34" s="22"/>
      <c r="S34" s="22"/>
      <c r="T34" s="22"/>
    </row>
    <row r="35" spans="1:20">
      <c r="A35" s="22" t="s">
        <v>331</v>
      </c>
      <c r="B35" s="21"/>
      <c r="C35" s="21"/>
      <c r="D35" s="21"/>
      <c r="E35" s="21"/>
      <c r="F35" s="21">
        <f t="shared" ref="F35:I38" si="23">+(F29-B29)/B29</f>
        <v>5.4573016675088432E-2</v>
      </c>
      <c r="G35" s="21">
        <f t="shared" si="23"/>
        <v>3.7411148522259632E-3</v>
      </c>
      <c r="H35" s="21">
        <f t="shared" si="23"/>
        <v>-0.35318275154004108</v>
      </c>
      <c r="I35" s="21">
        <f t="shared" si="23"/>
        <v>7.8746177370030576E-2</v>
      </c>
      <c r="J35" s="21"/>
      <c r="K35" s="21"/>
      <c r="L35" s="22" t="s">
        <v>442</v>
      </c>
      <c r="M35" s="21"/>
      <c r="N35" s="21">
        <f t="shared" ref="N35:O38" si="24">+(N29-M29)/M29</f>
        <v>5.9985760056959769E-2</v>
      </c>
      <c r="O35" s="21">
        <f t="shared" si="24"/>
        <v>8.2619647355163722E-2</v>
      </c>
      <c r="P35" s="21">
        <f t="shared" ref="P35" si="25">+(P29-O29)/O29</f>
        <v>7.6004343105320303E-3</v>
      </c>
      <c r="Q35" s="22"/>
      <c r="R35" s="22"/>
      <c r="S35" s="22"/>
      <c r="T35" s="22"/>
    </row>
    <row r="36" spans="1:20">
      <c r="A36" s="22" t="s">
        <v>332</v>
      </c>
      <c r="B36" s="21"/>
      <c r="C36" s="21"/>
      <c r="D36" s="21"/>
      <c r="E36" s="21"/>
      <c r="F36" s="21">
        <f t="shared" si="23"/>
        <v>8.5501858736059477E-2</v>
      </c>
      <c r="G36" s="21">
        <f t="shared" si="23"/>
        <v>4.9402390438247012E-2</v>
      </c>
      <c r="H36" s="21">
        <f t="shared" si="23"/>
        <v>-0.13227513227513227</v>
      </c>
      <c r="I36" s="21">
        <f t="shared" si="23"/>
        <v>6.2068965517241378E-2</v>
      </c>
      <c r="J36" s="21"/>
      <c r="K36" s="21"/>
      <c r="L36" s="22" t="s">
        <v>442</v>
      </c>
      <c r="M36" s="21"/>
      <c r="N36" s="21">
        <f t="shared" si="24"/>
        <v>0.15433673469387754</v>
      </c>
      <c r="O36" s="21">
        <f t="shared" si="24"/>
        <v>2.6519337016574586E-2</v>
      </c>
      <c r="P36" s="21">
        <f t="shared" ref="P36" si="26">+(P30-O30)/O30</f>
        <v>3.7136706135629707E-2</v>
      </c>
      <c r="Q36" s="22"/>
      <c r="R36" s="22"/>
      <c r="S36" s="22"/>
      <c r="T36" s="22"/>
    </row>
    <row r="37" spans="1:20">
      <c r="A37" s="22" t="s">
        <v>333</v>
      </c>
      <c r="B37" s="21"/>
      <c r="C37" s="21"/>
      <c r="D37" s="21"/>
      <c r="E37" s="21"/>
      <c r="F37" s="21">
        <f t="shared" si="23"/>
        <v>-0.18604651162790697</v>
      </c>
      <c r="G37" s="21">
        <f t="shared" si="23"/>
        <v>-4.1237113402061855E-2</v>
      </c>
      <c r="H37" s="21">
        <f t="shared" si="23"/>
        <v>-4.9295774647887321E-2</v>
      </c>
      <c r="I37" s="21">
        <f t="shared" si="23"/>
        <v>0.22535211267605634</v>
      </c>
      <c r="J37" s="21"/>
      <c r="K37" s="21"/>
      <c r="L37" s="22" t="s">
        <v>442</v>
      </c>
      <c r="M37" s="21"/>
      <c r="N37" s="21">
        <f t="shared" si="24"/>
        <v>-5.0531914893617018E-2</v>
      </c>
      <c r="O37" s="21">
        <f t="shared" si="24"/>
        <v>-8.4033613445378148E-3</v>
      </c>
      <c r="P37" s="21">
        <f t="shared" ref="P37" si="27">+(P31-O31)/O31</f>
        <v>-7.7683615819209045E-2</v>
      </c>
      <c r="Q37" s="22"/>
      <c r="R37" s="22"/>
      <c r="S37" s="22"/>
      <c r="T37" s="22"/>
    </row>
    <row r="38" spans="1:20">
      <c r="A38" s="22" t="s">
        <v>334</v>
      </c>
      <c r="B38" s="21"/>
      <c r="C38" s="21"/>
      <c r="D38" s="21"/>
      <c r="E38" s="21"/>
      <c r="F38" s="21">
        <f t="shared" si="23"/>
        <v>-0.13013698630136986</v>
      </c>
      <c r="G38" s="21">
        <f t="shared" si="23"/>
        <v>2.1126760563380281E-2</v>
      </c>
      <c r="H38" s="21">
        <f t="shared" si="23"/>
        <v>0.28333333333333333</v>
      </c>
      <c r="I38" s="21">
        <f t="shared" si="23"/>
        <v>8.1081081081081086E-2</v>
      </c>
      <c r="J38" s="21"/>
      <c r="K38" s="21"/>
      <c r="L38" s="22" t="s">
        <v>442</v>
      </c>
      <c r="M38" s="21"/>
      <c r="N38" s="21">
        <f t="shared" si="24"/>
        <v>7.7586206896551727E-2</v>
      </c>
      <c r="O38" s="21">
        <f t="shared" si="24"/>
        <v>-8.2000000000000003E-2</v>
      </c>
      <c r="P38" s="21">
        <f t="shared" ref="P38" si="28">+(P32-O32)/O32</f>
        <v>2.178649237472767E-2</v>
      </c>
      <c r="Q38" s="22"/>
      <c r="R38" s="22"/>
      <c r="S38" s="22"/>
      <c r="T38" s="22"/>
    </row>
    <row r="39" spans="1:20">
      <c r="A39" s="22"/>
      <c r="B39" s="21"/>
      <c r="C39" s="21"/>
      <c r="D39" s="21"/>
      <c r="E39" s="21"/>
      <c r="F39" s="21"/>
      <c r="G39" s="21"/>
      <c r="H39" s="21"/>
      <c r="I39" s="21"/>
      <c r="J39" s="21"/>
      <c r="K39" s="21"/>
      <c r="L39" s="22" t="s">
        <v>442</v>
      </c>
      <c r="M39" s="21"/>
      <c r="N39" s="21"/>
      <c r="O39" s="21"/>
      <c r="P39" s="21"/>
      <c r="Q39" s="22"/>
      <c r="R39" s="22"/>
      <c r="S39" s="22"/>
      <c r="T39" s="22"/>
    </row>
    <row r="40" spans="1:20">
      <c r="A40" s="22" t="s">
        <v>452</v>
      </c>
      <c r="B40" s="21"/>
      <c r="C40" s="21">
        <f t="shared" ref="C40:I40" si="29">+(C28-B28)/B28</f>
        <v>0.58218923933209643</v>
      </c>
      <c r="D40" s="21">
        <f t="shared" si="29"/>
        <v>-0.79409005628517826</v>
      </c>
      <c r="E40" s="21">
        <f t="shared" si="29"/>
        <v>0.86218678815489747</v>
      </c>
      <c r="F40" s="21">
        <f t="shared" si="29"/>
        <v>0.68256880733944958</v>
      </c>
      <c r="G40" s="21">
        <f t="shared" si="29"/>
        <v>0.57433660487095606</v>
      </c>
      <c r="H40" s="21">
        <f t="shared" si="29"/>
        <v>-0.84045255137381669</v>
      </c>
      <c r="I40" s="21">
        <f t="shared" si="29"/>
        <v>1.5643994211287988</v>
      </c>
      <c r="J40" s="21"/>
      <c r="K40" s="21"/>
      <c r="L40" s="22" t="s">
        <v>442</v>
      </c>
      <c r="M40" s="21"/>
      <c r="N40" s="21"/>
      <c r="O40" s="21"/>
      <c r="P40" s="21"/>
      <c r="Q40" s="22"/>
      <c r="R40" s="22"/>
      <c r="S40" s="22"/>
      <c r="T40" s="22"/>
    </row>
    <row r="41" spans="1:20">
      <c r="A41" s="22" t="s">
        <v>453</v>
      </c>
      <c r="B41" s="21"/>
      <c r="C41" s="21">
        <f t="shared" ref="C41:D44" si="30">+(C29-B29)/B29</f>
        <v>0.35068216270843861</v>
      </c>
      <c r="D41" s="21">
        <f t="shared" si="30"/>
        <v>-0.81780770669659564</v>
      </c>
      <c r="E41" s="21">
        <f t="shared" ref="E41:I44" si="31">+(E29-D29)/D29</f>
        <v>1.6858316221765914</v>
      </c>
      <c r="F41" s="21">
        <f t="shared" si="31"/>
        <v>0.59556574923547401</v>
      </c>
      <c r="G41" s="21">
        <f t="shared" si="31"/>
        <v>0.28557738380450409</v>
      </c>
      <c r="H41" s="21">
        <f t="shared" si="31"/>
        <v>-0.8825941110696981</v>
      </c>
      <c r="I41" s="21">
        <f t="shared" si="31"/>
        <v>3.4793650793650794</v>
      </c>
      <c r="J41" s="21"/>
      <c r="K41" s="21"/>
      <c r="L41" s="22" t="s">
        <v>442</v>
      </c>
      <c r="M41" s="21"/>
      <c r="N41" s="21"/>
      <c r="O41" s="21"/>
      <c r="P41" s="21"/>
      <c r="Q41" s="22"/>
      <c r="R41" s="22"/>
      <c r="S41" s="22"/>
      <c r="T41" s="22"/>
    </row>
    <row r="42" spans="1:20">
      <c r="A42" s="22" t="s">
        <v>454</v>
      </c>
      <c r="B42" s="21"/>
      <c r="C42" s="21">
        <f t="shared" si="30"/>
        <v>3.6654275092936803</v>
      </c>
      <c r="D42" s="21">
        <f t="shared" si="30"/>
        <v>-0.84940239043824706</v>
      </c>
      <c r="E42" s="21">
        <f t="shared" si="31"/>
        <v>-0.23280423280423279</v>
      </c>
      <c r="F42" s="21">
        <f t="shared" si="31"/>
        <v>1.0137931034482759</v>
      </c>
      <c r="G42" s="21">
        <f t="shared" si="31"/>
        <v>3.5102739726027399</v>
      </c>
      <c r="H42" s="21">
        <f t="shared" si="31"/>
        <v>-0.87547456340167051</v>
      </c>
      <c r="I42" s="21">
        <f t="shared" si="31"/>
        <v>-6.097560975609756E-2</v>
      </c>
      <c r="J42" s="21"/>
      <c r="K42" s="21"/>
      <c r="L42" s="22" t="s">
        <v>442</v>
      </c>
      <c r="M42" s="21"/>
      <c r="N42" s="21"/>
      <c r="O42" s="21"/>
      <c r="P42" s="21"/>
      <c r="Q42" s="22"/>
      <c r="R42" s="22"/>
      <c r="S42" s="22"/>
      <c r="T42" s="22"/>
    </row>
    <row r="43" spans="1:20">
      <c r="A43" s="22" t="s">
        <v>455</v>
      </c>
      <c r="B43" s="21"/>
      <c r="C43" s="21">
        <f t="shared" si="30"/>
        <v>-0.35548172757475083</v>
      </c>
      <c r="D43" s="21">
        <f t="shared" si="30"/>
        <v>-0.26804123711340205</v>
      </c>
      <c r="E43" s="21">
        <f t="shared" si="31"/>
        <v>-0.5</v>
      </c>
      <c r="F43" s="21">
        <f t="shared" si="31"/>
        <v>2.4507042253521125</v>
      </c>
      <c r="G43" s="21">
        <f t="shared" si="31"/>
        <v>-0.24081632653061225</v>
      </c>
      <c r="H43" s="21">
        <f t="shared" si="31"/>
        <v>-0.27419354838709675</v>
      </c>
      <c r="I43" s="21">
        <f t="shared" si="31"/>
        <v>-0.35555555555555557</v>
      </c>
      <c r="J43" s="21"/>
      <c r="K43" s="21"/>
      <c r="L43" s="22" t="s">
        <v>442</v>
      </c>
      <c r="M43" s="21"/>
      <c r="N43" s="21"/>
      <c r="O43" s="21"/>
      <c r="P43" s="21"/>
      <c r="Q43" s="22"/>
      <c r="R43" s="22"/>
      <c r="S43" s="22"/>
      <c r="T43" s="22"/>
    </row>
    <row r="44" spans="1:20">
      <c r="A44" s="22" t="s">
        <v>456</v>
      </c>
      <c r="B44" s="21"/>
      <c r="C44" s="21">
        <f t="shared" si="30"/>
        <v>-2.7397260273972601E-2</v>
      </c>
      <c r="D44" s="21">
        <f t="shared" si="30"/>
        <v>-0.57746478873239437</v>
      </c>
      <c r="E44" s="21">
        <f t="shared" si="31"/>
        <v>0.85</v>
      </c>
      <c r="F44" s="21">
        <f t="shared" si="31"/>
        <v>0.14414414414414414</v>
      </c>
      <c r="G44" s="21">
        <f t="shared" si="31"/>
        <v>0.14173228346456693</v>
      </c>
      <c r="H44" s="21">
        <f t="shared" si="31"/>
        <v>-0.4689655172413793</v>
      </c>
      <c r="I44" s="21">
        <f t="shared" si="31"/>
        <v>0.55844155844155841</v>
      </c>
      <c r="J44" s="21"/>
      <c r="K44" s="21"/>
      <c r="L44" s="22" t="s">
        <v>442</v>
      </c>
      <c r="M44" s="21"/>
      <c r="N44" s="21"/>
      <c r="O44" s="21"/>
      <c r="P44" s="21"/>
      <c r="Q44" s="22"/>
      <c r="R44" s="22"/>
      <c r="S44" s="22"/>
      <c r="T44" s="22"/>
    </row>
    <row r="45" spans="1:20">
      <c r="A45" s="22"/>
      <c r="B45" s="19"/>
      <c r="C45" s="19"/>
      <c r="D45" s="19"/>
      <c r="E45" s="19"/>
      <c r="F45" s="19"/>
      <c r="G45" s="19"/>
      <c r="H45" s="19"/>
      <c r="I45" s="19"/>
      <c r="J45" s="19"/>
      <c r="K45" s="19"/>
      <c r="L45" s="22" t="s">
        <v>442</v>
      </c>
      <c r="M45" s="22"/>
      <c r="N45" s="21"/>
      <c r="O45" s="21"/>
      <c r="P45" s="19"/>
      <c r="Q45" s="19"/>
      <c r="R45" s="19"/>
      <c r="S45" s="19"/>
      <c r="T45" s="19"/>
    </row>
    <row r="46" spans="1:20" s="10" customFormat="1">
      <c r="A46" s="23" t="s">
        <v>339</v>
      </c>
      <c r="B46" s="23">
        <f t="shared" ref="B46" si="32">+SUM(B47:B50)</f>
        <v>2695</v>
      </c>
      <c r="C46" s="23">
        <f t="shared" ref="C46" si="33">+SUM(C47:C50)</f>
        <v>4264</v>
      </c>
      <c r="D46" s="23">
        <f t="shared" ref="D46" si="34">+SUM(D47:D50)</f>
        <v>878</v>
      </c>
      <c r="E46" s="23">
        <f t="shared" ref="E46" si="35">+SUM(E47:E50)</f>
        <v>1635</v>
      </c>
      <c r="F46" s="23">
        <f t="shared" ref="F46" si="36">+SUM(F47:F50)</f>
        <v>2751</v>
      </c>
      <c r="G46" s="23">
        <f t="shared" ref="G46:H46" si="37">+SUM(G47:G50)</f>
        <v>4331</v>
      </c>
      <c r="H46" s="23">
        <f t="shared" si="37"/>
        <v>691</v>
      </c>
      <c r="I46" s="23">
        <f t="shared" ref="I46:J46" si="38">+SUM(I47:I50)</f>
        <v>1772</v>
      </c>
      <c r="J46" s="23">
        <f t="shared" si="38"/>
        <v>0</v>
      </c>
      <c r="K46" s="23">
        <f t="shared" ref="K46" si="39">+SUM(K47:K50)</f>
        <v>0</v>
      </c>
      <c r="L46" s="22" t="s">
        <v>442</v>
      </c>
      <c r="M46" s="23">
        <f>+SUM(M47:M50)</f>
        <v>8402</v>
      </c>
      <c r="N46" s="23">
        <f t="shared" ref="N46:P46" si="40">+SUM(N47:N50)</f>
        <v>8979</v>
      </c>
      <c r="O46" s="23">
        <f t="shared" si="40"/>
        <v>9472</v>
      </c>
      <c r="P46" s="23">
        <f t="shared" si="40"/>
        <v>9545</v>
      </c>
      <c r="Q46" s="20"/>
      <c r="R46" s="20"/>
      <c r="S46" s="20"/>
      <c r="T46" s="20"/>
    </row>
    <row r="47" spans="1:20" s="10" customFormat="1">
      <c r="A47" s="20" t="s">
        <v>357</v>
      </c>
      <c r="B47" s="20">
        <v>1323</v>
      </c>
      <c r="C47" s="20">
        <v>3696</v>
      </c>
      <c r="D47" s="20">
        <v>173</v>
      </c>
      <c r="E47" s="20">
        <f>+O47-SUM(B47:D47)</f>
        <v>576</v>
      </c>
      <c r="F47" s="20">
        <v>1471</v>
      </c>
      <c r="G47" s="20">
        <v>3753</v>
      </c>
      <c r="H47" s="20">
        <v>170</v>
      </c>
      <c r="I47" s="20">
        <f t="shared" ref="I47:I50" si="41">+P47-SUM(F47:H47)</f>
        <v>639</v>
      </c>
      <c r="J47" s="20"/>
      <c r="K47" s="20"/>
      <c r="L47" s="22" t="s">
        <v>442</v>
      </c>
      <c r="M47" s="20">
        <v>5004</v>
      </c>
      <c r="N47" s="20">
        <v>5178</v>
      </c>
      <c r="O47" s="20">
        <v>5768</v>
      </c>
      <c r="P47" s="20">
        <v>6033</v>
      </c>
      <c r="Q47" s="20"/>
      <c r="R47" s="20"/>
      <c r="S47" s="20"/>
      <c r="T47" s="20"/>
    </row>
    <row r="48" spans="1:20" s="10" customFormat="1">
      <c r="A48" s="20" t="s">
        <v>358</v>
      </c>
      <c r="B48" s="20">
        <v>1012</v>
      </c>
      <c r="C48" s="20">
        <v>231</v>
      </c>
      <c r="D48" s="20">
        <v>198</v>
      </c>
      <c r="E48" s="20">
        <f>+O48-SUM(B48:D48)</f>
        <v>181</v>
      </c>
      <c r="F48" s="20">
        <v>918</v>
      </c>
      <c r="G48" s="20">
        <v>251</v>
      </c>
      <c r="H48" s="20">
        <v>196</v>
      </c>
      <c r="I48" s="20">
        <f t="shared" si="41"/>
        <v>216</v>
      </c>
      <c r="J48" s="20"/>
      <c r="K48" s="20"/>
      <c r="L48" s="22" t="s">
        <v>442</v>
      </c>
      <c r="M48" s="20">
        <v>1599</v>
      </c>
      <c r="N48" s="20">
        <v>1609</v>
      </c>
      <c r="O48" s="20">
        <v>1622</v>
      </c>
      <c r="P48" s="20">
        <v>1581</v>
      </c>
      <c r="Q48" s="20"/>
      <c r="R48" s="20"/>
      <c r="S48" s="20"/>
      <c r="T48" s="20"/>
    </row>
    <row r="49" spans="1:20" s="10" customFormat="1">
      <c r="A49" s="20" t="s">
        <v>359</v>
      </c>
      <c r="B49" s="20">
        <v>259</v>
      </c>
      <c r="C49" s="20">
        <v>208</v>
      </c>
      <c r="D49" s="20">
        <v>380</v>
      </c>
      <c r="E49" s="20">
        <f>+O49-SUM(B49:D49)</f>
        <v>790</v>
      </c>
      <c r="F49" s="20">
        <v>271</v>
      </c>
      <c r="G49" s="20">
        <v>207</v>
      </c>
      <c r="H49" s="20">
        <v>218</v>
      </c>
      <c r="I49" s="20">
        <f t="shared" si="41"/>
        <v>827</v>
      </c>
      <c r="J49" s="20"/>
      <c r="K49" s="20"/>
      <c r="L49" s="22" t="s">
        <v>442</v>
      </c>
      <c r="M49" s="20">
        <v>1420</v>
      </c>
      <c r="N49" s="20">
        <v>1758</v>
      </c>
      <c r="O49" s="20">
        <v>1637</v>
      </c>
      <c r="P49" s="20">
        <v>1523</v>
      </c>
      <c r="Q49" s="20"/>
      <c r="R49" s="20"/>
      <c r="S49" s="20"/>
      <c r="T49" s="20"/>
    </row>
    <row r="50" spans="1:20" s="10" customFormat="1">
      <c r="A50" s="20" t="s">
        <v>360</v>
      </c>
      <c r="B50" s="20">
        <v>101</v>
      </c>
      <c r="C50" s="20">
        <v>129</v>
      </c>
      <c r="D50" s="20">
        <v>127</v>
      </c>
      <c r="E50" s="20">
        <f>+O50-SUM(B50:D50)</f>
        <v>88</v>
      </c>
      <c r="F50" s="20">
        <v>91</v>
      </c>
      <c r="G50" s="20">
        <v>120</v>
      </c>
      <c r="H50" s="20">
        <v>107</v>
      </c>
      <c r="I50" s="20">
        <f t="shared" si="41"/>
        <v>90</v>
      </c>
      <c r="J50" s="20"/>
      <c r="K50" s="20"/>
      <c r="L50" s="22" t="s">
        <v>442</v>
      </c>
      <c r="M50" s="20">
        <v>379</v>
      </c>
      <c r="N50" s="20">
        <v>434</v>
      </c>
      <c r="O50" s="20">
        <v>445</v>
      </c>
      <c r="P50" s="20">
        <v>408</v>
      </c>
      <c r="Q50" s="20"/>
      <c r="R50" s="20"/>
      <c r="S50" s="20"/>
      <c r="T50" s="20"/>
    </row>
    <row r="51" spans="1:20">
      <c r="A51" s="22"/>
      <c r="B51" s="19"/>
      <c r="C51" s="19"/>
      <c r="D51" s="19"/>
      <c r="E51" s="19"/>
      <c r="F51" s="19"/>
      <c r="G51" s="19"/>
      <c r="H51" s="19"/>
      <c r="I51" s="19"/>
      <c r="J51" s="19"/>
      <c r="K51" s="19"/>
      <c r="L51" s="22" t="s">
        <v>442</v>
      </c>
      <c r="M51" s="22"/>
      <c r="N51" s="21"/>
      <c r="O51" s="21"/>
      <c r="P51" s="19"/>
      <c r="Q51" s="19"/>
      <c r="R51" s="19"/>
      <c r="S51" s="19"/>
      <c r="T51" s="19"/>
    </row>
    <row r="52" spans="1:20">
      <c r="A52" s="22" t="s">
        <v>338</v>
      </c>
      <c r="B52" s="21"/>
      <c r="C52" s="21"/>
      <c r="D52" s="21"/>
      <c r="E52" s="21"/>
      <c r="F52" s="21">
        <f>+(F46-B46)/B46</f>
        <v>2.0779220779220779E-2</v>
      </c>
      <c r="G52" s="21">
        <f>+(G46-C46)/C46</f>
        <v>1.571294559099437E-2</v>
      </c>
      <c r="H52" s="21">
        <f>+(H46-D46)/D46</f>
        <v>-0.21298405466970388</v>
      </c>
      <c r="I52" s="21">
        <f>+(I46-E46)/E46</f>
        <v>8.3792048929663604E-2</v>
      </c>
      <c r="J52" s="21"/>
      <c r="K52" s="21"/>
      <c r="L52" s="22" t="s">
        <v>442</v>
      </c>
      <c r="M52" s="21"/>
      <c r="N52" s="21">
        <f>+(N46-M46)/M46</f>
        <v>6.867412520828374E-2</v>
      </c>
      <c r="O52" s="21">
        <f>+(O46-N46)/N46</f>
        <v>5.4905891524668668E-2</v>
      </c>
      <c r="P52" s="21">
        <f>+(P46-O46)/O46</f>
        <v>7.7069256756756759E-3</v>
      </c>
      <c r="Q52" s="19"/>
      <c r="R52" s="19"/>
      <c r="S52" s="19"/>
      <c r="T52" s="19"/>
    </row>
    <row r="53" spans="1:20">
      <c r="A53" s="22" t="s">
        <v>363</v>
      </c>
      <c r="B53" s="21"/>
      <c r="C53" s="21"/>
      <c r="D53" s="21"/>
      <c r="E53" s="21"/>
      <c r="F53" s="21">
        <f t="shared" ref="F53:I56" si="42">+(F47-B47)/B47</f>
        <v>0.11186696900982615</v>
      </c>
      <c r="G53" s="21">
        <f t="shared" si="42"/>
        <v>1.5422077922077922E-2</v>
      </c>
      <c r="H53" s="21">
        <f t="shared" si="42"/>
        <v>-1.7341040462427744E-2</v>
      </c>
      <c r="I53" s="21">
        <f t="shared" si="42"/>
        <v>0.109375</v>
      </c>
      <c r="J53" s="21"/>
      <c r="K53" s="21"/>
      <c r="L53" s="22" t="s">
        <v>442</v>
      </c>
      <c r="M53" s="21"/>
      <c r="N53" s="21">
        <f t="shared" ref="N53:P56" si="43">+(N47-M47)/M47</f>
        <v>3.4772182254196642E-2</v>
      </c>
      <c r="O53" s="21">
        <f t="shared" si="43"/>
        <v>0.11394360757049053</v>
      </c>
      <c r="P53" s="21">
        <f t="shared" si="43"/>
        <v>4.5943134535367545E-2</v>
      </c>
      <c r="Q53" s="19"/>
      <c r="R53" s="19"/>
      <c r="S53" s="19"/>
      <c r="T53" s="19"/>
    </row>
    <row r="54" spans="1:20">
      <c r="A54" s="22" t="s">
        <v>364</v>
      </c>
      <c r="B54" s="21"/>
      <c r="C54" s="21"/>
      <c r="D54" s="21"/>
      <c r="E54" s="21"/>
      <c r="F54" s="21">
        <f t="shared" si="42"/>
        <v>-9.2885375494071151E-2</v>
      </c>
      <c r="G54" s="21">
        <f t="shared" si="42"/>
        <v>8.6580086580086577E-2</v>
      </c>
      <c r="H54" s="21">
        <f t="shared" si="42"/>
        <v>-1.0101010101010102E-2</v>
      </c>
      <c r="I54" s="21">
        <f t="shared" si="42"/>
        <v>0.19337016574585636</v>
      </c>
      <c r="J54" s="21"/>
      <c r="K54" s="21"/>
      <c r="L54" s="22" t="s">
        <v>442</v>
      </c>
      <c r="M54" s="21"/>
      <c r="N54" s="21">
        <f t="shared" ref="N54:O54" si="44">+(N48-M48)/M48</f>
        <v>6.2539086929330832E-3</v>
      </c>
      <c r="O54" s="21">
        <f t="shared" si="44"/>
        <v>8.0795525170913613E-3</v>
      </c>
      <c r="P54" s="21">
        <f t="shared" si="43"/>
        <v>-2.5277435265104811E-2</v>
      </c>
      <c r="Q54" s="19"/>
      <c r="R54" s="19"/>
      <c r="S54" s="19"/>
      <c r="T54" s="19"/>
    </row>
    <row r="55" spans="1:20">
      <c r="A55" s="22" t="s">
        <v>365</v>
      </c>
      <c r="B55" s="21"/>
      <c r="C55" s="21"/>
      <c r="D55" s="21"/>
      <c r="E55" s="21"/>
      <c r="F55" s="21">
        <f t="shared" si="42"/>
        <v>4.633204633204633E-2</v>
      </c>
      <c r="G55" s="21">
        <f t="shared" si="42"/>
        <v>-4.807692307692308E-3</v>
      </c>
      <c r="H55" s="21">
        <f t="shared" si="42"/>
        <v>-0.4263157894736842</v>
      </c>
      <c r="I55" s="21">
        <f t="shared" si="42"/>
        <v>4.6835443037974683E-2</v>
      </c>
      <c r="J55" s="21"/>
      <c r="K55" s="21"/>
      <c r="L55" s="22" t="s">
        <v>442</v>
      </c>
      <c r="M55" s="21"/>
      <c r="N55" s="21">
        <f t="shared" ref="N55:O55" si="45">+(N49-M49)/M49</f>
        <v>0.2380281690140845</v>
      </c>
      <c r="O55" s="21">
        <f t="shared" si="45"/>
        <v>-6.882821387940842E-2</v>
      </c>
      <c r="P55" s="21">
        <f t="shared" si="43"/>
        <v>-6.9639584605986557E-2</v>
      </c>
      <c r="Q55" s="19"/>
      <c r="R55" s="19"/>
      <c r="S55" s="19"/>
      <c r="T55" s="19"/>
    </row>
    <row r="56" spans="1:20">
      <c r="A56" s="22" t="s">
        <v>366</v>
      </c>
      <c r="B56" s="21"/>
      <c r="C56" s="21"/>
      <c r="D56" s="21"/>
      <c r="E56" s="21"/>
      <c r="F56" s="21">
        <f t="shared" si="42"/>
        <v>-9.9009900990099015E-2</v>
      </c>
      <c r="G56" s="21">
        <f t="shared" si="42"/>
        <v>-6.9767441860465115E-2</v>
      </c>
      <c r="H56" s="21">
        <f t="shared" si="42"/>
        <v>-0.15748031496062992</v>
      </c>
      <c r="I56" s="21">
        <f t="shared" si="42"/>
        <v>2.2727272727272728E-2</v>
      </c>
      <c r="J56" s="21"/>
      <c r="K56" s="21"/>
      <c r="L56" s="22" t="s">
        <v>442</v>
      </c>
      <c r="M56" s="21"/>
      <c r="N56" s="21">
        <f t="shared" ref="N56:O56" si="46">+(N50-M50)/M50</f>
        <v>0.14511873350923482</v>
      </c>
      <c r="O56" s="21">
        <f t="shared" si="46"/>
        <v>2.5345622119815669E-2</v>
      </c>
      <c r="P56" s="21">
        <f t="shared" si="43"/>
        <v>-8.3146067415730343E-2</v>
      </c>
      <c r="Q56" s="19"/>
      <c r="R56" s="19"/>
      <c r="S56" s="19"/>
      <c r="T56" s="19"/>
    </row>
    <row r="57" spans="1:20">
      <c r="A57" s="22"/>
      <c r="B57" s="21"/>
      <c r="C57" s="21"/>
      <c r="D57" s="21"/>
      <c r="E57" s="21"/>
      <c r="F57" s="21"/>
      <c r="G57" s="21"/>
      <c r="H57" s="21"/>
      <c r="I57" s="21"/>
      <c r="J57" s="21"/>
      <c r="K57" s="21"/>
      <c r="L57" s="22" t="s">
        <v>442</v>
      </c>
      <c r="M57" s="21"/>
      <c r="N57" s="21"/>
      <c r="O57" s="21"/>
      <c r="P57" s="21"/>
      <c r="Q57" s="19"/>
      <c r="R57" s="19"/>
      <c r="S57" s="19"/>
      <c r="T57" s="19"/>
    </row>
    <row r="58" spans="1:20">
      <c r="A58" s="22" t="s">
        <v>457</v>
      </c>
      <c r="B58" s="21"/>
      <c r="C58" s="21">
        <f t="shared" ref="C58:I58" si="47">+(C46-B46)/B46</f>
        <v>0.58218923933209643</v>
      </c>
      <c r="D58" s="21">
        <f t="shared" si="47"/>
        <v>-0.79409005628517826</v>
      </c>
      <c r="E58" s="21">
        <f t="shared" si="47"/>
        <v>0.86218678815489747</v>
      </c>
      <c r="F58" s="21">
        <f t="shared" si="47"/>
        <v>0.68256880733944958</v>
      </c>
      <c r="G58" s="21">
        <f t="shared" si="47"/>
        <v>0.57433660487095606</v>
      </c>
      <c r="H58" s="21">
        <f t="shared" si="47"/>
        <v>-0.84045255137381669</v>
      </c>
      <c r="I58" s="21">
        <f t="shared" si="47"/>
        <v>1.5643994211287988</v>
      </c>
      <c r="J58" s="21"/>
      <c r="K58" s="21"/>
      <c r="L58" s="22" t="s">
        <v>442</v>
      </c>
      <c r="M58" s="21"/>
      <c r="N58" s="21" t="e">
        <f>+(N52-M52)/M52</f>
        <v>#DIV/0!</v>
      </c>
      <c r="O58" s="21">
        <f>+(O52-N52)/N52</f>
        <v>-0.20048648077943473</v>
      </c>
      <c r="P58" s="21">
        <f>+(P52-O52)/O52</f>
        <v>-0.85963390336330237</v>
      </c>
      <c r="Q58" s="19"/>
      <c r="R58" s="19"/>
      <c r="S58" s="19"/>
      <c r="T58" s="19"/>
    </row>
    <row r="59" spans="1:20">
      <c r="A59" s="22" t="s">
        <v>458</v>
      </c>
      <c r="B59" s="21"/>
      <c r="C59" s="21">
        <f t="shared" ref="C59:I62" si="48">+(C47-B47)/B47</f>
        <v>1.7936507936507937</v>
      </c>
      <c r="D59" s="21">
        <f t="shared" si="48"/>
        <v>-0.95319264069264065</v>
      </c>
      <c r="E59" s="21">
        <f t="shared" si="48"/>
        <v>2.3294797687861273</v>
      </c>
      <c r="F59" s="21">
        <f t="shared" si="48"/>
        <v>1.5538194444444444</v>
      </c>
      <c r="G59" s="21">
        <f t="shared" si="48"/>
        <v>1.5513256288239292</v>
      </c>
      <c r="H59" s="21">
        <f t="shared" si="48"/>
        <v>-0.95470290434319216</v>
      </c>
      <c r="I59" s="21">
        <f t="shared" si="48"/>
        <v>2.7588235294117647</v>
      </c>
      <c r="J59" s="21"/>
      <c r="K59" s="21"/>
      <c r="L59" s="22" t="s">
        <v>442</v>
      </c>
      <c r="M59" s="21"/>
      <c r="N59" s="21" t="e">
        <f t="shared" ref="N59:N62" si="49">+(N53-M53)/M53</f>
        <v>#DIV/0!</v>
      </c>
      <c r="O59" s="21">
        <f t="shared" ref="O59:O62" si="50">+(O53-N53)/N53</f>
        <v>2.2768609901306589</v>
      </c>
      <c r="P59" s="21">
        <f t="shared" ref="P59:P62" si="51">+(P53-O53)/O53</f>
        <v>-0.5967905921624862</v>
      </c>
      <c r="Q59" s="19"/>
      <c r="R59" s="19"/>
      <c r="S59" s="19"/>
      <c r="T59" s="19"/>
    </row>
    <row r="60" spans="1:20">
      <c r="A60" s="22" t="s">
        <v>459</v>
      </c>
      <c r="B60" s="21"/>
      <c r="C60" s="21">
        <f t="shared" si="48"/>
        <v>-0.77173913043478259</v>
      </c>
      <c r="D60" s="21">
        <f t="shared" si="48"/>
        <v>-0.14285714285714285</v>
      </c>
      <c r="E60" s="21">
        <f t="shared" si="48"/>
        <v>-8.5858585858585856E-2</v>
      </c>
      <c r="F60" s="21">
        <f t="shared" si="48"/>
        <v>4.0718232044198892</v>
      </c>
      <c r="G60" s="21">
        <f t="shared" si="48"/>
        <v>-0.7265795206971678</v>
      </c>
      <c r="H60" s="21">
        <f t="shared" si="48"/>
        <v>-0.21912350597609562</v>
      </c>
      <c r="I60" s="21">
        <f t="shared" si="48"/>
        <v>0.10204081632653061</v>
      </c>
      <c r="J60" s="21"/>
      <c r="K60" s="21"/>
      <c r="L60" s="22" t="s">
        <v>442</v>
      </c>
      <c r="M60" s="21"/>
      <c r="N60" s="21" t="e">
        <f t="shared" si="49"/>
        <v>#DIV/0!</v>
      </c>
      <c r="O60" s="21">
        <f t="shared" si="50"/>
        <v>0.29192044748290868</v>
      </c>
      <c r="P60" s="21">
        <f t="shared" si="51"/>
        <v>-4.1285687185810493</v>
      </c>
      <c r="Q60" s="19"/>
      <c r="R60" s="19"/>
      <c r="S60" s="19"/>
      <c r="T60" s="19"/>
    </row>
    <row r="61" spans="1:20">
      <c r="A61" s="22" t="s">
        <v>460</v>
      </c>
      <c r="B61" s="21"/>
      <c r="C61" s="21">
        <f t="shared" si="48"/>
        <v>-0.19691119691119691</v>
      </c>
      <c r="D61" s="21">
        <f t="shared" si="48"/>
        <v>0.82692307692307687</v>
      </c>
      <c r="E61" s="21">
        <f t="shared" si="48"/>
        <v>1.0789473684210527</v>
      </c>
      <c r="F61" s="21">
        <f t="shared" si="48"/>
        <v>-0.65696202531645564</v>
      </c>
      <c r="G61" s="21">
        <f t="shared" si="48"/>
        <v>-0.23616236162361623</v>
      </c>
      <c r="H61" s="21">
        <f t="shared" si="48"/>
        <v>5.3140096618357488E-2</v>
      </c>
      <c r="I61" s="21">
        <f t="shared" si="48"/>
        <v>2.7935779816513762</v>
      </c>
      <c r="J61" s="21"/>
      <c r="K61" s="21"/>
      <c r="L61" s="22" t="s">
        <v>442</v>
      </c>
      <c r="M61" s="21"/>
      <c r="N61" s="21" t="e">
        <f t="shared" si="49"/>
        <v>#DIV/0!</v>
      </c>
      <c r="O61" s="21">
        <f t="shared" si="50"/>
        <v>-1.289159951801065</v>
      </c>
      <c r="P61" s="21">
        <f t="shared" si="51"/>
        <v>1.1788344936564993E-2</v>
      </c>
      <c r="Q61" s="19"/>
      <c r="R61" s="19"/>
      <c r="S61" s="19"/>
      <c r="T61" s="19"/>
    </row>
    <row r="62" spans="1:20">
      <c r="A62" s="22" t="s">
        <v>461</v>
      </c>
      <c r="B62" s="21"/>
      <c r="C62" s="21">
        <f t="shared" si="48"/>
        <v>0.27722772277227725</v>
      </c>
      <c r="D62" s="21">
        <f t="shared" si="48"/>
        <v>-1.5503875968992248E-2</v>
      </c>
      <c r="E62" s="21">
        <f t="shared" si="48"/>
        <v>-0.30708661417322836</v>
      </c>
      <c r="F62" s="21">
        <f t="shared" si="48"/>
        <v>3.4090909090909088E-2</v>
      </c>
      <c r="G62" s="21">
        <f t="shared" si="48"/>
        <v>0.31868131868131866</v>
      </c>
      <c r="H62" s="21">
        <f t="shared" si="48"/>
        <v>-0.10833333333333334</v>
      </c>
      <c r="I62" s="21">
        <f t="shared" si="48"/>
        <v>-0.15887850467289719</v>
      </c>
      <c r="J62" s="21"/>
      <c r="K62" s="21"/>
      <c r="L62" s="22" t="s">
        <v>442</v>
      </c>
      <c r="M62" s="21"/>
      <c r="N62" s="21" t="e">
        <f t="shared" si="49"/>
        <v>#DIV/0!</v>
      </c>
      <c r="O62" s="21">
        <f t="shared" si="50"/>
        <v>-0.82534562211981566</v>
      </c>
      <c r="P62" s="21">
        <f t="shared" si="51"/>
        <v>-4.2804902962206333</v>
      </c>
      <c r="Q62" s="19"/>
      <c r="R62" s="19"/>
      <c r="S62" s="19"/>
      <c r="T62" s="19"/>
    </row>
    <row r="63" spans="1:20">
      <c r="A63" s="22"/>
      <c r="B63" s="21"/>
      <c r="C63" s="21"/>
      <c r="D63" s="21"/>
      <c r="E63" s="21"/>
      <c r="F63" s="21"/>
      <c r="G63" s="21"/>
      <c r="H63" s="21"/>
      <c r="I63" s="21"/>
      <c r="J63" s="21"/>
      <c r="K63" s="21"/>
      <c r="L63" s="22" t="s">
        <v>442</v>
      </c>
      <c r="M63" s="21"/>
      <c r="N63" s="21"/>
      <c r="O63" s="21"/>
      <c r="P63" s="21"/>
      <c r="Q63" s="19"/>
      <c r="R63" s="19"/>
      <c r="S63" s="19"/>
      <c r="T63" s="19"/>
    </row>
    <row r="64" spans="1:20">
      <c r="A64" s="22" t="s">
        <v>233</v>
      </c>
      <c r="B64" s="19"/>
      <c r="C64" s="19"/>
      <c r="D64" s="19"/>
      <c r="E64" s="19"/>
      <c r="F64" s="19"/>
      <c r="G64" s="19"/>
      <c r="H64" s="19"/>
      <c r="I64" s="19"/>
      <c r="J64" s="19"/>
      <c r="K64" s="19"/>
      <c r="L64" s="22" t="s">
        <v>442</v>
      </c>
      <c r="M64" s="19"/>
      <c r="N64" s="19"/>
      <c r="O64" s="19"/>
      <c r="P64" s="19"/>
      <c r="Q64" s="19"/>
      <c r="R64" s="19"/>
      <c r="S64" s="19"/>
      <c r="T64" s="19"/>
    </row>
    <row r="65" spans="1:20" s="24" customFormat="1">
      <c r="A65" s="26" t="s">
        <v>234</v>
      </c>
      <c r="B65" s="26"/>
      <c r="C65" s="26"/>
      <c r="D65" s="26"/>
      <c r="E65" s="26"/>
      <c r="F65" s="26">
        <v>0.06</v>
      </c>
      <c r="G65" s="26"/>
      <c r="H65" s="26">
        <v>-0.05</v>
      </c>
      <c r="I65" s="26"/>
      <c r="J65" s="26"/>
      <c r="K65" s="26"/>
      <c r="L65" s="22" t="s">
        <v>442</v>
      </c>
      <c r="M65" s="26"/>
      <c r="N65" s="26">
        <v>0.1</v>
      </c>
      <c r="O65" s="26">
        <v>7.0000000000000007E-2</v>
      </c>
      <c r="P65" s="26">
        <v>0.03</v>
      </c>
      <c r="Q65" s="26"/>
      <c r="R65" s="26"/>
      <c r="S65" s="26"/>
      <c r="T65" s="26"/>
    </row>
    <row r="66" spans="1:20" s="24" customFormat="1">
      <c r="A66" s="26" t="s">
        <v>235</v>
      </c>
      <c r="B66" s="26"/>
      <c r="C66" s="26"/>
      <c r="D66" s="26"/>
      <c r="E66" s="26"/>
      <c r="F66" s="26">
        <v>-0.01</v>
      </c>
      <c r="G66" s="26"/>
      <c r="H66" s="26">
        <v>-0.12</v>
      </c>
      <c r="I66" s="26"/>
      <c r="J66" s="26"/>
      <c r="K66" s="26"/>
      <c r="L66" s="22" t="s">
        <v>442</v>
      </c>
      <c r="M66" s="26"/>
      <c r="N66" s="26">
        <v>0.05</v>
      </c>
      <c r="O66" s="26">
        <v>-0.1</v>
      </c>
      <c r="P66" s="26">
        <v>0.01</v>
      </c>
      <c r="Q66" s="26"/>
      <c r="R66" s="26"/>
      <c r="S66" s="26"/>
      <c r="T66" s="26"/>
    </row>
    <row r="67" spans="1:20" s="24" customFormat="1">
      <c r="A67" s="26" t="s">
        <v>236</v>
      </c>
      <c r="B67" s="26"/>
      <c r="C67" s="26"/>
      <c r="D67" s="26"/>
      <c r="E67" s="26"/>
      <c r="F67" s="26">
        <v>-0.02</v>
      </c>
      <c r="G67" s="26"/>
      <c r="H67" s="26">
        <v>-0.04</v>
      </c>
      <c r="I67" s="26"/>
      <c r="J67" s="26"/>
      <c r="K67" s="26"/>
      <c r="L67" s="22" t="s">
        <v>442</v>
      </c>
      <c r="M67" s="26"/>
      <c r="N67" s="26">
        <v>-0.03</v>
      </c>
      <c r="O67" s="26">
        <v>-0.01</v>
      </c>
      <c r="P67" s="26">
        <v>-0.02</v>
      </c>
      <c r="Q67" s="26"/>
      <c r="R67" s="26"/>
      <c r="S67" s="26"/>
      <c r="T67" s="26"/>
    </row>
    <row r="68" spans="1:20" s="24" customFormat="1">
      <c r="A68" s="26" t="s">
        <v>237</v>
      </c>
      <c r="B68" s="26"/>
      <c r="C68" s="26"/>
      <c r="D68" s="26"/>
      <c r="E68" s="26"/>
      <c r="F68" s="26">
        <v>-0.01</v>
      </c>
      <c r="G68" s="26"/>
      <c r="H68" s="26">
        <v>0</v>
      </c>
      <c r="I68" s="26"/>
      <c r="J68" s="26"/>
      <c r="K68" s="26"/>
      <c r="L68" s="22" t="s">
        <v>442</v>
      </c>
      <c r="M68" s="26"/>
      <c r="N68" s="26">
        <v>-0.01</v>
      </c>
      <c r="O68" s="26">
        <v>0.03</v>
      </c>
      <c r="P68" s="26">
        <v>-0.01</v>
      </c>
      <c r="Q68" s="26"/>
      <c r="R68" s="26"/>
      <c r="S68" s="26"/>
      <c r="T68" s="26"/>
    </row>
    <row r="69" spans="1:20">
      <c r="A69" s="3"/>
      <c r="B69" s="50"/>
      <c r="C69" s="50"/>
      <c r="D69" s="50"/>
      <c r="E69" s="50"/>
      <c r="F69" s="50"/>
      <c r="G69" s="50"/>
      <c r="H69" s="50"/>
      <c r="I69" s="50"/>
      <c r="J69" s="50"/>
      <c r="K69" s="50"/>
      <c r="L69" s="3" t="s">
        <v>442</v>
      </c>
      <c r="M69" s="50"/>
      <c r="N69" s="50"/>
      <c r="O69" s="50"/>
      <c r="P69" s="50"/>
    </row>
    <row r="70" spans="1:20">
      <c r="A70" s="3"/>
      <c r="B70" s="50"/>
      <c r="C70" s="50"/>
      <c r="D70" s="50"/>
      <c r="E70" s="50"/>
      <c r="F70" s="50"/>
      <c r="G70" s="50"/>
      <c r="H70" s="50"/>
      <c r="I70" s="50"/>
      <c r="J70" s="50"/>
      <c r="K70" s="50"/>
      <c r="L70" s="3" t="s">
        <v>442</v>
      </c>
      <c r="M70" s="50"/>
      <c r="N70" s="50"/>
      <c r="O70" s="50"/>
      <c r="P70" s="50"/>
    </row>
    <row r="71" spans="1:20" s="47" customFormat="1">
      <c r="A71" s="51"/>
      <c r="B71" s="51" t="str">
        <f t="shared" ref="B71:K71" si="52">+B12</f>
        <v>Q123</v>
      </c>
      <c r="C71" s="51" t="str">
        <f t="shared" si="52"/>
        <v>Q223</v>
      </c>
      <c r="D71" s="51" t="str">
        <f t="shared" si="52"/>
        <v>Q323</v>
      </c>
      <c r="E71" s="51" t="str">
        <f t="shared" si="52"/>
        <v>Q423</v>
      </c>
      <c r="F71" s="51" t="str">
        <f t="shared" si="52"/>
        <v>Q124</v>
      </c>
      <c r="G71" s="51" t="str">
        <f t="shared" si="52"/>
        <v>Q224</v>
      </c>
      <c r="H71" s="51" t="str">
        <f t="shared" si="52"/>
        <v>Q324</v>
      </c>
      <c r="I71" s="51" t="str">
        <f t="shared" si="52"/>
        <v>Q424</v>
      </c>
      <c r="J71" s="51" t="str">
        <f t="shared" si="52"/>
        <v>Q125</v>
      </c>
      <c r="K71" s="51" t="str">
        <f t="shared" si="52"/>
        <v>Q225</v>
      </c>
      <c r="L71" s="3" t="s">
        <v>442</v>
      </c>
      <c r="M71" s="51">
        <f>+M12</f>
        <v>2021</v>
      </c>
      <c r="N71" s="51">
        <f>+N12</f>
        <v>2022</v>
      </c>
      <c r="O71" s="51">
        <f>+O12</f>
        <v>2023</v>
      </c>
      <c r="P71" s="51">
        <f>+P12</f>
        <v>2024</v>
      </c>
      <c r="Q71" s="51"/>
      <c r="R71" s="51"/>
      <c r="S71" s="51"/>
      <c r="T71" s="51"/>
    </row>
    <row r="72" spans="1:20" s="47" customFormat="1">
      <c r="A72" s="49" t="s">
        <v>587</v>
      </c>
      <c r="B72" s="49"/>
      <c r="C72" s="49"/>
      <c r="D72" s="49"/>
      <c r="E72" s="49"/>
      <c r="F72" s="49"/>
      <c r="G72" s="49"/>
      <c r="H72" s="49"/>
      <c r="I72" s="49"/>
      <c r="J72" s="49"/>
      <c r="K72" s="49"/>
      <c r="L72" s="22" t="s">
        <v>442</v>
      </c>
      <c r="M72" s="49"/>
      <c r="N72" s="49">
        <v>8476</v>
      </c>
      <c r="O72" s="49">
        <v>7754</v>
      </c>
      <c r="P72" s="49">
        <v>7363</v>
      </c>
      <c r="Q72" s="49"/>
      <c r="R72" s="49"/>
      <c r="S72" s="49"/>
      <c r="T72" s="49"/>
    </row>
    <row r="73" spans="1:20" s="47" customFormat="1">
      <c r="A73" s="49" t="s">
        <v>588</v>
      </c>
      <c r="B73" s="49"/>
      <c r="C73" s="49"/>
      <c r="D73" s="49"/>
      <c r="E73" s="49"/>
      <c r="F73" s="49"/>
      <c r="G73" s="49"/>
      <c r="H73" s="49"/>
      <c r="I73" s="49"/>
      <c r="J73" s="49"/>
      <c r="K73" s="49"/>
      <c r="L73" s="22" t="s">
        <v>442</v>
      </c>
      <c r="M73" s="49"/>
      <c r="N73" s="49">
        <v>5454</v>
      </c>
      <c r="O73" s="49">
        <v>4913</v>
      </c>
      <c r="P73" s="49">
        <v>4636</v>
      </c>
      <c r="Q73" s="49"/>
      <c r="R73" s="49"/>
      <c r="S73" s="49"/>
      <c r="T73" s="49"/>
    </row>
    <row r="74" spans="1:20" s="47" customFormat="1">
      <c r="A74" s="49" t="s">
        <v>589</v>
      </c>
      <c r="B74" s="49"/>
      <c r="C74" s="49"/>
      <c r="D74" s="49"/>
      <c r="E74" s="49"/>
      <c r="F74" s="49"/>
      <c r="G74" s="49"/>
      <c r="H74" s="49"/>
      <c r="I74" s="49"/>
      <c r="J74" s="49"/>
      <c r="K74" s="49"/>
      <c r="L74" s="22" t="s">
        <v>442</v>
      </c>
      <c r="M74" s="49"/>
      <c r="N74" s="49">
        <f t="shared" ref="N74:O74" si="53">+N72-N73</f>
        <v>3022</v>
      </c>
      <c r="O74" s="49">
        <f t="shared" si="53"/>
        <v>2841</v>
      </c>
      <c r="P74" s="49">
        <f>+P72-P73</f>
        <v>2727</v>
      </c>
      <c r="Q74" s="49"/>
      <c r="R74" s="49"/>
      <c r="S74" s="49"/>
      <c r="T74" s="49"/>
    </row>
    <row r="75" spans="1:20" s="47" customFormat="1">
      <c r="A75" s="49" t="s">
        <v>590</v>
      </c>
      <c r="B75" s="49"/>
      <c r="C75" s="49"/>
      <c r="D75" s="49"/>
      <c r="E75" s="49"/>
      <c r="F75" s="49"/>
      <c r="G75" s="49"/>
      <c r="H75" s="49"/>
      <c r="I75" s="49"/>
      <c r="J75" s="49"/>
      <c r="K75" s="49"/>
      <c r="L75" s="22" t="s">
        <v>442</v>
      </c>
      <c r="M75" s="49"/>
      <c r="N75" s="49">
        <v>1338</v>
      </c>
      <c r="O75" s="49">
        <v>1467</v>
      </c>
      <c r="P75" s="49">
        <v>1455</v>
      </c>
      <c r="Q75" s="49"/>
      <c r="R75" s="49"/>
      <c r="S75" s="49"/>
      <c r="T75" s="49"/>
    </row>
    <row r="76" spans="1:20">
      <c r="A76" s="19" t="s">
        <v>356</v>
      </c>
      <c r="B76" s="19">
        <v>603</v>
      </c>
      <c r="C76" s="19"/>
      <c r="D76" s="19">
        <v>184</v>
      </c>
      <c r="E76" s="19"/>
      <c r="F76" s="19">
        <v>310</v>
      </c>
      <c r="G76" s="19"/>
      <c r="H76" s="19">
        <v>246</v>
      </c>
      <c r="I76" s="19"/>
      <c r="J76" s="19"/>
      <c r="K76" s="19"/>
      <c r="L76" s="22" t="s">
        <v>442</v>
      </c>
      <c r="M76" s="20">
        <v>1202</v>
      </c>
      <c r="N76" s="20">
        <v>1684</v>
      </c>
      <c r="O76" s="49">
        <f>+O74-O75</f>
        <v>1374</v>
      </c>
      <c r="P76" s="49">
        <f>+P74-P75</f>
        <v>1272</v>
      </c>
      <c r="Q76" s="19"/>
      <c r="R76" s="19"/>
      <c r="S76" s="19"/>
      <c r="T76" s="19"/>
    </row>
    <row r="77" spans="1:20" s="10" customFormat="1">
      <c r="A77" s="22" t="s">
        <v>355</v>
      </c>
      <c r="B77" s="23"/>
      <c r="C77" s="23"/>
      <c r="D77" s="23"/>
      <c r="E77" s="23"/>
      <c r="F77" s="21">
        <f>+(F76-B76)/B76</f>
        <v>-0.48590381426202323</v>
      </c>
      <c r="G77" s="23"/>
      <c r="H77" s="21">
        <f>+(H76-D76)/D76</f>
        <v>0.33695652173913043</v>
      </c>
      <c r="I77" s="23"/>
      <c r="J77" s="23"/>
      <c r="K77" s="23"/>
      <c r="L77" s="22" t="s">
        <v>442</v>
      </c>
      <c r="M77" s="23"/>
      <c r="N77" s="21">
        <f>+(N76-M76)/M76</f>
        <v>0.40099833610648916</v>
      </c>
      <c r="O77" s="21">
        <f>+(O76-N76)/N76</f>
        <v>-0.18408551068883611</v>
      </c>
      <c r="P77" s="21">
        <f>+(P76-O76)/O76</f>
        <v>-7.4235807860262015E-2</v>
      </c>
      <c r="Q77" s="23"/>
      <c r="R77" s="23"/>
      <c r="S77" s="23"/>
      <c r="T77" s="23"/>
    </row>
    <row r="78" spans="1:20" s="10" customFormat="1">
      <c r="A78" s="20" t="s">
        <v>435</v>
      </c>
      <c r="B78" s="20"/>
      <c r="C78" s="20"/>
      <c r="D78" s="20"/>
      <c r="E78" s="20"/>
      <c r="F78" s="20"/>
      <c r="G78" s="20"/>
      <c r="H78" s="20"/>
      <c r="I78" s="20"/>
      <c r="J78" s="20"/>
      <c r="K78" s="20"/>
      <c r="L78" s="22" t="s">
        <v>442</v>
      </c>
      <c r="M78" s="20">
        <v>377</v>
      </c>
      <c r="N78" s="20">
        <v>384</v>
      </c>
      <c r="O78" s="20">
        <v>397</v>
      </c>
      <c r="P78" s="20">
        <v>422</v>
      </c>
      <c r="Q78" s="20"/>
      <c r="R78" s="20"/>
      <c r="S78" s="20"/>
      <c r="T78" s="20"/>
    </row>
    <row r="79" spans="1:20" s="10" customFormat="1">
      <c r="A79" s="22" t="s">
        <v>434</v>
      </c>
      <c r="B79" s="23"/>
      <c r="C79" s="23"/>
      <c r="D79" s="23"/>
      <c r="E79" s="23"/>
      <c r="F79" s="23"/>
      <c r="G79" s="23"/>
      <c r="H79" s="23"/>
      <c r="I79" s="23"/>
      <c r="J79" s="23"/>
      <c r="K79" s="23"/>
      <c r="L79" s="22" t="s">
        <v>442</v>
      </c>
      <c r="M79" s="23"/>
      <c r="N79" s="21">
        <f>+(N78-M78)/M78</f>
        <v>1.8567639257294429E-2</v>
      </c>
      <c r="O79" s="21">
        <f>+(O78-N78)/N78</f>
        <v>3.3854166666666664E-2</v>
      </c>
      <c r="P79" s="21">
        <f>+(P78-O78)/O78</f>
        <v>6.2972292191435769E-2</v>
      </c>
      <c r="Q79" s="23"/>
      <c r="R79" s="23"/>
      <c r="S79" s="23"/>
      <c r="T79" s="23"/>
    </row>
    <row r="80" spans="1:20" s="10" customFormat="1">
      <c r="A80" s="20" t="s">
        <v>433</v>
      </c>
      <c r="B80" s="20"/>
      <c r="C80" s="20"/>
      <c r="D80" s="20">
        <v>15446</v>
      </c>
      <c r="E80" s="20"/>
      <c r="F80" s="20"/>
      <c r="G80" s="20"/>
      <c r="H80" s="20">
        <v>14892</v>
      </c>
      <c r="I80" s="20"/>
      <c r="J80" s="20"/>
      <c r="K80" s="20"/>
      <c r="L80" s="22" t="s">
        <v>442</v>
      </c>
      <c r="M80" s="20">
        <v>12428</v>
      </c>
      <c r="N80" s="20">
        <v>14097</v>
      </c>
      <c r="O80" s="20">
        <v>15004</v>
      </c>
      <c r="P80" s="20">
        <v>14241</v>
      </c>
      <c r="Q80" s="20"/>
      <c r="R80" s="20"/>
      <c r="S80" s="20"/>
      <c r="T80" s="20"/>
    </row>
    <row r="81" spans="1:20" s="10" customFormat="1">
      <c r="A81" s="22" t="s">
        <v>432</v>
      </c>
      <c r="B81" s="23"/>
      <c r="C81" s="23"/>
      <c r="D81" s="23"/>
      <c r="E81" s="23"/>
      <c r="F81" s="23"/>
      <c r="G81" s="23"/>
      <c r="H81" s="21">
        <f>+(H80-D80)/D80</f>
        <v>-3.5866891104493072E-2</v>
      </c>
      <c r="I81" s="23"/>
      <c r="J81" s="23"/>
      <c r="K81" s="23"/>
      <c r="L81" s="22" t="s">
        <v>442</v>
      </c>
      <c r="M81" s="23"/>
      <c r="N81" s="21">
        <f>+(N80-M80)/M80</f>
        <v>0.13429353073704539</v>
      </c>
      <c r="O81" s="21">
        <f>+(O80-N80)/N80</f>
        <v>6.4339930481662769E-2</v>
      </c>
      <c r="P81" s="21">
        <f>+(P80-O80)/O80</f>
        <v>-5.0853105838443081E-2</v>
      </c>
      <c r="Q81" s="23"/>
      <c r="R81" s="23"/>
      <c r="S81" s="23"/>
      <c r="T81" s="23"/>
    </row>
    <row r="82" spans="1:20" s="10" customFormat="1">
      <c r="A82" s="20" t="s">
        <v>430</v>
      </c>
      <c r="B82" s="20"/>
      <c r="C82" s="20"/>
      <c r="D82" s="20"/>
      <c r="E82" s="20"/>
      <c r="F82" s="20"/>
      <c r="G82" s="20"/>
      <c r="H82" s="20"/>
      <c r="I82" s="20"/>
      <c r="J82" s="20"/>
      <c r="K82" s="20"/>
      <c r="L82" s="22" t="s">
        <v>442</v>
      </c>
      <c r="M82" s="20">
        <v>47</v>
      </c>
      <c r="N82" s="20">
        <v>67</v>
      </c>
      <c r="O82" s="20">
        <v>76</v>
      </c>
      <c r="P82" s="20">
        <v>77</v>
      </c>
      <c r="Q82" s="20"/>
      <c r="R82" s="20"/>
      <c r="S82" s="20"/>
      <c r="T82" s="20"/>
    </row>
    <row r="83" spans="1:20" s="10" customFormat="1">
      <c r="A83" s="22" t="s">
        <v>431</v>
      </c>
      <c r="B83" s="23"/>
      <c r="C83" s="23"/>
      <c r="D83" s="23"/>
      <c r="E83" s="23"/>
      <c r="F83" s="23"/>
      <c r="G83" s="23"/>
      <c r="H83" s="23"/>
      <c r="I83" s="23"/>
      <c r="J83" s="23"/>
      <c r="K83" s="23"/>
      <c r="L83" s="22" t="s">
        <v>442</v>
      </c>
      <c r="M83" s="23"/>
      <c r="N83" s="21">
        <f>+(N82-M82)/M82</f>
        <v>0.42553191489361702</v>
      </c>
      <c r="O83" s="21">
        <f>+(O82-N82)/N82</f>
        <v>0.13432835820895522</v>
      </c>
      <c r="P83" s="21">
        <f>+(P82-O82)/O82</f>
        <v>1.3157894736842105E-2</v>
      </c>
      <c r="Q83" s="23"/>
      <c r="R83" s="23"/>
      <c r="S83" s="23"/>
      <c r="T83" s="23"/>
    </row>
    <row r="84" spans="1:20" s="10" customFormat="1">
      <c r="A84" s="20" t="s">
        <v>437</v>
      </c>
      <c r="B84" s="20"/>
      <c r="C84" s="20"/>
      <c r="D84" s="20"/>
      <c r="E84" s="20"/>
      <c r="F84" s="20"/>
      <c r="G84" s="20"/>
      <c r="H84" s="20"/>
      <c r="I84" s="20"/>
      <c r="J84" s="20"/>
      <c r="K84" s="20"/>
      <c r="L84" s="22" t="s">
        <v>442</v>
      </c>
      <c r="M84" s="20">
        <v>336</v>
      </c>
      <c r="N84" s="20">
        <v>380</v>
      </c>
      <c r="O84" s="20">
        <v>263</v>
      </c>
      <c r="P84" s="20">
        <v>232</v>
      </c>
      <c r="Q84" s="20"/>
      <c r="R84" s="20"/>
      <c r="S84" s="20"/>
      <c r="T84" s="20"/>
    </row>
    <row r="85" spans="1:20" s="10" customFormat="1">
      <c r="A85" s="22" t="s">
        <v>436</v>
      </c>
      <c r="B85" s="23"/>
      <c r="C85" s="23"/>
      <c r="D85" s="23"/>
      <c r="E85" s="23"/>
      <c r="F85" s="23"/>
      <c r="G85" s="23"/>
      <c r="H85" s="23"/>
      <c r="I85" s="23"/>
      <c r="J85" s="23"/>
      <c r="K85" s="23"/>
      <c r="L85" s="22" t="s">
        <v>442</v>
      </c>
      <c r="M85" s="23"/>
      <c r="N85" s="21">
        <f>+(N84-M84)/M84</f>
        <v>0.13095238095238096</v>
      </c>
      <c r="O85" s="21">
        <f>+(O84-N84)/N84</f>
        <v>-0.30789473684210528</v>
      </c>
      <c r="P85" s="21">
        <f>+(P84-O84)/O84</f>
        <v>-0.11787072243346007</v>
      </c>
      <c r="Q85" s="23"/>
      <c r="R85" s="23"/>
      <c r="S85" s="23"/>
      <c r="T85" s="23"/>
    </row>
    <row r="86" spans="1:20" s="10" customFormat="1">
      <c r="A86" s="19"/>
      <c r="B86" s="20"/>
      <c r="C86" s="20"/>
      <c r="D86" s="20"/>
      <c r="E86" s="20"/>
      <c r="F86" s="20"/>
      <c r="G86" s="20"/>
      <c r="H86" s="20"/>
      <c r="I86" s="20"/>
      <c r="J86" s="20"/>
      <c r="K86" s="20"/>
      <c r="L86" s="22" t="s">
        <v>442</v>
      </c>
      <c r="M86" s="20"/>
      <c r="N86" s="20"/>
      <c r="O86" s="20"/>
      <c r="P86" s="20"/>
      <c r="Q86" s="20"/>
      <c r="R86" s="20"/>
      <c r="S86" s="20"/>
      <c r="T86" s="20"/>
    </row>
    <row r="87" spans="1:20">
      <c r="A87" s="22" t="s">
        <v>340</v>
      </c>
      <c r="B87" s="23">
        <f t="shared" ref="B87" si="54">+SUM(B88:B92)</f>
        <v>2189</v>
      </c>
      <c r="C87" s="23">
        <f t="shared" ref="C87" si="55">+SUM(C88:C92)</f>
        <v>1781</v>
      </c>
      <c r="D87" s="23">
        <f t="shared" ref="D87" si="56">+SUM(D88:D92)</f>
        <v>1712</v>
      </c>
      <c r="E87" s="23">
        <f t="shared" ref="E87" si="57">+SUM(E88:E92)</f>
        <v>2072</v>
      </c>
      <c r="F87" s="23">
        <f t="shared" ref="F87" si="58">+SUM(F88:F92)</f>
        <v>1741</v>
      </c>
      <c r="G87" s="23">
        <f t="shared" ref="G87:H87" si="59">+SUM(G88:G92)</f>
        <v>1781</v>
      </c>
      <c r="H87" s="23">
        <f t="shared" si="59"/>
        <v>1635</v>
      </c>
      <c r="I87" s="23">
        <f t="shared" ref="I87:J87" si="60">+SUM(I88:I92)</f>
        <v>2206</v>
      </c>
      <c r="J87" s="23">
        <f t="shared" si="60"/>
        <v>0</v>
      </c>
      <c r="K87" s="23">
        <f t="shared" ref="K87" si="61">+SUM(K88:K92)</f>
        <v>0</v>
      </c>
      <c r="L87" s="22" t="s">
        <v>442</v>
      </c>
      <c r="M87" s="23">
        <f>+SUM(M88:M92)</f>
        <v>7253</v>
      </c>
      <c r="N87" s="23">
        <f t="shared" ref="N87" si="62">+SUM(N88:N92)</f>
        <v>8476</v>
      </c>
      <c r="O87" s="23">
        <f t="shared" ref="O87" si="63">+SUM(O88:O92)</f>
        <v>7754</v>
      </c>
      <c r="P87" s="23">
        <f t="shared" ref="P87" si="64">+SUM(P88:P92)</f>
        <v>7363</v>
      </c>
      <c r="Q87" s="19"/>
      <c r="R87" s="19"/>
      <c r="S87" s="19"/>
      <c r="T87" s="19"/>
    </row>
    <row r="88" spans="1:20">
      <c r="A88" s="19" t="s">
        <v>342</v>
      </c>
      <c r="B88" s="20">
        <v>1242</v>
      </c>
      <c r="C88" s="20">
        <v>986</v>
      </c>
      <c r="D88" s="20">
        <v>815</v>
      </c>
      <c r="E88" s="20">
        <f>+O88-SUM(B88:D88)</f>
        <v>991</v>
      </c>
      <c r="F88" s="20">
        <v>886</v>
      </c>
      <c r="G88" s="20">
        <v>946</v>
      </c>
      <c r="H88" s="20">
        <v>736</v>
      </c>
      <c r="I88" s="20">
        <f>+P88-SUM(F88:H88)</f>
        <v>1031</v>
      </c>
      <c r="J88" s="20"/>
      <c r="K88" s="20"/>
      <c r="L88" s="22" t="s">
        <v>442</v>
      </c>
      <c r="M88" s="20">
        <v>3815</v>
      </c>
      <c r="N88" s="20">
        <v>4591</v>
      </c>
      <c r="O88" s="20">
        <v>4034</v>
      </c>
      <c r="P88" s="20">
        <v>3599</v>
      </c>
      <c r="Q88" s="19"/>
      <c r="R88" s="19"/>
      <c r="S88" s="19"/>
      <c r="T88" s="19"/>
    </row>
    <row r="89" spans="1:20">
      <c r="A89" s="19" t="s">
        <v>343</v>
      </c>
      <c r="B89" s="20">
        <v>409</v>
      </c>
      <c r="C89" s="20">
        <v>331</v>
      </c>
      <c r="D89" s="20">
        <v>416</v>
      </c>
      <c r="E89" s="20">
        <f t="shared" ref="E89:E92" si="65">+O89-SUM(B89:D89)</f>
        <v>442</v>
      </c>
      <c r="F89" s="20">
        <v>373</v>
      </c>
      <c r="G89" s="20">
        <v>415</v>
      </c>
      <c r="H89" s="20">
        <v>437</v>
      </c>
      <c r="I89" s="20">
        <f t="shared" ref="I89:I90" si="66">+P89-SUM(F89:H89)</f>
        <v>490</v>
      </c>
      <c r="J89" s="20"/>
      <c r="K89" s="20"/>
      <c r="L89" s="22" t="s">
        <v>442</v>
      </c>
      <c r="M89" s="20">
        <v>1730</v>
      </c>
      <c r="N89" s="20">
        <v>1831</v>
      </c>
      <c r="O89" s="20">
        <v>1598</v>
      </c>
      <c r="P89" s="20">
        <v>1715</v>
      </c>
      <c r="Q89" s="19"/>
      <c r="R89" s="19"/>
      <c r="S89" s="19"/>
      <c r="T89" s="19"/>
    </row>
    <row r="90" spans="1:20">
      <c r="A90" s="19" t="s">
        <v>344</v>
      </c>
      <c r="B90" s="20">
        <v>359</v>
      </c>
      <c r="C90" s="20">
        <v>252</v>
      </c>
      <c r="D90" s="20">
        <v>226</v>
      </c>
      <c r="E90" s="20">
        <f t="shared" si="65"/>
        <v>275</v>
      </c>
      <c r="F90" s="20">
        <v>295</v>
      </c>
      <c r="G90" s="20">
        <v>250</v>
      </c>
      <c r="H90" s="20">
        <v>216</v>
      </c>
      <c r="I90" s="20">
        <f t="shared" si="66"/>
        <v>320</v>
      </c>
      <c r="J90" s="20"/>
      <c r="K90" s="20"/>
      <c r="L90" s="22" t="s">
        <v>442</v>
      </c>
      <c r="M90" s="20">
        <v>1310</v>
      </c>
      <c r="N90" s="20">
        <v>1450</v>
      </c>
      <c r="O90" s="20">
        <v>1112</v>
      </c>
      <c r="P90" s="20">
        <v>1081</v>
      </c>
      <c r="Q90" s="19"/>
      <c r="R90" s="19"/>
      <c r="S90" s="19"/>
      <c r="T90" s="19"/>
    </row>
    <row r="91" spans="1:20">
      <c r="A91" s="19" t="s">
        <v>578</v>
      </c>
      <c r="B91" s="20"/>
      <c r="C91" s="20"/>
      <c r="D91" s="20"/>
      <c r="E91" s="20"/>
      <c r="F91" s="20"/>
      <c r="G91" s="20"/>
      <c r="H91" s="20"/>
      <c r="I91" s="20"/>
      <c r="J91" s="20"/>
      <c r="K91" s="20"/>
      <c r="L91" s="22" t="s">
        <v>442</v>
      </c>
      <c r="M91" s="20"/>
      <c r="N91" s="20"/>
      <c r="O91" s="20"/>
      <c r="P91" s="20">
        <v>476</v>
      </c>
      <c r="Q91" s="19"/>
      <c r="R91" s="19"/>
      <c r="S91" s="19"/>
      <c r="T91" s="19"/>
    </row>
    <row r="92" spans="1:20">
      <c r="A92" s="19" t="s">
        <v>345</v>
      </c>
      <c r="B92" s="20">
        <v>179</v>
      </c>
      <c r="C92" s="20">
        <v>212</v>
      </c>
      <c r="D92" s="20">
        <v>255</v>
      </c>
      <c r="E92" s="20">
        <f t="shared" si="65"/>
        <v>364</v>
      </c>
      <c r="F92" s="20">
        <v>187</v>
      </c>
      <c r="G92" s="20">
        <v>170</v>
      </c>
      <c r="H92" s="20">
        <v>246</v>
      </c>
      <c r="I92" s="20">
        <f>+P92+P91-SUM(F92:H92)</f>
        <v>365</v>
      </c>
      <c r="J92" s="20"/>
      <c r="K92" s="20"/>
      <c r="L92" s="22" t="s">
        <v>442</v>
      </c>
      <c r="M92" s="20">
        <v>398</v>
      </c>
      <c r="N92" s="20">
        <v>604</v>
      </c>
      <c r="O92" s="20">
        <v>1010</v>
      </c>
      <c r="P92" s="20">
        <v>492</v>
      </c>
      <c r="Q92" s="19"/>
      <c r="R92" s="19"/>
      <c r="S92" s="19"/>
      <c r="T92" s="19"/>
    </row>
    <row r="93" spans="1:20">
      <c r="A93" s="22"/>
      <c r="B93" s="19"/>
      <c r="C93" s="19"/>
      <c r="D93" s="19"/>
      <c r="E93" s="19"/>
      <c r="F93" s="19"/>
      <c r="G93" s="19"/>
      <c r="H93" s="19"/>
      <c r="I93" s="19"/>
      <c r="J93" s="19"/>
      <c r="K93" s="19"/>
      <c r="L93" s="22" t="s">
        <v>442</v>
      </c>
      <c r="M93" s="22"/>
      <c r="N93" s="21"/>
      <c r="O93" s="21"/>
      <c r="P93" s="19"/>
      <c r="Q93" s="19"/>
      <c r="R93" s="19"/>
      <c r="S93" s="19"/>
      <c r="T93" s="19"/>
    </row>
    <row r="94" spans="1:20">
      <c r="A94" s="22" t="s">
        <v>367</v>
      </c>
      <c r="B94" s="21"/>
      <c r="C94" s="21"/>
      <c r="D94" s="21"/>
      <c r="E94" s="21"/>
      <c r="F94" s="21">
        <f t="shared" ref="F94:I97" si="67">+(F87-B87)/B87</f>
        <v>-0.20465966194609411</v>
      </c>
      <c r="G94" s="21">
        <f t="shared" si="67"/>
        <v>0</v>
      </c>
      <c r="H94" s="21">
        <f t="shared" si="67"/>
        <v>-4.497663551401869E-2</v>
      </c>
      <c r="I94" s="21">
        <f t="shared" si="67"/>
        <v>6.4671814671814667E-2</v>
      </c>
      <c r="J94" s="21"/>
      <c r="K94" s="21"/>
      <c r="L94" s="22" t="s">
        <v>442</v>
      </c>
      <c r="M94" s="21"/>
      <c r="N94" s="21">
        <f t="shared" ref="N94:P95" si="68">+(N87-M87)/M87</f>
        <v>0.16861988142837447</v>
      </c>
      <c r="O94" s="21">
        <f t="shared" si="68"/>
        <v>-8.5181689476167999E-2</v>
      </c>
      <c r="P94" s="21">
        <f t="shared" si="68"/>
        <v>-5.0425586793912819E-2</v>
      </c>
      <c r="Q94" s="22"/>
      <c r="R94" s="22"/>
      <c r="S94" s="22"/>
      <c r="T94" s="22"/>
    </row>
    <row r="95" spans="1:20">
      <c r="A95" s="22" t="s">
        <v>368</v>
      </c>
      <c r="B95" s="21"/>
      <c r="C95" s="21"/>
      <c r="D95" s="21"/>
      <c r="E95" s="21"/>
      <c r="F95" s="21">
        <f t="shared" si="67"/>
        <v>-0.28663446054750402</v>
      </c>
      <c r="G95" s="21">
        <f t="shared" si="67"/>
        <v>-4.0567951318458417E-2</v>
      </c>
      <c r="H95" s="21">
        <f t="shared" si="67"/>
        <v>-9.6932515337423308E-2</v>
      </c>
      <c r="I95" s="21">
        <f t="shared" si="67"/>
        <v>4.0363269424823413E-2</v>
      </c>
      <c r="J95" s="21"/>
      <c r="K95" s="21"/>
      <c r="L95" s="22" t="s">
        <v>442</v>
      </c>
      <c r="M95" s="21"/>
      <c r="N95" s="21">
        <f t="shared" si="68"/>
        <v>0.20340760157273918</v>
      </c>
      <c r="O95" s="21">
        <f t="shared" si="68"/>
        <v>-0.12132433021128294</v>
      </c>
      <c r="P95" s="21">
        <f t="shared" si="68"/>
        <v>-0.10783341596430342</v>
      </c>
      <c r="Q95" s="22"/>
      <c r="R95" s="22"/>
      <c r="S95" s="22"/>
      <c r="T95" s="22"/>
    </row>
    <row r="96" spans="1:20">
      <c r="A96" s="22" t="s">
        <v>369</v>
      </c>
      <c r="B96" s="21"/>
      <c r="C96" s="21"/>
      <c r="D96" s="21"/>
      <c r="E96" s="21"/>
      <c r="F96" s="21">
        <f t="shared" si="67"/>
        <v>-8.8019559902200492E-2</v>
      </c>
      <c r="G96" s="21">
        <f t="shared" si="67"/>
        <v>0.25377643504531722</v>
      </c>
      <c r="H96" s="21">
        <f t="shared" si="67"/>
        <v>5.0480769230769232E-2</v>
      </c>
      <c r="I96" s="21">
        <f t="shared" si="67"/>
        <v>0.10859728506787331</v>
      </c>
      <c r="J96" s="21"/>
      <c r="K96" s="21"/>
      <c r="L96" s="22" t="s">
        <v>442</v>
      </c>
      <c r="M96" s="21"/>
      <c r="N96" s="21">
        <f t="shared" ref="N96:O96" si="69">+(N89-M89)/M89</f>
        <v>5.8381502890173409E-2</v>
      </c>
      <c r="O96" s="21">
        <f t="shared" si="69"/>
        <v>-0.12725286728563626</v>
      </c>
      <c r="P96" s="21">
        <f>+(P89-O89)/O89</f>
        <v>7.3216520650813521E-2</v>
      </c>
      <c r="Q96" s="22"/>
      <c r="R96" s="22"/>
      <c r="S96" s="22"/>
      <c r="T96" s="22"/>
    </row>
    <row r="97" spans="1:20">
      <c r="A97" s="22" t="s">
        <v>370</v>
      </c>
      <c r="B97" s="21"/>
      <c r="C97" s="21"/>
      <c r="D97" s="21"/>
      <c r="E97" s="21"/>
      <c r="F97" s="21">
        <f t="shared" si="67"/>
        <v>-0.17827298050139276</v>
      </c>
      <c r="G97" s="21">
        <f t="shared" si="67"/>
        <v>-7.9365079365079361E-3</v>
      </c>
      <c r="H97" s="21">
        <f t="shared" si="67"/>
        <v>-4.4247787610619468E-2</v>
      </c>
      <c r="I97" s="21">
        <f t="shared" si="67"/>
        <v>0.16363636363636364</v>
      </c>
      <c r="J97" s="21"/>
      <c r="K97" s="21"/>
      <c r="L97" s="22" t="s">
        <v>442</v>
      </c>
      <c r="M97" s="21"/>
      <c r="N97" s="21">
        <f t="shared" ref="N97:O97" si="70">+(N90-M90)/M90</f>
        <v>0.10687022900763359</v>
      </c>
      <c r="O97" s="21">
        <f t="shared" si="70"/>
        <v>-0.23310344827586207</v>
      </c>
      <c r="P97" s="21">
        <f>+(P90-O90)/O90</f>
        <v>-2.7877697841726619E-2</v>
      </c>
      <c r="Q97" s="22"/>
      <c r="R97" s="22"/>
      <c r="S97" s="22"/>
      <c r="T97" s="22"/>
    </row>
    <row r="98" spans="1:20">
      <c r="A98" s="22" t="s">
        <v>580</v>
      </c>
      <c r="B98" s="21"/>
      <c r="C98" s="21"/>
      <c r="D98" s="21"/>
      <c r="E98" s="21"/>
      <c r="F98" s="21"/>
      <c r="G98" s="21"/>
      <c r="H98" s="21"/>
      <c r="I98" s="21"/>
      <c r="J98" s="21"/>
      <c r="K98" s="21"/>
      <c r="L98" s="22" t="s">
        <v>442</v>
      </c>
      <c r="M98" s="21"/>
      <c r="N98" s="21"/>
      <c r="O98" s="21"/>
      <c r="P98" s="21"/>
      <c r="Q98" s="22"/>
      <c r="R98" s="22"/>
      <c r="S98" s="22"/>
      <c r="T98" s="22"/>
    </row>
    <row r="99" spans="1:20">
      <c r="A99" s="22" t="s">
        <v>371</v>
      </c>
      <c r="B99" s="21"/>
      <c r="C99" s="21"/>
      <c r="D99" s="21"/>
      <c r="E99" s="21"/>
      <c r="F99" s="21">
        <f t="shared" ref="F99:I99" si="71">+(F92-B92)/B92</f>
        <v>4.4692737430167599E-2</v>
      </c>
      <c r="G99" s="21">
        <f t="shared" si="71"/>
        <v>-0.19811320754716982</v>
      </c>
      <c r="H99" s="21">
        <f t="shared" si="71"/>
        <v>-3.5294117647058823E-2</v>
      </c>
      <c r="I99" s="21">
        <f t="shared" si="71"/>
        <v>2.7472527472527475E-3</v>
      </c>
      <c r="J99" s="21"/>
      <c r="K99" s="21"/>
      <c r="L99" s="22" t="s">
        <v>442</v>
      </c>
      <c r="M99" s="21"/>
      <c r="N99" s="21">
        <f t="shared" ref="N99:O99" si="72">+(N92-M92)/M92</f>
        <v>0.51758793969849248</v>
      </c>
      <c r="O99" s="21">
        <f t="shared" si="72"/>
        <v>0.67218543046357615</v>
      </c>
      <c r="P99" s="21">
        <f t="shared" ref="P99" si="73">+(P92-O92)/O92</f>
        <v>-0.51287128712871288</v>
      </c>
      <c r="Q99" s="22"/>
      <c r="R99" s="22"/>
      <c r="S99" s="22"/>
      <c r="T99" s="22"/>
    </row>
    <row r="100" spans="1:20">
      <c r="A100" s="22"/>
      <c r="B100" s="21"/>
      <c r="C100" s="21"/>
      <c r="D100" s="21"/>
      <c r="E100" s="21"/>
      <c r="F100" s="21"/>
      <c r="G100" s="21"/>
      <c r="H100" s="21"/>
      <c r="I100" s="21"/>
      <c r="J100" s="21"/>
      <c r="K100" s="21"/>
      <c r="L100" s="22" t="s">
        <v>442</v>
      </c>
      <c r="M100" s="21"/>
      <c r="N100" s="21"/>
      <c r="O100" s="21"/>
      <c r="P100" s="21"/>
      <c r="Q100" s="22"/>
      <c r="R100" s="22"/>
      <c r="S100" s="22"/>
      <c r="T100" s="22"/>
    </row>
    <row r="101" spans="1:20">
      <c r="A101" s="22" t="s">
        <v>462</v>
      </c>
      <c r="B101" s="21"/>
      <c r="C101" s="21">
        <f t="shared" ref="C101:I101" si="74">+(C87-B87)/B87</f>
        <v>-0.18638647784376428</v>
      </c>
      <c r="D101" s="21">
        <f t="shared" si="74"/>
        <v>-3.874227961819203E-2</v>
      </c>
      <c r="E101" s="21">
        <f t="shared" si="74"/>
        <v>0.2102803738317757</v>
      </c>
      <c r="F101" s="21">
        <f t="shared" si="74"/>
        <v>-0.15974903474903476</v>
      </c>
      <c r="G101" s="21">
        <f t="shared" si="74"/>
        <v>2.2975301550832855E-2</v>
      </c>
      <c r="H101" s="21">
        <f t="shared" si="74"/>
        <v>-8.1976417742841104E-2</v>
      </c>
      <c r="I101" s="21">
        <f t="shared" si="74"/>
        <v>0.34923547400611621</v>
      </c>
      <c r="J101" s="21"/>
      <c r="K101" s="21"/>
      <c r="L101" s="22" t="s">
        <v>442</v>
      </c>
      <c r="M101" s="21"/>
      <c r="N101" s="21"/>
      <c r="O101" s="21"/>
      <c r="P101" s="21"/>
      <c r="Q101" s="22"/>
      <c r="R101" s="22"/>
      <c r="S101" s="22"/>
      <c r="T101" s="22"/>
    </row>
    <row r="102" spans="1:20">
      <c r="A102" s="22" t="s">
        <v>463</v>
      </c>
      <c r="B102" s="21"/>
      <c r="C102" s="21">
        <f t="shared" ref="C102:I104" si="75">+(C88-B88)/B88</f>
        <v>-0.20611916264090177</v>
      </c>
      <c r="D102" s="21">
        <f t="shared" si="75"/>
        <v>-0.17342799188640973</v>
      </c>
      <c r="E102" s="21">
        <f t="shared" si="75"/>
        <v>0.21595092024539878</v>
      </c>
      <c r="F102" s="21">
        <f t="shared" si="75"/>
        <v>-0.10595358224016145</v>
      </c>
      <c r="G102" s="21">
        <f t="shared" si="75"/>
        <v>6.772009029345373E-2</v>
      </c>
      <c r="H102" s="21">
        <f t="shared" si="75"/>
        <v>-0.22198731501057081</v>
      </c>
      <c r="I102" s="21">
        <f t="shared" si="75"/>
        <v>0.40081521739130432</v>
      </c>
      <c r="J102" s="21"/>
      <c r="K102" s="21"/>
      <c r="L102" s="22" t="s">
        <v>442</v>
      </c>
      <c r="M102" s="21"/>
      <c r="N102" s="21"/>
      <c r="O102" s="21"/>
      <c r="P102" s="21"/>
      <c r="Q102" s="22"/>
      <c r="R102" s="22"/>
      <c r="S102" s="22"/>
      <c r="T102" s="22"/>
    </row>
    <row r="103" spans="1:20">
      <c r="A103" s="22" t="s">
        <v>464</v>
      </c>
      <c r="B103" s="21"/>
      <c r="C103" s="21">
        <f t="shared" si="75"/>
        <v>-0.19070904645476772</v>
      </c>
      <c r="D103" s="21">
        <f t="shared" si="75"/>
        <v>0.25679758308157102</v>
      </c>
      <c r="E103" s="21">
        <f t="shared" si="75"/>
        <v>6.25E-2</v>
      </c>
      <c r="F103" s="21">
        <f t="shared" si="75"/>
        <v>-0.15610859728506787</v>
      </c>
      <c r="G103" s="21">
        <f t="shared" si="75"/>
        <v>0.1126005361930295</v>
      </c>
      <c r="H103" s="21">
        <f t="shared" si="75"/>
        <v>5.3012048192771083E-2</v>
      </c>
      <c r="I103" s="21">
        <f t="shared" si="75"/>
        <v>0.12128146453089245</v>
      </c>
      <c r="J103" s="21"/>
      <c r="K103" s="21"/>
      <c r="L103" s="22" t="s">
        <v>442</v>
      </c>
      <c r="M103" s="21"/>
      <c r="N103" s="21"/>
      <c r="O103" s="21"/>
      <c r="P103" s="21"/>
      <c r="Q103" s="22"/>
      <c r="R103" s="22"/>
      <c r="S103" s="22"/>
      <c r="T103" s="22"/>
    </row>
    <row r="104" spans="1:20">
      <c r="A104" s="22" t="s">
        <v>465</v>
      </c>
      <c r="B104" s="21"/>
      <c r="C104" s="21">
        <f t="shared" si="75"/>
        <v>-0.29805013927576601</v>
      </c>
      <c r="D104" s="21">
        <f t="shared" si="75"/>
        <v>-0.10317460317460317</v>
      </c>
      <c r="E104" s="21">
        <f t="shared" si="75"/>
        <v>0.2168141592920354</v>
      </c>
      <c r="F104" s="21">
        <f t="shared" si="75"/>
        <v>7.2727272727272724E-2</v>
      </c>
      <c r="G104" s="21">
        <f t="shared" si="75"/>
        <v>-0.15254237288135594</v>
      </c>
      <c r="H104" s="21">
        <f t="shared" si="75"/>
        <v>-0.13600000000000001</v>
      </c>
      <c r="I104" s="21">
        <f t="shared" si="75"/>
        <v>0.48148148148148145</v>
      </c>
      <c r="J104" s="21"/>
      <c r="K104" s="21"/>
      <c r="L104" s="22" t="s">
        <v>442</v>
      </c>
      <c r="M104" s="21"/>
      <c r="N104" s="21"/>
      <c r="O104" s="21"/>
      <c r="P104" s="21"/>
      <c r="Q104" s="22"/>
      <c r="R104" s="22"/>
      <c r="S104" s="22"/>
      <c r="T104" s="22"/>
    </row>
    <row r="105" spans="1:20">
      <c r="A105" s="22" t="s">
        <v>579</v>
      </c>
      <c r="B105" s="21"/>
      <c r="C105" s="21"/>
      <c r="D105" s="21"/>
      <c r="E105" s="21"/>
      <c r="F105" s="21"/>
      <c r="G105" s="21"/>
      <c r="H105" s="21"/>
      <c r="I105" s="21"/>
      <c r="J105" s="21"/>
      <c r="K105" s="21"/>
      <c r="L105" s="22" t="s">
        <v>442</v>
      </c>
      <c r="M105" s="21"/>
      <c r="N105" s="21"/>
      <c r="O105" s="21"/>
      <c r="P105" s="21"/>
      <c r="Q105" s="22"/>
      <c r="R105" s="22"/>
      <c r="S105" s="22"/>
      <c r="T105" s="22"/>
    </row>
    <row r="106" spans="1:20">
      <c r="A106" s="22" t="s">
        <v>466</v>
      </c>
      <c r="B106" s="21"/>
      <c r="C106" s="21">
        <f t="shared" ref="C106:I106" si="76">+(C92-B92)/B92</f>
        <v>0.18435754189944134</v>
      </c>
      <c r="D106" s="21">
        <f t="shared" si="76"/>
        <v>0.20283018867924529</v>
      </c>
      <c r="E106" s="21">
        <f t="shared" si="76"/>
        <v>0.42745098039215684</v>
      </c>
      <c r="F106" s="21">
        <f t="shared" si="76"/>
        <v>-0.48626373626373626</v>
      </c>
      <c r="G106" s="21">
        <f t="shared" si="76"/>
        <v>-9.0909090909090912E-2</v>
      </c>
      <c r="H106" s="21">
        <f t="shared" si="76"/>
        <v>0.44705882352941179</v>
      </c>
      <c r="I106" s="21">
        <f t="shared" si="76"/>
        <v>0.48373983739837401</v>
      </c>
      <c r="J106" s="21"/>
      <c r="K106" s="21"/>
      <c r="L106" s="22" t="s">
        <v>442</v>
      </c>
      <c r="M106" s="21"/>
      <c r="N106" s="21"/>
      <c r="O106" s="21"/>
      <c r="P106" s="21"/>
      <c r="Q106" s="22"/>
      <c r="R106" s="22"/>
      <c r="S106" s="22"/>
      <c r="T106" s="22"/>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s="10" customFormat="1">
      <c r="A108" s="23" t="s">
        <v>350</v>
      </c>
      <c r="B108" s="23">
        <f t="shared" ref="B108" si="77">+SUM(B109:B112)</f>
        <v>2189</v>
      </c>
      <c r="C108" s="23">
        <f t="shared" ref="C108" si="78">+SUM(C109:C112)</f>
        <v>1781</v>
      </c>
      <c r="D108" s="23">
        <f t="shared" ref="D108" si="79">+SUM(D109:D112)</f>
        <v>1712</v>
      </c>
      <c r="E108" s="23">
        <f t="shared" ref="E108" si="80">+SUM(E109:E112)</f>
        <v>2072</v>
      </c>
      <c r="F108" s="23">
        <f t="shared" ref="F108" si="81">+SUM(F109:F112)</f>
        <v>1741</v>
      </c>
      <c r="G108" s="23">
        <f t="shared" ref="G108:H108" si="82">+SUM(G109:G112)</f>
        <v>1781</v>
      </c>
      <c r="H108" s="23">
        <f t="shared" si="82"/>
        <v>1635</v>
      </c>
      <c r="I108" s="23">
        <f>+SUM(I109:I112)</f>
        <v>2206</v>
      </c>
      <c r="J108" s="23">
        <f t="shared" ref="J108" si="83">+SUM(J109:J112)</f>
        <v>0</v>
      </c>
      <c r="K108" s="23">
        <f t="shared" ref="K108" si="84">+SUM(K109:K112)</f>
        <v>0</v>
      </c>
      <c r="L108" s="23" t="s">
        <v>442</v>
      </c>
      <c r="M108" s="23" t="s">
        <v>524</v>
      </c>
      <c r="N108" s="23">
        <f t="shared" ref="N108" si="85">+SUM(N109:N112)</f>
        <v>8476</v>
      </c>
      <c r="O108" s="23">
        <f t="shared" ref="O108" si="86">+SUM(O109:O112)</f>
        <v>7754</v>
      </c>
      <c r="P108" s="23">
        <f>+SUM(P109:P112)</f>
        <v>7363</v>
      </c>
      <c r="Q108" s="20"/>
      <c r="R108" s="20"/>
      <c r="S108" s="20"/>
      <c r="T108" s="20"/>
    </row>
    <row r="109" spans="1:20" s="10" customFormat="1">
      <c r="A109" s="20" t="s">
        <v>346</v>
      </c>
      <c r="B109" s="20">
        <v>879</v>
      </c>
      <c r="C109" s="20">
        <v>623</v>
      </c>
      <c r="D109" s="20">
        <v>399</v>
      </c>
      <c r="E109" s="20">
        <f t="shared" ref="E109:E112" si="87">+O109-SUM(B109:D109)</f>
        <v>921</v>
      </c>
      <c r="F109" s="20">
        <v>616</v>
      </c>
      <c r="G109" s="20">
        <v>647</v>
      </c>
      <c r="H109" s="20">
        <v>440</v>
      </c>
      <c r="I109" s="20">
        <f t="shared" ref="I109:I112" si="88">+P109-SUM(F109:H109)</f>
        <v>924</v>
      </c>
      <c r="J109" s="20"/>
      <c r="K109" s="20"/>
      <c r="L109" s="23" t="s">
        <v>442</v>
      </c>
      <c r="M109" s="20">
        <v>2532</v>
      </c>
      <c r="N109" s="20">
        <v>3116</v>
      </c>
      <c r="O109" s="20">
        <v>2822</v>
      </c>
      <c r="P109" s="20">
        <v>2627</v>
      </c>
      <c r="Q109" s="20"/>
      <c r="R109" s="20"/>
      <c r="S109" s="20"/>
      <c r="T109" s="20"/>
    </row>
    <row r="110" spans="1:20" s="10" customFormat="1">
      <c r="A110" s="20" t="s">
        <v>347</v>
      </c>
      <c r="B110" s="20">
        <v>801</v>
      </c>
      <c r="C110" s="20">
        <v>483</v>
      </c>
      <c r="D110" s="20">
        <v>271</v>
      </c>
      <c r="E110" s="20">
        <f t="shared" si="87"/>
        <v>190</v>
      </c>
      <c r="F110" s="20">
        <v>670</v>
      </c>
      <c r="G110" s="20">
        <v>422</v>
      </c>
      <c r="H110" s="20">
        <v>219</v>
      </c>
      <c r="I110" s="20">
        <f t="shared" si="88"/>
        <v>232</v>
      </c>
      <c r="J110" s="20"/>
      <c r="K110" s="20"/>
      <c r="L110" s="23" t="s">
        <v>442</v>
      </c>
      <c r="M110" s="20">
        <v>1524</v>
      </c>
      <c r="N110" s="20">
        <v>1647</v>
      </c>
      <c r="O110" s="20">
        <v>1745</v>
      </c>
      <c r="P110" s="20">
        <v>1543</v>
      </c>
      <c r="Q110" s="20"/>
      <c r="R110" s="20"/>
      <c r="S110" s="20"/>
      <c r="T110" s="20"/>
    </row>
    <row r="111" spans="1:20" s="10" customFormat="1">
      <c r="A111" s="20" t="s">
        <v>348</v>
      </c>
      <c r="B111" s="20">
        <v>293</v>
      </c>
      <c r="C111" s="20">
        <v>400</v>
      </c>
      <c r="D111" s="20">
        <v>844</v>
      </c>
      <c r="E111" s="20">
        <f t="shared" si="87"/>
        <v>732</v>
      </c>
      <c r="F111" s="20">
        <v>244</v>
      </c>
      <c r="G111" s="20">
        <v>443</v>
      </c>
      <c r="H111" s="20">
        <v>771</v>
      </c>
      <c r="I111" s="20">
        <f t="shared" si="88"/>
        <v>795</v>
      </c>
      <c r="J111" s="20"/>
      <c r="K111" s="20"/>
      <c r="L111" s="23" t="s">
        <v>442</v>
      </c>
      <c r="M111" s="20">
        <v>2125</v>
      </c>
      <c r="N111" s="20">
        <v>2687</v>
      </c>
      <c r="O111" s="20">
        <v>2269</v>
      </c>
      <c r="P111" s="20">
        <v>2253</v>
      </c>
      <c r="Q111" s="20"/>
      <c r="R111" s="20"/>
      <c r="S111" s="20"/>
      <c r="T111" s="20"/>
    </row>
    <row r="112" spans="1:20" s="10" customFormat="1">
      <c r="A112" s="20" t="s">
        <v>349</v>
      </c>
      <c r="B112" s="20">
        <v>216</v>
      </c>
      <c r="C112" s="20">
        <v>275</v>
      </c>
      <c r="D112" s="20">
        <v>198</v>
      </c>
      <c r="E112" s="20">
        <f t="shared" si="87"/>
        <v>229</v>
      </c>
      <c r="F112" s="20">
        <v>211</v>
      </c>
      <c r="G112" s="20">
        <v>269</v>
      </c>
      <c r="H112" s="20">
        <v>205</v>
      </c>
      <c r="I112" s="20">
        <f t="shared" si="88"/>
        <v>255</v>
      </c>
      <c r="J112" s="20"/>
      <c r="K112" s="20"/>
      <c r="L112" s="23" t="s">
        <v>442</v>
      </c>
      <c r="M112" s="20">
        <v>1072</v>
      </c>
      <c r="N112" s="20">
        <v>1026</v>
      </c>
      <c r="O112" s="20">
        <v>918</v>
      </c>
      <c r="P112" s="20">
        <v>940</v>
      </c>
      <c r="Q112" s="20"/>
      <c r="R112" s="20"/>
      <c r="S112" s="20"/>
      <c r="T112" s="20"/>
    </row>
    <row r="113" spans="1:20" s="10" customFormat="1">
      <c r="A113" s="20"/>
      <c r="B113" s="20"/>
      <c r="C113" s="20"/>
      <c r="D113" s="20"/>
      <c r="E113" s="20"/>
      <c r="F113" s="20"/>
      <c r="G113" s="20"/>
      <c r="H113" s="20"/>
      <c r="I113" s="20"/>
      <c r="J113" s="20"/>
      <c r="K113" s="20"/>
      <c r="L113" s="23" t="s">
        <v>442</v>
      </c>
      <c r="M113" s="20"/>
      <c r="N113" s="20"/>
      <c r="O113" s="20"/>
      <c r="P113" s="20"/>
      <c r="Q113" s="20"/>
      <c r="R113" s="20"/>
      <c r="S113" s="20"/>
      <c r="T113" s="20"/>
    </row>
    <row r="114" spans="1:20">
      <c r="A114" s="22" t="s">
        <v>341</v>
      </c>
      <c r="B114" s="21"/>
      <c r="C114" s="21"/>
      <c r="D114" s="21"/>
      <c r="E114" s="21"/>
      <c r="F114" s="21">
        <f t="shared" ref="F114:I118" si="89">+(F108-B108)/B108</f>
        <v>-0.20465966194609411</v>
      </c>
      <c r="G114" s="21">
        <f t="shared" si="89"/>
        <v>0</v>
      </c>
      <c r="H114" s="21">
        <f t="shared" si="89"/>
        <v>-4.497663551401869E-2</v>
      </c>
      <c r="I114" s="21">
        <f t="shared" si="89"/>
        <v>6.4671814671814667E-2</v>
      </c>
      <c r="J114" s="21"/>
      <c r="K114" s="21"/>
      <c r="L114" s="22" t="s">
        <v>442</v>
      </c>
      <c r="M114" s="21"/>
      <c r="N114" s="21" t="e">
        <f t="shared" ref="N114:P118" si="90">+(N108-M108)/M108</f>
        <v>#VALUE!</v>
      </c>
      <c r="O114" s="21">
        <f t="shared" si="90"/>
        <v>-8.5181689476167999E-2</v>
      </c>
      <c r="P114" s="21">
        <f t="shared" si="90"/>
        <v>-5.0425586793912819E-2</v>
      </c>
      <c r="Q114" s="19"/>
      <c r="R114" s="19"/>
      <c r="S114" s="19"/>
      <c r="T114" s="19"/>
    </row>
    <row r="115" spans="1:20">
      <c r="A115" s="22" t="s">
        <v>351</v>
      </c>
      <c r="B115" s="21"/>
      <c r="C115" s="21"/>
      <c r="D115" s="21"/>
      <c r="E115" s="21"/>
      <c r="F115" s="21">
        <f t="shared" si="89"/>
        <v>-0.2992036405005688</v>
      </c>
      <c r="G115" s="21">
        <f t="shared" si="89"/>
        <v>3.8523274478330656E-2</v>
      </c>
      <c r="H115" s="21">
        <f t="shared" si="89"/>
        <v>0.10275689223057644</v>
      </c>
      <c r="I115" s="21">
        <f>+(I109-E109)/E109</f>
        <v>3.2573289902280132E-3</v>
      </c>
      <c r="J115" s="21"/>
      <c r="K115" s="21"/>
      <c r="L115" s="22" t="s">
        <v>442</v>
      </c>
      <c r="M115" s="21"/>
      <c r="N115" s="21">
        <f t="shared" si="90"/>
        <v>0.23064770932069512</v>
      </c>
      <c r="O115" s="21">
        <f t="shared" si="90"/>
        <v>-9.4351732991014126E-2</v>
      </c>
      <c r="P115" s="21">
        <f>+(P109-O109)/O109</f>
        <v>-6.9099929128277823E-2</v>
      </c>
      <c r="Q115" s="19"/>
      <c r="R115" s="19"/>
      <c r="S115" s="19"/>
      <c r="T115" s="19"/>
    </row>
    <row r="116" spans="1:20">
      <c r="A116" s="22" t="s">
        <v>352</v>
      </c>
      <c r="B116" s="21"/>
      <c r="C116" s="21"/>
      <c r="D116" s="21"/>
      <c r="E116" s="21"/>
      <c r="F116" s="21">
        <f t="shared" si="89"/>
        <v>-0.16354556803995007</v>
      </c>
      <c r="G116" s="21">
        <f t="shared" si="89"/>
        <v>-0.12629399585921325</v>
      </c>
      <c r="H116" s="21">
        <f t="shared" si="89"/>
        <v>-0.1918819188191882</v>
      </c>
      <c r="I116" s="21">
        <f>+(I110-E110)/E110</f>
        <v>0.22105263157894736</v>
      </c>
      <c r="J116" s="21"/>
      <c r="K116" s="21"/>
      <c r="L116" s="22" t="s">
        <v>442</v>
      </c>
      <c r="M116" s="21"/>
      <c r="N116" s="21">
        <f t="shared" si="90"/>
        <v>8.070866141732283E-2</v>
      </c>
      <c r="O116" s="21">
        <f t="shared" si="90"/>
        <v>5.9502125075895571E-2</v>
      </c>
      <c r="P116" s="21">
        <f>+(P110-O110)/O110</f>
        <v>-0.11575931232091691</v>
      </c>
      <c r="Q116" s="19"/>
      <c r="R116" s="19"/>
      <c r="S116" s="19"/>
      <c r="T116" s="19"/>
    </row>
    <row r="117" spans="1:20">
      <c r="A117" s="22" t="s">
        <v>353</v>
      </c>
      <c r="B117" s="21"/>
      <c r="C117" s="21"/>
      <c r="D117" s="21"/>
      <c r="E117" s="21"/>
      <c r="F117" s="21">
        <f t="shared" si="89"/>
        <v>-0.16723549488054607</v>
      </c>
      <c r="G117" s="21">
        <f t="shared" si="89"/>
        <v>0.1075</v>
      </c>
      <c r="H117" s="21">
        <f t="shared" si="89"/>
        <v>-8.6492890995260668E-2</v>
      </c>
      <c r="I117" s="21">
        <f>+(I111-E111)/E111</f>
        <v>8.6065573770491802E-2</v>
      </c>
      <c r="J117" s="21"/>
      <c r="K117" s="21"/>
      <c r="L117" s="22" t="s">
        <v>442</v>
      </c>
      <c r="M117" s="21"/>
      <c r="N117" s="21">
        <f t="shared" si="90"/>
        <v>0.26447058823529412</v>
      </c>
      <c r="O117" s="21">
        <f t="shared" si="90"/>
        <v>-0.15556382582806103</v>
      </c>
      <c r="P117" s="21">
        <f>+(P111-O111)/O111</f>
        <v>-7.0515645658880566E-3</v>
      </c>
      <c r="Q117" s="19"/>
      <c r="R117" s="19"/>
      <c r="S117" s="19"/>
      <c r="T117" s="19"/>
    </row>
    <row r="118" spans="1:20">
      <c r="A118" s="22" t="s">
        <v>354</v>
      </c>
      <c r="B118" s="21"/>
      <c r="C118" s="21"/>
      <c r="D118" s="21"/>
      <c r="E118" s="21"/>
      <c r="F118" s="21">
        <f t="shared" si="89"/>
        <v>-2.3148148148148147E-2</v>
      </c>
      <c r="G118" s="21">
        <f t="shared" si="89"/>
        <v>-2.181818181818182E-2</v>
      </c>
      <c r="H118" s="21">
        <f t="shared" si="89"/>
        <v>3.5353535353535352E-2</v>
      </c>
      <c r="I118" s="21">
        <f>+(I112-E112)/E112</f>
        <v>0.11353711790393013</v>
      </c>
      <c r="J118" s="21"/>
      <c r="K118" s="21"/>
      <c r="L118" s="22" t="s">
        <v>442</v>
      </c>
      <c r="M118" s="21"/>
      <c r="N118" s="21">
        <f t="shared" si="90"/>
        <v>-4.2910447761194029E-2</v>
      </c>
      <c r="O118" s="21">
        <f t="shared" si="90"/>
        <v>-0.10526315789473684</v>
      </c>
      <c r="P118" s="21">
        <f>+(P112-O112)/O112</f>
        <v>2.3965141612200435E-2</v>
      </c>
      <c r="Q118" s="19"/>
      <c r="R118" s="19"/>
      <c r="S118" s="19"/>
      <c r="T118" s="19"/>
    </row>
    <row r="119" spans="1:20" s="10" customFormat="1">
      <c r="A119" s="20"/>
      <c r="B119" s="20"/>
      <c r="C119" s="20"/>
      <c r="D119" s="20"/>
      <c r="E119" s="20"/>
      <c r="F119" s="20"/>
      <c r="G119" s="20"/>
      <c r="H119" s="20"/>
      <c r="I119" s="20"/>
      <c r="J119" s="20"/>
      <c r="K119" s="20"/>
      <c r="L119" s="23" t="s">
        <v>442</v>
      </c>
      <c r="M119" s="20"/>
      <c r="N119" s="20"/>
      <c r="O119" s="20"/>
      <c r="P119" s="20"/>
      <c r="Q119" s="20"/>
      <c r="R119" s="20"/>
      <c r="S119" s="20"/>
      <c r="T119" s="20"/>
    </row>
    <row r="120" spans="1:20" s="10" customFormat="1">
      <c r="A120" s="22" t="s">
        <v>467</v>
      </c>
      <c r="B120" s="20"/>
      <c r="C120" s="21">
        <f t="shared" ref="C120:I120" si="91">+(C108-B108)/B108</f>
        <v>-0.18638647784376428</v>
      </c>
      <c r="D120" s="21">
        <f t="shared" si="91"/>
        <v>-3.874227961819203E-2</v>
      </c>
      <c r="E120" s="21">
        <f t="shared" si="91"/>
        <v>0.2102803738317757</v>
      </c>
      <c r="F120" s="21">
        <f t="shared" si="91"/>
        <v>-0.15974903474903476</v>
      </c>
      <c r="G120" s="21">
        <f t="shared" si="91"/>
        <v>2.2975301550832855E-2</v>
      </c>
      <c r="H120" s="21">
        <f t="shared" si="91"/>
        <v>-8.1976417742841104E-2</v>
      </c>
      <c r="I120" s="21">
        <f t="shared" si="91"/>
        <v>0.34923547400611621</v>
      </c>
      <c r="J120" s="20"/>
      <c r="K120" s="20"/>
      <c r="L120" s="23" t="s">
        <v>442</v>
      </c>
      <c r="M120" s="20"/>
      <c r="N120" s="20"/>
      <c r="O120" s="20"/>
      <c r="P120" s="20"/>
      <c r="Q120" s="20"/>
      <c r="R120" s="20"/>
      <c r="S120" s="20"/>
      <c r="T120" s="20"/>
    </row>
    <row r="121" spans="1:20" s="10" customFormat="1">
      <c r="A121" s="22" t="s">
        <v>468</v>
      </c>
      <c r="B121" s="20"/>
      <c r="C121" s="21">
        <f t="shared" ref="C121:H124" si="92">+(C109-B109)/B109</f>
        <v>-0.29124004550625709</v>
      </c>
      <c r="D121" s="21">
        <f t="shared" si="92"/>
        <v>-0.3595505617977528</v>
      </c>
      <c r="E121" s="21">
        <f t="shared" si="92"/>
        <v>1.3082706766917294</v>
      </c>
      <c r="F121" s="21">
        <f t="shared" si="92"/>
        <v>-0.33116178067318131</v>
      </c>
      <c r="G121" s="21">
        <f t="shared" si="92"/>
        <v>5.0324675324675328E-2</v>
      </c>
      <c r="H121" s="21">
        <f t="shared" si="92"/>
        <v>-0.31993817619783615</v>
      </c>
      <c r="I121" s="21">
        <f>+(I109-H109)/H109</f>
        <v>1.1000000000000001</v>
      </c>
      <c r="J121" s="20"/>
      <c r="K121" s="20"/>
      <c r="L121" s="23" t="s">
        <v>442</v>
      </c>
      <c r="M121" s="20"/>
      <c r="N121" s="20"/>
      <c r="O121" s="20"/>
      <c r="P121" s="20"/>
      <c r="Q121" s="20"/>
      <c r="R121" s="20"/>
      <c r="S121" s="20"/>
      <c r="T121" s="20"/>
    </row>
    <row r="122" spans="1:20" s="10" customFormat="1">
      <c r="A122" s="22" t="s">
        <v>469</v>
      </c>
      <c r="B122" s="20"/>
      <c r="C122" s="21">
        <f t="shared" si="92"/>
        <v>-0.39700374531835209</v>
      </c>
      <c r="D122" s="21">
        <f t="shared" si="92"/>
        <v>-0.43892339544513459</v>
      </c>
      <c r="E122" s="21">
        <f t="shared" si="92"/>
        <v>-0.2988929889298893</v>
      </c>
      <c r="F122" s="21">
        <f t="shared" si="92"/>
        <v>2.5263157894736841</v>
      </c>
      <c r="G122" s="21">
        <f t="shared" si="92"/>
        <v>-0.37014925373134328</v>
      </c>
      <c r="H122" s="21">
        <f t="shared" si="92"/>
        <v>-0.48104265402843605</v>
      </c>
      <c r="I122" s="21">
        <f>+(I110-H110)/H110</f>
        <v>5.9360730593607303E-2</v>
      </c>
      <c r="J122" s="20"/>
      <c r="K122" s="20"/>
      <c r="L122" s="23" t="s">
        <v>442</v>
      </c>
      <c r="M122" s="20"/>
      <c r="N122" s="20"/>
      <c r="O122" s="20"/>
      <c r="P122" s="20"/>
      <c r="Q122" s="20"/>
      <c r="R122" s="20"/>
      <c r="S122" s="20"/>
      <c r="T122" s="20"/>
    </row>
    <row r="123" spans="1:20" s="10" customFormat="1">
      <c r="A123" s="22" t="s">
        <v>470</v>
      </c>
      <c r="B123" s="20"/>
      <c r="C123" s="21">
        <f t="shared" si="92"/>
        <v>0.3651877133105802</v>
      </c>
      <c r="D123" s="21">
        <f t="shared" si="92"/>
        <v>1.1100000000000001</v>
      </c>
      <c r="E123" s="21">
        <f t="shared" si="92"/>
        <v>-0.13270142180094788</v>
      </c>
      <c r="F123" s="21">
        <f t="shared" si="92"/>
        <v>-0.66666666666666663</v>
      </c>
      <c r="G123" s="21">
        <f t="shared" si="92"/>
        <v>0.81557377049180324</v>
      </c>
      <c r="H123" s="21">
        <f t="shared" si="92"/>
        <v>0.7404063205417607</v>
      </c>
      <c r="I123" s="21">
        <f>+(I111-H111)/H111</f>
        <v>3.1128404669260701E-2</v>
      </c>
      <c r="J123" s="20"/>
      <c r="K123" s="20"/>
      <c r="L123" s="23" t="s">
        <v>442</v>
      </c>
      <c r="M123" s="20"/>
      <c r="N123" s="20"/>
      <c r="O123" s="20"/>
      <c r="P123" s="20"/>
      <c r="Q123" s="20"/>
      <c r="R123" s="20"/>
      <c r="S123" s="20"/>
      <c r="T123" s="20"/>
    </row>
    <row r="124" spans="1:20">
      <c r="A124" s="22" t="s">
        <v>471</v>
      </c>
      <c r="B124" s="19"/>
      <c r="C124" s="21">
        <f t="shared" si="92"/>
        <v>0.27314814814814814</v>
      </c>
      <c r="D124" s="21">
        <f t="shared" si="92"/>
        <v>-0.28000000000000003</v>
      </c>
      <c r="E124" s="21">
        <f t="shared" si="92"/>
        <v>0.15656565656565657</v>
      </c>
      <c r="F124" s="21">
        <f t="shared" si="92"/>
        <v>-7.8602620087336247E-2</v>
      </c>
      <c r="G124" s="21">
        <f t="shared" si="92"/>
        <v>0.27488151658767773</v>
      </c>
      <c r="H124" s="21">
        <f t="shared" si="92"/>
        <v>-0.23791821561338289</v>
      </c>
      <c r="I124" s="21">
        <f>+(I112-H112)/H112</f>
        <v>0.24390243902439024</v>
      </c>
      <c r="J124" s="19"/>
      <c r="K124" s="19"/>
      <c r="L124" s="22" t="s">
        <v>442</v>
      </c>
      <c r="M124" s="22"/>
      <c r="N124" s="21"/>
      <c r="O124" s="21"/>
      <c r="P124" s="19"/>
      <c r="Q124" s="19"/>
      <c r="R124" s="19"/>
      <c r="S124" s="19"/>
      <c r="T124" s="19"/>
    </row>
    <row r="125" spans="1:20">
      <c r="A125" s="22"/>
      <c r="B125" s="21"/>
      <c r="C125" s="21"/>
      <c r="D125" s="21"/>
      <c r="E125" s="21"/>
      <c r="F125" s="21"/>
      <c r="G125" s="21"/>
      <c r="H125" s="21"/>
      <c r="I125" s="21"/>
      <c r="J125" s="21"/>
      <c r="K125" s="21"/>
      <c r="L125" s="22" t="s">
        <v>442</v>
      </c>
      <c r="M125" s="21"/>
      <c r="N125" s="21"/>
      <c r="O125" s="21"/>
      <c r="P125" s="21"/>
      <c r="Q125" s="19"/>
      <c r="R125" s="19"/>
      <c r="S125" s="19"/>
      <c r="T125" s="19"/>
    </row>
    <row r="126" spans="1:20">
      <c r="A126" s="22" t="s">
        <v>233</v>
      </c>
      <c r="B126" s="19"/>
      <c r="C126" s="19"/>
      <c r="D126" s="19"/>
      <c r="E126" s="19"/>
      <c r="F126" s="19"/>
      <c r="G126" s="19"/>
      <c r="H126" s="19"/>
      <c r="I126" s="19"/>
      <c r="J126" s="19"/>
      <c r="K126" s="19"/>
      <c r="L126" s="22" t="s">
        <v>442</v>
      </c>
      <c r="M126" s="19"/>
      <c r="N126" s="19"/>
      <c r="O126" s="19"/>
      <c r="P126" s="19"/>
      <c r="Q126" s="19"/>
      <c r="R126" s="19"/>
      <c r="S126" s="19"/>
      <c r="T126" s="19"/>
    </row>
    <row r="127" spans="1:20" s="24" customFormat="1">
      <c r="A127" s="26" t="s">
        <v>234</v>
      </c>
      <c r="B127" s="26"/>
      <c r="C127" s="26"/>
      <c r="D127" s="26"/>
      <c r="E127" s="26"/>
      <c r="F127" s="26">
        <v>-0.03</v>
      </c>
      <c r="G127" s="26"/>
      <c r="H127" s="26">
        <v>-0.05</v>
      </c>
      <c r="I127" s="26"/>
      <c r="J127" s="26"/>
      <c r="K127" s="26"/>
      <c r="L127" s="21" t="s">
        <v>442</v>
      </c>
      <c r="M127" s="26"/>
      <c r="N127" s="26">
        <v>0.1</v>
      </c>
      <c r="O127" s="26">
        <v>7.0000000000000007E-2</v>
      </c>
      <c r="P127" s="26">
        <v>-0.05</v>
      </c>
      <c r="Q127" s="26"/>
      <c r="R127" s="26"/>
      <c r="S127" s="26"/>
      <c r="T127" s="26"/>
    </row>
    <row r="128" spans="1:20" s="24" customFormat="1">
      <c r="A128" s="26" t="s">
        <v>235</v>
      </c>
      <c r="B128" s="26"/>
      <c r="C128" s="26"/>
      <c r="D128" s="26"/>
      <c r="E128" s="26"/>
      <c r="F128" s="26">
        <v>-0.18</v>
      </c>
      <c r="G128" s="26"/>
      <c r="H128" s="26">
        <v>-0.02</v>
      </c>
      <c r="I128" s="26"/>
      <c r="J128" s="26"/>
      <c r="K128" s="26"/>
      <c r="L128" s="21" t="s">
        <v>442</v>
      </c>
      <c r="M128" s="26"/>
      <c r="N128" s="26">
        <v>0.05</v>
      </c>
      <c r="O128" s="26">
        <v>-0.1</v>
      </c>
      <c r="P128" s="26">
        <v>0.03</v>
      </c>
      <c r="Q128" s="26"/>
      <c r="R128" s="26"/>
      <c r="S128" s="26"/>
      <c r="T128" s="26"/>
    </row>
    <row r="129" spans="1:20" s="24" customFormat="1">
      <c r="A129" s="26" t="s">
        <v>236</v>
      </c>
      <c r="B129" s="26"/>
      <c r="C129" s="26"/>
      <c r="D129" s="26"/>
      <c r="E129" s="26"/>
      <c r="F129" s="26">
        <v>-0.01</v>
      </c>
      <c r="G129" s="26"/>
      <c r="H129" s="26">
        <v>-0.03</v>
      </c>
      <c r="I129" s="26"/>
      <c r="J129" s="26"/>
      <c r="K129" s="26"/>
      <c r="L129" s="21" t="s">
        <v>442</v>
      </c>
      <c r="M129" s="26"/>
      <c r="N129" s="26">
        <v>-0.03</v>
      </c>
      <c r="O129" s="26">
        <v>-0.01</v>
      </c>
      <c r="P129" s="26">
        <v>-0.03</v>
      </c>
      <c r="Q129" s="26"/>
      <c r="R129" s="26"/>
      <c r="S129" s="26"/>
      <c r="T129" s="26"/>
    </row>
    <row r="130" spans="1:20" s="24" customFormat="1">
      <c r="A130" s="26" t="s">
        <v>237</v>
      </c>
      <c r="B130" s="26"/>
      <c r="C130" s="26"/>
      <c r="D130" s="26"/>
      <c r="E130" s="26"/>
      <c r="F130" s="26">
        <v>0.02</v>
      </c>
      <c r="G130" s="26"/>
      <c r="H130" s="26">
        <v>0.01</v>
      </c>
      <c r="I130" s="26"/>
      <c r="J130" s="26"/>
      <c r="K130" s="26"/>
      <c r="L130" s="21" t="s">
        <v>442</v>
      </c>
      <c r="M130" s="26"/>
      <c r="N130" s="26">
        <v>-0.01</v>
      </c>
      <c r="O130" s="26">
        <v>0.03</v>
      </c>
      <c r="P130" s="26">
        <v>0</v>
      </c>
      <c r="Q130" s="26"/>
      <c r="R130" s="26"/>
      <c r="S130" s="26"/>
      <c r="T130" s="26"/>
    </row>
    <row r="131" spans="1:20">
      <c r="A131" s="22"/>
      <c r="B131" s="21"/>
      <c r="C131" s="21"/>
      <c r="D131" s="21"/>
      <c r="E131" s="21"/>
      <c r="F131" s="21"/>
      <c r="G131" s="21"/>
      <c r="H131" s="21"/>
      <c r="I131" s="21"/>
      <c r="J131" s="21"/>
      <c r="K131" s="21"/>
      <c r="L131" s="22" t="s">
        <v>442</v>
      </c>
      <c r="M131" s="21"/>
      <c r="N131" s="21"/>
      <c r="O131" s="21"/>
      <c r="P131" s="21"/>
      <c r="Q131" s="19"/>
      <c r="R131" s="19"/>
      <c r="S131" s="19"/>
      <c r="T131" s="19"/>
    </row>
    <row r="132" spans="1:20">
      <c r="L132" s="3" t="s">
        <v>442</v>
      </c>
      <c r="M132" s="10"/>
      <c r="N132" s="10"/>
      <c r="O132" s="10"/>
    </row>
    <row r="133" spans="1:20">
      <c r="A133" s="3"/>
      <c r="B133" s="3" t="str">
        <f t="shared" ref="B133:K133" si="93">B4</f>
        <v>Q123</v>
      </c>
      <c r="C133" s="3" t="str">
        <f t="shared" si="93"/>
        <v>Q223</v>
      </c>
      <c r="D133" s="3" t="str">
        <f t="shared" si="93"/>
        <v>Q323</v>
      </c>
      <c r="E133" s="3" t="str">
        <f t="shared" si="93"/>
        <v>Q423</v>
      </c>
      <c r="F133" s="3" t="str">
        <f t="shared" si="93"/>
        <v>Q124</v>
      </c>
      <c r="G133" s="3" t="str">
        <f t="shared" si="93"/>
        <v>Q224</v>
      </c>
      <c r="H133" s="3" t="str">
        <f t="shared" si="93"/>
        <v>Q324</v>
      </c>
      <c r="I133" s="3" t="str">
        <f t="shared" si="93"/>
        <v>Q424</v>
      </c>
      <c r="J133" s="3" t="str">
        <f t="shared" si="93"/>
        <v>Q125</v>
      </c>
      <c r="K133" s="3" t="str">
        <f t="shared" si="93"/>
        <v>Q225</v>
      </c>
      <c r="L133" s="3" t="s">
        <v>442</v>
      </c>
      <c r="M133" s="3">
        <f>M4</f>
        <v>2021</v>
      </c>
      <c r="N133" s="3">
        <f>N4</f>
        <v>2022</v>
      </c>
      <c r="O133" s="3">
        <f>O4</f>
        <v>2023</v>
      </c>
      <c r="P133" s="3">
        <f>P4</f>
        <v>2024</v>
      </c>
      <c r="Q133" s="3"/>
      <c r="R133" s="3"/>
      <c r="S133" s="3"/>
      <c r="T133" s="3"/>
    </row>
    <row r="134" spans="1:20" s="24" customFormat="1">
      <c r="A134" s="16" t="s">
        <v>245</v>
      </c>
      <c r="B134" s="16"/>
      <c r="C134" s="16"/>
      <c r="D134" s="16"/>
      <c r="E134" s="16"/>
      <c r="F134" s="16">
        <f>+(F136-B136)/B136</f>
        <v>-8.026208026208026E-2</v>
      </c>
      <c r="G134" s="16">
        <f>+(G136-C136)/C136</f>
        <v>1.1083540115798181E-2</v>
      </c>
      <c r="H134" s="16">
        <f>+(H136-D136)/D136</f>
        <v>-0.10193050193050193</v>
      </c>
      <c r="I134" s="16">
        <f>+(I136-E136)/E136</f>
        <v>7.3104936606420284E-2</v>
      </c>
      <c r="J134" s="16"/>
      <c r="K134" s="16"/>
      <c r="L134" s="17" t="s">
        <v>442</v>
      </c>
      <c r="M134" s="16"/>
      <c r="N134" s="16">
        <f>(N136-M136)/M136</f>
        <v>0.11497923985946981</v>
      </c>
      <c r="O134" s="16">
        <f t="shared" ref="O134:P134" si="94">(O136-N136)/N136</f>
        <v>-1.3119450014322544E-2</v>
      </c>
      <c r="P134" s="16">
        <f t="shared" si="94"/>
        <v>-1.8460466736328805E-2</v>
      </c>
      <c r="Q134" s="16"/>
      <c r="R134" s="16"/>
      <c r="S134" s="16"/>
      <c r="T134" s="16"/>
    </row>
    <row r="135" spans="1:20">
      <c r="A135" s="17" t="s">
        <v>451</v>
      </c>
      <c r="B135" s="27"/>
      <c r="C135" s="27">
        <f t="shared" ref="C135" si="95">(C136-B136)/B136</f>
        <v>0.23771498771498772</v>
      </c>
      <c r="D135" s="27">
        <f t="shared" ref="D135" si="96">(D136-C136)/C136</f>
        <v>-0.57154673283705537</v>
      </c>
      <c r="E135" s="27">
        <f t="shared" ref="E135" si="97">(E136-D136)/D136</f>
        <v>0.43127413127413128</v>
      </c>
      <c r="F135" s="27">
        <f t="shared" ref="F135:I135" si="98">(F136-E136)/E136</f>
        <v>0.2117615322363097</v>
      </c>
      <c r="G135" s="27">
        <f t="shared" si="98"/>
        <v>0.36064113980409618</v>
      </c>
      <c r="H135" s="27">
        <f t="shared" si="98"/>
        <v>-0.61943717277486909</v>
      </c>
      <c r="I135" s="27">
        <f t="shared" si="98"/>
        <v>0.71023215821152197</v>
      </c>
      <c r="J135" s="27"/>
      <c r="K135" s="27"/>
      <c r="L135" s="17" t="s">
        <v>442</v>
      </c>
      <c r="M135" s="27"/>
      <c r="N135" s="27"/>
      <c r="O135" s="27"/>
      <c r="P135" s="27"/>
      <c r="Q135" s="17"/>
      <c r="R135" s="17"/>
      <c r="S135" s="17"/>
      <c r="T135" s="17"/>
    </row>
    <row r="136" spans="1:20">
      <c r="A136" s="14" t="s">
        <v>244</v>
      </c>
      <c r="B136" s="15">
        <v>4884</v>
      </c>
      <c r="C136" s="15">
        <v>6045</v>
      </c>
      <c r="D136" s="15">
        <v>2590</v>
      </c>
      <c r="E136" s="15">
        <f>+O136-SUM(B136:D136)</f>
        <v>3707</v>
      </c>
      <c r="F136" s="15">
        <v>4492</v>
      </c>
      <c r="G136" s="15">
        <v>6112</v>
      </c>
      <c r="H136" s="15">
        <v>2326</v>
      </c>
      <c r="I136" s="15">
        <f>+P136-SUM(F136:H136)</f>
        <v>3978</v>
      </c>
      <c r="J136" s="15"/>
      <c r="K136" s="15"/>
      <c r="L136" s="17" t="s">
        <v>442</v>
      </c>
      <c r="M136" s="15">
        <v>15655</v>
      </c>
      <c r="N136" s="15">
        <v>17455</v>
      </c>
      <c r="O136" s="15">
        <v>17226</v>
      </c>
      <c r="P136" s="15">
        <v>16908</v>
      </c>
      <c r="Q136" s="14"/>
      <c r="R136" s="14"/>
      <c r="S136" s="14"/>
      <c r="T136" s="14"/>
    </row>
    <row r="137" spans="1:20">
      <c r="A137" s="14" t="s">
        <v>238</v>
      </c>
      <c r="B137" s="15">
        <v>2771</v>
      </c>
      <c r="C137" s="15">
        <v>3137</v>
      </c>
      <c r="D137" s="15">
        <v>1646</v>
      </c>
      <c r="E137" s="15">
        <f>+O137-SUM(B137:D137)</f>
        <v>2366</v>
      </c>
      <c r="F137" s="15">
        <v>2550</v>
      </c>
      <c r="G137" s="15">
        <v>2918</v>
      </c>
      <c r="H137" s="15">
        <v>1565</v>
      </c>
      <c r="I137" s="15">
        <f>+P137-SUM(F137:H137)</f>
        <v>2496</v>
      </c>
      <c r="J137" s="15"/>
      <c r="K137" s="15"/>
      <c r="L137" s="17" t="s">
        <v>442</v>
      </c>
      <c r="M137" s="15">
        <v>9220</v>
      </c>
      <c r="N137" s="15">
        <v>10436</v>
      </c>
      <c r="O137" s="15">
        <v>9920</v>
      </c>
      <c r="P137" s="15">
        <v>9529</v>
      </c>
      <c r="Q137" s="14"/>
      <c r="R137" s="14"/>
      <c r="S137" s="14"/>
      <c r="T137" s="14"/>
    </row>
    <row r="138" spans="1:20">
      <c r="A138" s="17" t="s">
        <v>243</v>
      </c>
      <c r="B138" s="18">
        <f t="shared" ref="B138" si="99">+B136-B137</f>
        <v>2113</v>
      </c>
      <c r="C138" s="18">
        <f t="shared" ref="C138" si="100">+C136-C137</f>
        <v>2908</v>
      </c>
      <c r="D138" s="18">
        <f t="shared" ref="D138" si="101">+D136-D137</f>
        <v>944</v>
      </c>
      <c r="E138" s="18">
        <f t="shared" ref="E138" si="102">+E136-E137</f>
        <v>1341</v>
      </c>
      <c r="F138" s="18">
        <f t="shared" ref="F138" si="103">+F136-F137</f>
        <v>1942</v>
      </c>
      <c r="G138" s="18">
        <f t="shared" ref="G138:H138" si="104">+G136-G137</f>
        <v>3194</v>
      </c>
      <c r="H138" s="18">
        <f t="shared" si="104"/>
        <v>761</v>
      </c>
      <c r="I138" s="18">
        <f t="shared" ref="I138:J138" si="105">+I136-I137</f>
        <v>1482</v>
      </c>
      <c r="J138" s="18">
        <f t="shared" si="105"/>
        <v>0</v>
      </c>
      <c r="K138" s="18">
        <f t="shared" ref="K138" si="106">+K136-K137</f>
        <v>0</v>
      </c>
      <c r="L138" s="17" t="s">
        <v>442</v>
      </c>
      <c r="M138" s="18">
        <f t="shared" ref="M138:N138" si="107">+M136-M137</f>
        <v>6435</v>
      </c>
      <c r="N138" s="18">
        <f t="shared" si="107"/>
        <v>7019</v>
      </c>
      <c r="O138" s="18">
        <f>+O136-O137</f>
        <v>7306</v>
      </c>
      <c r="P138" s="18">
        <f t="shared" ref="P138" si="108">+P136-P137</f>
        <v>7379</v>
      </c>
      <c r="Q138" s="17"/>
      <c r="R138" s="17"/>
      <c r="S138" s="17"/>
      <c r="T138" s="17"/>
    </row>
    <row r="139" spans="1:20">
      <c r="A139" s="14" t="s">
        <v>239</v>
      </c>
      <c r="B139" s="14">
        <v>316</v>
      </c>
      <c r="C139" s="14">
        <v>329</v>
      </c>
      <c r="D139" s="14">
        <v>335</v>
      </c>
      <c r="E139" s="15">
        <f t="shared" ref="E139:E144" si="109">+O139-SUM(B139:D139)</f>
        <v>357</v>
      </c>
      <c r="F139" s="14">
        <v>332</v>
      </c>
      <c r="G139" s="14">
        <v>357</v>
      </c>
      <c r="H139" s="14">
        <v>348</v>
      </c>
      <c r="I139" s="15">
        <f t="shared" ref="I139:I144" si="110">+P139-SUM(F139:H139)</f>
        <v>365</v>
      </c>
      <c r="J139" s="14"/>
      <c r="K139" s="14"/>
      <c r="L139" s="17" t="s">
        <v>442</v>
      </c>
      <c r="M139" s="14">
        <v>1187</v>
      </c>
      <c r="N139" s="14">
        <v>1216</v>
      </c>
      <c r="O139" s="14">
        <v>1337</v>
      </c>
      <c r="P139" s="14">
        <v>1402</v>
      </c>
      <c r="Q139" s="14"/>
      <c r="R139" s="14"/>
      <c r="S139" s="14"/>
      <c r="T139" s="14"/>
    </row>
    <row r="140" spans="1:20">
      <c r="A140" s="14" t="s">
        <v>246</v>
      </c>
      <c r="B140" s="14">
        <v>726</v>
      </c>
      <c r="C140" s="14">
        <v>1045</v>
      </c>
      <c r="D140" s="14">
        <v>670</v>
      </c>
      <c r="E140" s="15">
        <f t="shared" si="109"/>
        <v>735</v>
      </c>
      <c r="F140" s="14">
        <v>736</v>
      </c>
      <c r="G140" s="14">
        <v>1054</v>
      </c>
      <c r="H140" s="14">
        <v>671</v>
      </c>
      <c r="I140" s="15">
        <f t="shared" si="110"/>
        <v>735</v>
      </c>
      <c r="J140" s="14"/>
      <c r="K140" s="14"/>
      <c r="L140" s="17" t="s">
        <v>442</v>
      </c>
      <c r="M140" s="14">
        <v>3209</v>
      </c>
      <c r="N140" s="14">
        <v>3173</v>
      </c>
      <c r="O140" s="14">
        <v>3176</v>
      </c>
      <c r="P140" s="14">
        <v>3196</v>
      </c>
      <c r="Q140" s="14"/>
      <c r="R140" s="14"/>
      <c r="S140" s="14"/>
      <c r="T140" s="14"/>
    </row>
    <row r="141" spans="1:20">
      <c r="A141" s="14" t="s">
        <v>247</v>
      </c>
      <c r="B141" s="14">
        <v>160</v>
      </c>
      <c r="C141" s="14">
        <v>174</v>
      </c>
      <c r="D141" s="14">
        <v>174</v>
      </c>
      <c r="E141" s="15">
        <f t="shared" si="109"/>
        <v>175</v>
      </c>
      <c r="F141" s="14">
        <v>177</v>
      </c>
      <c r="G141" s="14">
        <v>174</v>
      </c>
      <c r="H141" s="14">
        <v>170</v>
      </c>
      <c r="I141" s="15">
        <f t="shared" si="110"/>
        <v>164</v>
      </c>
      <c r="J141" s="14"/>
      <c r="K141" s="14"/>
      <c r="L141" s="17" t="s">
        <v>442</v>
      </c>
      <c r="M141" s="14">
        <v>722</v>
      </c>
      <c r="N141" s="14">
        <v>702</v>
      </c>
      <c r="O141" s="14">
        <v>683</v>
      </c>
      <c r="P141" s="14">
        <v>685</v>
      </c>
      <c r="Q141" s="14"/>
      <c r="R141" s="14"/>
      <c r="S141" s="14"/>
      <c r="T141" s="14"/>
    </row>
    <row r="142" spans="1:20">
      <c r="A142" s="14" t="s">
        <v>248</v>
      </c>
      <c r="B142" s="14">
        <v>33</v>
      </c>
      <c r="C142" s="14">
        <v>60</v>
      </c>
      <c r="D142" s="14">
        <v>2</v>
      </c>
      <c r="E142" s="15">
        <f t="shared" si="109"/>
        <v>241</v>
      </c>
      <c r="F142" s="14">
        <v>75</v>
      </c>
      <c r="G142" s="14">
        <v>92</v>
      </c>
      <c r="H142" s="14">
        <v>32</v>
      </c>
      <c r="I142" s="15">
        <f t="shared" si="110"/>
        <v>89</v>
      </c>
      <c r="J142" s="14"/>
      <c r="K142" s="14"/>
      <c r="L142" s="17" t="s">
        <v>442</v>
      </c>
      <c r="M142" s="14">
        <v>289</v>
      </c>
      <c r="N142" s="14">
        <v>363</v>
      </c>
      <c r="O142" s="14">
        <v>336</v>
      </c>
      <c r="P142" s="14">
        <v>288</v>
      </c>
      <c r="Q142" s="14"/>
      <c r="R142" s="14"/>
      <c r="S142" s="14"/>
      <c r="T142" s="14"/>
    </row>
    <row r="143" spans="1:20" s="36" customFormat="1">
      <c r="A143" s="28" t="s">
        <v>251</v>
      </c>
      <c r="B143" s="28">
        <v>-71</v>
      </c>
      <c r="C143" s="28">
        <v>-134</v>
      </c>
      <c r="D143" s="28">
        <v>-149</v>
      </c>
      <c r="E143" s="15">
        <f t="shared" si="109"/>
        <v>-94</v>
      </c>
      <c r="F143" s="28">
        <v>-99</v>
      </c>
      <c r="G143" s="28">
        <v>-113</v>
      </c>
      <c r="H143" s="28">
        <v>-107</v>
      </c>
      <c r="I143" s="15">
        <f t="shared" si="110"/>
        <v>19</v>
      </c>
      <c r="J143" s="28"/>
      <c r="K143" s="28"/>
      <c r="L143" s="30" t="s">
        <v>442</v>
      </c>
      <c r="M143" s="28">
        <v>1348</v>
      </c>
      <c r="N143" s="28">
        <v>-60</v>
      </c>
      <c r="O143" s="28">
        <v>-448</v>
      </c>
      <c r="P143" s="28">
        <v>-300</v>
      </c>
      <c r="Q143" s="28"/>
      <c r="R143" s="28"/>
      <c r="S143" s="28"/>
      <c r="T143" s="28"/>
    </row>
    <row r="144" spans="1:20">
      <c r="A144" s="14" t="s">
        <v>240</v>
      </c>
      <c r="B144" s="14">
        <v>31</v>
      </c>
      <c r="C144" s="14">
        <v>82</v>
      </c>
      <c r="D144" s="14">
        <v>58</v>
      </c>
      <c r="E144" s="15">
        <f t="shared" si="109"/>
        <v>62</v>
      </c>
      <c r="F144" s="14">
        <v>41</v>
      </c>
      <c r="G144" s="14">
        <v>66</v>
      </c>
      <c r="H144" s="14">
        <v>66</v>
      </c>
      <c r="I144" s="15">
        <f t="shared" si="110"/>
        <v>60</v>
      </c>
      <c r="J144" s="14"/>
      <c r="K144" s="14"/>
      <c r="L144" s="17" t="s">
        <v>442</v>
      </c>
      <c r="M144" s="14">
        <v>30</v>
      </c>
      <c r="N144" s="14">
        <v>79</v>
      </c>
      <c r="O144" s="14">
        <v>233</v>
      </c>
      <c r="P144" s="14">
        <v>233</v>
      </c>
      <c r="Q144" s="14"/>
      <c r="R144" s="14"/>
      <c r="S144" s="14"/>
      <c r="T144" s="14"/>
    </row>
    <row r="145" spans="1:20">
      <c r="A145" s="17" t="s">
        <v>249</v>
      </c>
      <c r="B145" s="17">
        <f t="shared" ref="B145" si="111">+B139+B140+B141+B142+B144</f>
        <v>1266</v>
      </c>
      <c r="C145" s="17">
        <f t="shared" ref="C145" si="112">+C139+C140+C141+C142+C144</f>
        <v>1690</v>
      </c>
      <c r="D145" s="17">
        <f t="shared" ref="D145" si="113">+D139+D140+D141+D142+D144</f>
        <v>1239</v>
      </c>
      <c r="E145" s="17">
        <f t="shared" ref="E145" si="114">+E139+E140+E141+E142+E144</f>
        <v>1570</v>
      </c>
      <c r="F145" s="17">
        <f t="shared" ref="F145" si="115">+F139+F140+F141+F142+F144</f>
        <v>1361</v>
      </c>
      <c r="G145" s="17">
        <f t="shared" ref="G145:H145" si="116">+G139+G140+G141+G142+G144</f>
        <v>1743</v>
      </c>
      <c r="H145" s="17">
        <f t="shared" si="116"/>
        <v>1287</v>
      </c>
      <c r="I145" s="17">
        <f t="shared" ref="I145:J145" si="117">+I139+I140+I141+I142+I144</f>
        <v>1413</v>
      </c>
      <c r="J145" s="17">
        <f t="shared" si="117"/>
        <v>0</v>
      </c>
      <c r="K145" s="17">
        <f t="shared" ref="K145" si="118">+K139+K140+K141+K142+K144</f>
        <v>0</v>
      </c>
      <c r="L145" s="17" t="s">
        <v>442</v>
      </c>
      <c r="M145" s="17">
        <f>+M139+M140+M141+M142+M144</f>
        <v>5437</v>
      </c>
      <c r="N145" s="17">
        <f t="shared" ref="N145:P145" si="119">+N139+N140+N141+N142+N144</f>
        <v>5533</v>
      </c>
      <c r="O145" s="17">
        <f t="shared" si="119"/>
        <v>5765</v>
      </c>
      <c r="P145" s="17">
        <f t="shared" si="119"/>
        <v>5804</v>
      </c>
      <c r="Q145" s="17"/>
      <c r="R145" s="17"/>
      <c r="S145" s="17"/>
      <c r="T145" s="17"/>
    </row>
    <row r="146" spans="1:20">
      <c r="A146" s="17" t="s">
        <v>253</v>
      </c>
      <c r="B146" s="18">
        <f t="shared" ref="B146" si="120">+B138+B143-B145</f>
        <v>776</v>
      </c>
      <c r="C146" s="18">
        <f t="shared" ref="C146" si="121">+C138+C143-C145</f>
        <v>1084</v>
      </c>
      <c r="D146" s="18">
        <f t="shared" ref="D146" si="122">+D138+D143-D145</f>
        <v>-444</v>
      </c>
      <c r="E146" s="18">
        <f t="shared" ref="E146" si="123">+E138+E143-E145</f>
        <v>-323</v>
      </c>
      <c r="F146" s="18">
        <f t="shared" ref="F146" si="124">+F138+F143-F145</f>
        <v>482</v>
      </c>
      <c r="G146" s="18">
        <f t="shared" ref="G146:H146" si="125">+G138+G143-G145</f>
        <v>1338</v>
      </c>
      <c r="H146" s="18">
        <f t="shared" si="125"/>
        <v>-633</v>
      </c>
      <c r="I146" s="18">
        <f t="shared" ref="I146:J146" si="126">+I138+I143-I145</f>
        <v>88</v>
      </c>
      <c r="J146" s="18">
        <f t="shared" si="126"/>
        <v>0</v>
      </c>
      <c r="K146" s="18">
        <f t="shared" ref="K146" si="127">+K138+K143-K145</f>
        <v>0</v>
      </c>
      <c r="L146" s="17" t="s">
        <v>442</v>
      </c>
      <c r="M146" s="18">
        <f>+M138+M143-M145</f>
        <v>2346</v>
      </c>
      <c r="N146" s="18">
        <f t="shared" ref="N146:P146" si="128">+N138+N143-N145</f>
        <v>1426</v>
      </c>
      <c r="O146" s="18">
        <f t="shared" si="128"/>
        <v>1093</v>
      </c>
      <c r="P146" s="18">
        <f t="shared" si="128"/>
        <v>1275</v>
      </c>
      <c r="Q146" s="17"/>
      <c r="R146" s="17"/>
      <c r="S146" s="17"/>
      <c r="T146" s="17"/>
    </row>
    <row r="147" spans="1:20">
      <c r="A147" s="14" t="s">
        <v>252</v>
      </c>
      <c r="B147" s="14">
        <v>169</v>
      </c>
      <c r="C147" s="14">
        <v>204</v>
      </c>
      <c r="D147" s="14">
        <v>-129</v>
      </c>
      <c r="E147" s="15">
        <f>+O147-SUM(B147:D147)</f>
        <v>-92</v>
      </c>
      <c r="F147" s="14">
        <v>106</v>
      </c>
      <c r="G147" s="14">
        <v>282</v>
      </c>
      <c r="H147" s="14">
        <v>-114</v>
      </c>
      <c r="I147" s="15">
        <f>+P147-SUM(F147:H147)</f>
        <v>138</v>
      </c>
      <c r="J147" s="14"/>
      <c r="K147" s="14"/>
      <c r="L147" s="17" t="s">
        <v>442</v>
      </c>
      <c r="M147" s="14">
        <v>524</v>
      </c>
      <c r="N147" s="14">
        <v>210</v>
      </c>
      <c r="O147" s="14">
        <v>152</v>
      </c>
      <c r="P147" s="14">
        <v>412</v>
      </c>
      <c r="Q147" s="14"/>
      <c r="R147" s="14"/>
      <c r="S147" s="14"/>
      <c r="T147" s="14"/>
    </row>
    <row r="148" spans="1:20">
      <c r="A148" s="17" t="s">
        <v>250</v>
      </c>
      <c r="B148" s="18">
        <f t="shared" ref="B148:I148" si="129">+B146-B147</f>
        <v>607</v>
      </c>
      <c r="C148" s="18">
        <f t="shared" si="129"/>
        <v>880</v>
      </c>
      <c r="D148" s="18">
        <f t="shared" si="129"/>
        <v>-315</v>
      </c>
      <c r="E148" s="18">
        <f t="shared" si="129"/>
        <v>-231</v>
      </c>
      <c r="F148" s="18">
        <f t="shared" si="129"/>
        <v>376</v>
      </c>
      <c r="G148" s="18">
        <f t="shared" si="129"/>
        <v>1056</v>
      </c>
      <c r="H148" s="18">
        <f t="shared" si="129"/>
        <v>-519</v>
      </c>
      <c r="I148" s="18">
        <f t="shared" si="129"/>
        <v>-50</v>
      </c>
      <c r="J148" s="18">
        <f t="shared" ref="J148:K148" si="130">+J146-J147</f>
        <v>0</v>
      </c>
      <c r="K148" s="18">
        <f t="shared" si="130"/>
        <v>0</v>
      </c>
      <c r="L148" s="17" t="s">
        <v>442</v>
      </c>
      <c r="M148" s="18">
        <f>+M146-M147</f>
        <v>1822</v>
      </c>
      <c r="N148" s="18">
        <f t="shared" ref="N148:O148" si="131">+N146-N147</f>
        <v>1216</v>
      </c>
      <c r="O148" s="18">
        <f t="shared" si="131"/>
        <v>941</v>
      </c>
      <c r="P148" s="18">
        <f>+P146-P147</f>
        <v>863</v>
      </c>
      <c r="Q148" s="17"/>
      <c r="R148" s="17"/>
      <c r="S148" s="17"/>
      <c r="T148" s="17"/>
    </row>
    <row r="149" spans="1:20">
      <c r="A149" s="14" t="s">
        <v>254</v>
      </c>
      <c r="B149" s="14">
        <v>-8</v>
      </c>
      <c r="C149" s="14">
        <v>-163</v>
      </c>
      <c r="D149" s="14">
        <v>-3</v>
      </c>
      <c r="E149" s="15">
        <f>+O149-SUM(B149:D149)</f>
        <v>-20</v>
      </c>
      <c r="F149" s="14">
        <v>47</v>
      </c>
      <c r="G149" s="14">
        <v>0</v>
      </c>
      <c r="H149" s="14">
        <v>-2</v>
      </c>
      <c r="I149" s="15">
        <f>+P149-SUM(F149:H149)</f>
        <v>11</v>
      </c>
      <c r="J149" s="14"/>
      <c r="K149" s="14"/>
      <c r="L149" s="17" t="s">
        <v>442</v>
      </c>
      <c r="M149" s="14">
        <v>-53</v>
      </c>
      <c r="N149" s="14">
        <v>-58</v>
      </c>
      <c r="O149" s="14">
        <v>-194</v>
      </c>
      <c r="P149" s="14">
        <v>56</v>
      </c>
      <c r="Q149" s="14"/>
      <c r="R149" s="14"/>
      <c r="S149" s="14"/>
      <c r="T149" s="14"/>
    </row>
    <row r="150" spans="1:20">
      <c r="A150" s="17" t="s">
        <v>255</v>
      </c>
      <c r="B150" s="18">
        <f t="shared" ref="B150" si="132">+B148+B149</f>
        <v>599</v>
      </c>
      <c r="C150" s="18">
        <f t="shared" ref="C150" si="133">+C148+C149</f>
        <v>717</v>
      </c>
      <c r="D150" s="18">
        <f t="shared" ref="D150" si="134">+D148+D149</f>
        <v>-318</v>
      </c>
      <c r="E150" s="18">
        <f t="shared" ref="E150" si="135">+E148+E149</f>
        <v>-251</v>
      </c>
      <c r="F150" s="18">
        <f t="shared" ref="F150" si="136">+F148+F149</f>
        <v>423</v>
      </c>
      <c r="G150" s="18">
        <f t="shared" ref="G150:H150" si="137">+G148+G149</f>
        <v>1056</v>
      </c>
      <c r="H150" s="18">
        <f t="shared" si="137"/>
        <v>-521</v>
      </c>
      <c r="I150" s="18">
        <f t="shared" ref="I150:J150" si="138">+I148+I149</f>
        <v>-39</v>
      </c>
      <c r="J150" s="18">
        <f t="shared" si="138"/>
        <v>0</v>
      </c>
      <c r="K150" s="18">
        <f t="shared" ref="K150" si="139">+K148+K149</f>
        <v>0</v>
      </c>
      <c r="L150" s="17" t="s">
        <v>442</v>
      </c>
      <c r="M150" s="18">
        <f>+M148+M149</f>
        <v>1769</v>
      </c>
      <c r="N150" s="18">
        <f t="shared" ref="N150:P150" si="140">+N148+N149</f>
        <v>1158</v>
      </c>
      <c r="O150" s="18">
        <f t="shared" si="140"/>
        <v>747</v>
      </c>
      <c r="P150" s="18">
        <f t="shared" si="140"/>
        <v>919</v>
      </c>
      <c r="Q150" s="17"/>
      <c r="R150" s="17"/>
      <c r="S150" s="17"/>
      <c r="T150" s="17"/>
    </row>
    <row r="151" spans="1:20">
      <c r="A151" s="14" t="s">
        <v>259</v>
      </c>
      <c r="B151" s="15">
        <v>4</v>
      </c>
      <c r="C151" s="15">
        <v>3</v>
      </c>
      <c r="D151" s="15">
        <v>3</v>
      </c>
      <c r="E151" s="15">
        <f>+O151-SUM(B151:D151)</f>
        <v>2</v>
      </c>
      <c r="F151" s="15">
        <v>4</v>
      </c>
      <c r="G151" s="15">
        <v>3</v>
      </c>
      <c r="H151" s="15">
        <v>3</v>
      </c>
      <c r="I151" s="15">
        <f>+P151-SUM(F151:H151)</f>
        <v>2</v>
      </c>
      <c r="J151" s="15"/>
      <c r="K151" s="15"/>
      <c r="L151" s="17" t="s">
        <v>442</v>
      </c>
      <c r="M151" s="15">
        <v>10</v>
      </c>
      <c r="N151" s="15">
        <v>11</v>
      </c>
      <c r="O151" s="15">
        <v>12</v>
      </c>
      <c r="P151" s="15">
        <v>12</v>
      </c>
      <c r="Q151" s="14"/>
      <c r="R151" s="14"/>
      <c r="S151" s="14"/>
      <c r="T151" s="14"/>
    </row>
    <row r="152" spans="1:20">
      <c r="A152" s="17" t="s">
        <v>256</v>
      </c>
      <c r="B152" s="18">
        <f t="shared" ref="B152" si="141">+B150-B151</f>
        <v>595</v>
      </c>
      <c r="C152" s="18">
        <f t="shared" ref="C152" si="142">+C150-C151</f>
        <v>714</v>
      </c>
      <c r="D152" s="18">
        <f t="shared" ref="D152" si="143">+D150-D151</f>
        <v>-321</v>
      </c>
      <c r="E152" s="18">
        <f t="shared" ref="E152" si="144">+E150-E151</f>
        <v>-253</v>
      </c>
      <c r="F152" s="18">
        <f t="shared" ref="F152" si="145">+F150-F151</f>
        <v>419</v>
      </c>
      <c r="G152" s="18">
        <f t="shared" ref="G152:H152" si="146">+G150-G151</f>
        <v>1053</v>
      </c>
      <c r="H152" s="18">
        <f t="shared" si="146"/>
        <v>-524</v>
      </c>
      <c r="I152" s="18">
        <f t="shared" ref="I152:J152" si="147">+I150-I151</f>
        <v>-41</v>
      </c>
      <c r="J152" s="18">
        <f t="shared" si="147"/>
        <v>0</v>
      </c>
      <c r="K152" s="18">
        <f t="shared" ref="K152" si="148">+K150-K151</f>
        <v>0</v>
      </c>
      <c r="L152" s="17" t="s">
        <v>442</v>
      </c>
      <c r="M152" s="18">
        <f>+M150-M151</f>
        <v>1759</v>
      </c>
      <c r="N152" s="18">
        <f t="shared" ref="N152:P152" si="149">+N150-N151</f>
        <v>1147</v>
      </c>
      <c r="O152" s="18">
        <f t="shared" si="149"/>
        <v>735</v>
      </c>
      <c r="P152" s="18">
        <f t="shared" si="149"/>
        <v>907</v>
      </c>
      <c r="Q152" s="17"/>
      <c r="R152" s="17"/>
      <c r="S152" s="17"/>
      <c r="T152" s="17"/>
    </row>
    <row r="153" spans="1:20">
      <c r="A153" s="17" t="s">
        <v>257</v>
      </c>
      <c r="B153" s="17">
        <f t="shared" ref="B153" si="150">+B141</f>
        <v>160</v>
      </c>
      <c r="C153" s="17">
        <f t="shared" ref="C153" si="151">+C141</f>
        <v>174</v>
      </c>
      <c r="D153" s="17">
        <f t="shared" ref="D153" si="152">+D141</f>
        <v>174</v>
      </c>
      <c r="E153" s="17">
        <f t="shared" ref="E153" si="153">+E141</f>
        <v>175</v>
      </c>
      <c r="F153" s="17">
        <f t="shared" ref="F153" si="154">+F141</f>
        <v>177</v>
      </c>
      <c r="G153" s="17">
        <f t="shared" ref="G153:H153" si="155">+G141</f>
        <v>174</v>
      </c>
      <c r="H153" s="17">
        <f t="shared" si="155"/>
        <v>170</v>
      </c>
      <c r="I153" s="17">
        <f t="shared" ref="I153:J153" si="156">+I141</f>
        <v>164</v>
      </c>
      <c r="J153" s="17">
        <f t="shared" si="156"/>
        <v>0</v>
      </c>
      <c r="K153" s="17">
        <f t="shared" ref="K153" si="157">+K141</f>
        <v>0</v>
      </c>
      <c r="L153" s="17" t="s">
        <v>442</v>
      </c>
      <c r="M153" s="17">
        <f>+M141</f>
        <v>722</v>
      </c>
      <c r="N153" s="17">
        <f t="shared" ref="N153:P153" si="158">+N141</f>
        <v>702</v>
      </c>
      <c r="O153" s="17">
        <f t="shared" si="158"/>
        <v>683</v>
      </c>
      <c r="P153" s="17">
        <f t="shared" si="158"/>
        <v>685</v>
      </c>
      <c r="Q153" s="17"/>
      <c r="R153" s="17"/>
      <c r="S153" s="17"/>
      <c r="T153" s="17"/>
    </row>
    <row r="154" spans="1:20">
      <c r="A154" s="17" t="s">
        <v>258</v>
      </c>
      <c r="B154" s="18">
        <f t="shared" ref="B154" si="159">+B152+B153</f>
        <v>755</v>
      </c>
      <c r="C154" s="18">
        <f t="shared" ref="C154" si="160">+C152+C153</f>
        <v>888</v>
      </c>
      <c r="D154" s="18">
        <f t="shared" ref="D154" si="161">+D152+D153</f>
        <v>-147</v>
      </c>
      <c r="E154" s="18">
        <f t="shared" ref="E154" si="162">+E152+E153</f>
        <v>-78</v>
      </c>
      <c r="F154" s="18">
        <f t="shared" ref="F154" si="163">+F152+F153</f>
        <v>596</v>
      </c>
      <c r="G154" s="18">
        <f t="shared" ref="G154:H154" si="164">+G152+G153</f>
        <v>1227</v>
      </c>
      <c r="H154" s="18">
        <f t="shared" si="164"/>
        <v>-354</v>
      </c>
      <c r="I154" s="18">
        <f t="shared" ref="I154:J154" si="165">+I152+I153</f>
        <v>123</v>
      </c>
      <c r="J154" s="18">
        <f t="shared" si="165"/>
        <v>0</v>
      </c>
      <c r="K154" s="18">
        <f t="shared" ref="K154" si="166">+K152+K153</f>
        <v>0</v>
      </c>
      <c r="L154" s="17" t="s">
        <v>442</v>
      </c>
      <c r="M154" s="18">
        <f>+M152+M153</f>
        <v>2481</v>
      </c>
      <c r="N154" s="18">
        <f t="shared" ref="N154:P154" si="167">+N152+N153</f>
        <v>1849</v>
      </c>
      <c r="O154" s="18">
        <f t="shared" si="167"/>
        <v>1418</v>
      </c>
      <c r="P154" s="18">
        <f t="shared" si="167"/>
        <v>1592</v>
      </c>
      <c r="Q154" s="17"/>
      <c r="R154" s="17"/>
      <c r="S154" s="17"/>
      <c r="T154" s="17"/>
    </row>
    <row r="155" spans="1:20">
      <c r="A155" s="14"/>
      <c r="B155" s="14"/>
      <c r="C155" s="14"/>
      <c r="D155" s="14"/>
      <c r="E155" s="14"/>
      <c r="F155" s="14"/>
      <c r="G155" s="14"/>
      <c r="H155" s="14"/>
      <c r="I155" s="14"/>
      <c r="J155" s="14"/>
      <c r="K155" s="14"/>
      <c r="L155" s="17" t="s">
        <v>442</v>
      </c>
      <c r="M155" s="14"/>
      <c r="N155" s="14"/>
      <c r="O155" s="14"/>
      <c r="P155" s="14"/>
      <c r="Q155" s="14"/>
      <c r="R155" s="14"/>
      <c r="S155" s="14"/>
      <c r="T155" s="14"/>
    </row>
    <row r="156" spans="1:20">
      <c r="A156" s="14" t="s">
        <v>260</v>
      </c>
      <c r="B156" s="15"/>
      <c r="C156" s="15"/>
      <c r="D156" s="15"/>
      <c r="E156" s="15"/>
      <c r="F156" s="15"/>
      <c r="G156" s="15"/>
      <c r="H156" s="15"/>
      <c r="I156" s="15"/>
      <c r="J156" s="15"/>
      <c r="K156" s="15"/>
      <c r="L156" s="17" t="s">
        <v>442</v>
      </c>
      <c r="M156" s="15">
        <v>741.6</v>
      </c>
      <c r="N156" s="15">
        <v>724.5</v>
      </c>
      <c r="O156" s="15">
        <v>711.9</v>
      </c>
      <c r="P156" s="15">
        <v>696</v>
      </c>
      <c r="Q156" s="14"/>
      <c r="R156" s="14"/>
      <c r="S156" s="14"/>
      <c r="T156" s="14"/>
    </row>
    <row r="157" spans="1:20">
      <c r="A157" s="17" t="s">
        <v>261</v>
      </c>
      <c r="B157" s="17"/>
      <c r="C157" s="17"/>
      <c r="D157" s="17"/>
      <c r="E157" s="17"/>
      <c r="F157" s="17"/>
      <c r="G157" s="17"/>
      <c r="H157" s="17"/>
      <c r="I157" s="17"/>
      <c r="J157" s="17"/>
      <c r="K157" s="17"/>
      <c r="L157" s="17" t="s">
        <v>442</v>
      </c>
      <c r="M157" s="29">
        <f>+M152/M156</f>
        <v>2.3718985976267528</v>
      </c>
      <c r="N157" s="29">
        <f>+N152/N156</f>
        <v>1.583160800552105</v>
      </c>
      <c r="O157" s="29">
        <f>+O152/O156</f>
        <v>1.0324483775811211</v>
      </c>
      <c r="P157" s="29">
        <f>+P152/P156</f>
        <v>1.3031609195402298</v>
      </c>
      <c r="Q157" s="17"/>
      <c r="R157" s="17"/>
      <c r="S157" s="17"/>
      <c r="T157" s="17"/>
    </row>
    <row r="158" spans="1:20">
      <c r="A158" s="3"/>
      <c r="B158" s="3"/>
      <c r="C158" s="3"/>
      <c r="D158" s="3"/>
      <c r="E158" s="3"/>
      <c r="F158" s="3"/>
      <c r="G158" s="3"/>
      <c r="H158" s="3"/>
      <c r="I158" s="3"/>
      <c r="J158" s="3"/>
      <c r="K158" s="3"/>
      <c r="L158" s="3" t="s">
        <v>442</v>
      </c>
      <c r="M158" s="13"/>
      <c r="N158" s="13"/>
      <c r="O158" s="13"/>
      <c r="P158" s="3"/>
      <c r="Q158" s="3"/>
      <c r="R158" s="3"/>
      <c r="S158" s="3"/>
      <c r="T158" s="3"/>
    </row>
    <row r="159" spans="1:20">
      <c r="A159" s="3"/>
      <c r="B159" s="3" t="str">
        <f t="shared" ref="B159:I159" si="168">+B133</f>
        <v>Q123</v>
      </c>
      <c r="C159" s="3" t="str">
        <f t="shared" si="168"/>
        <v>Q223</v>
      </c>
      <c r="D159" s="3" t="str">
        <f t="shared" si="168"/>
        <v>Q323</v>
      </c>
      <c r="E159" s="3" t="str">
        <f t="shared" si="168"/>
        <v>Q423</v>
      </c>
      <c r="F159" s="3" t="str">
        <f t="shared" si="168"/>
        <v>Q124</v>
      </c>
      <c r="G159" s="3" t="str">
        <f t="shared" si="168"/>
        <v>Q224</v>
      </c>
      <c r="H159" s="3" t="str">
        <f t="shared" si="168"/>
        <v>Q324</v>
      </c>
      <c r="I159" s="3" t="str">
        <f t="shared" si="168"/>
        <v>Q424</v>
      </c>
      <c r="J159" s="3" t="str">
        <f t="shared" ref="J159:K159" si="169">+J133</f>
        <v>Q125</v>
      </c>
      <c r="K159" s="3" t="str">
        <f t="shared" si="169"/>
        <v>Q225</v>
      </c>
      <c r="L159" s="3" t="s">
        <v>442</v>
      </c>
      <c r="M159" s="3">
        <f>+M133</f>
        <v>2021</v>
      </c>
      <c r="N159" s="3">
        <f>+N133</f>
        <v>2022</v>
      </c>
      <c r="O159" s="3">
        <f>+O133</f>
        <v>2023</v>
      </c>
      <c r="P159" s="3">
        <f>+P133</f>
        <v>2024</v>
      </c>
      <c r="Q159" s="3"/>
      <c r="R159" s="3"/>
      <c r="S159" s="3"/>
      <c r="T159" s="3"/>
    </row>
    <row r="160" spans="1:20">
      <c r="A160" s="17" t="s">
        <v>258</v>
      </c>
      <c r="B160" s="18">
        <f t="shared" ref="B160:I160" si="170">+B154</f>
        <v>755</v>
      </c>
      <c r="C160" s="18">
        <f t="shared" si="170"/>
        <v>888</v>
      </c>
      <c r="D160" s="18">
        <f t="shared" si="170"/>
        <v>-147</v>
      </c>
      <c r="E160" s="18">
        <f t="shared" si="170"/>
        <v>-78</v>
      </c>
      <c r="F160" s="18">
        <f t="shared" si="170"/>
        <v>596</v>
      </c>
      <c r="G160" s="18">
        <f t="shared" si="170"/>
        <v>1227</v>
      </c>
      <c r="H160" s="18">
        <f t="shared" si="170"/>
        <v>-354</v>
      </c>
      <c r="I160" s="18">
        <f t="shared" si="170"/>
        <v>123</v>
      </c>
      <c r="J160" s="18">
        <f t="shared" ref="J160:K160" si="171">+J154</f>
        <v>0</v>
      </c>
      <c r="K160" s="18">
        <f t="shared" si="171"/>
        <v>0</v>
      </c>
      <c r="L160" s="17" t="s">
        <v>442</v>
      </c>
      <c r="M160" s="18">
        <f>+M154</f>
        <v>2481</v>
      </c>
      <c r="N160" s="18">
        <f>+N154</f>
        <v>1849</v>
      </c>
      <c r="O160" s="18">
        <f>+O154</f>
        <v>1418</v>
      </c>
      <c r="P160" s="18">
        <f>+P154</f>
        <v>1592</v>
      </c>
      <c r="Q160" s="17"/>
      <c r="R160" s="17"/>
      <c r="S160" s="17"/>
      <c r="T160" s="17"/>
    </row>
    <row r="161" spans="1:20" s="10" customFormat="1">
      <c r="A161" s="15" t="s">
        <v>262</v>
      </c>
      <c r="B161" s="15">
        <v>599</v>
      </c>
      <c r="C161" s="15">
        <f>1316-B161</f>
        <v>717</v>
      </c>
      <c r="D161" s="15">
        <f>998-C161-B161</f>
        <v>-318</v>
      </c>
      <c r="E161" s="15">
        <f>+O161-D161-C161-B161</f>
        <v>-251</v>
      </c>
      <c r="F161" s="15">
        <v>423</v>
      </c>
      <c r="G161" s="15">
        <f>1479-F161</f>
        <v>1056</v>
      </c>
      <c r="H161" s="15">
        <f>958-G161-F161</f>
        <v>-521</v>
      </c>
      <c r="I161" s="15">
        <f t="shared" ref="I161:I172" si="172">+P161-SUM(F161:H161)</f>
        <v>-39</v>
      </c>
      <c r="J161" s="15"/>
      <c r="K161" s="15"/>
      <c r="L161" s="18" t="s">
        <v>442</v>
      </c>
      <c r="M161" s="15">
        <v>1769</v>
      </c>
      <c r="N161" s="15">
        <v>1158</v>
      </c>
      <c r="O161" s="15">
        <v>747</v>
      </c>
      <c r="P161" s="15">
        <v>919</v>
      </c>
      <c r="Q161" s="15"/>
      <c r="R161" s="15"/>
      <c r="S161" s="15"/>
      <c r="T161" s="15"/>
    </row>
    <row r="162" spans="1:20" s="10" customFormat="1">
      <c r="A162" s="15" t="s">
        <v>254</v>
      </c>
      <c r="B162" s="15">
        <v>8</v>
      </c>
      <c r="C162" s="15">
        <f>171-B162</f>
        <v>163</v>
      </c>
      <c r="D162" s="15">
        <f>174-C162-B162</f>
        <v>3</v>
      </c>
      <c r="E162" s="15">
        <f t="shared" ref="E162:E170" si="173">+O162-D162-C162-B162</f>
        <v>20</v>
      </c>
      <c r="F162" s="15">
        <v>-47</v>
      </c>
      <c r="G162" s="15">
        <f>-47-F162</f>
        <v>0</v>
      </c>
      <c r="H162" s="15">
        <f>-45-G162-F162</f>
        <v>2</v>
      </c>
      <c r="I162" s="15">
        <f t="shared" si="172"/>
        <v>-11</v>
      </c>
      <c r="J162" s="15"/>
      <c r="K162" s="15"/>
      <c r="L162" s="18" t="s">
        <v>442</v>
      </c>
      <c r="M162" s="15">
        <v>53</v>
      </c>
      <c r="N162" s="15">
        <v>58</v>
      </c>
      <c r="O162" s="15">
        <v>194</v>
      </c>
      <c r="P162" s="15">
        <v>-56</v>
      </c>
      <c r="Q162" s="15"/>
      <c r="R162" s="15"/>
      <c r="S162" s="15"/>
      <c r="T162" s="15"/>
    </row>
    <row r="163" spans="1:20" s="10" customFormat="1">
      <c r="A163" s="15" t="s">
        <v>263</v>
      </c>
      <c r="B163" s="15">
        <v>287</v>
      </c>
      <c r="C163" s="15">
        <f>593-B163</f>
        <v>306</v>
      </c>
      <c r="D163" s="15">
        <f>899-C163-B163</f>
        <v>306</v>
      </c>
      <c r="E163" s="15">
        <f t="shared" si="173"/>
        <v>312</v>
      </c>
      <c r="F163" s="15">
        <v>307</v>
      </c>
      <c r="G163" s="15">
        <f>619-F163</f>
        <v>312</v>
      </c>
      <c r="H163" s="15">
        <f>925-G163-F163</f>
        <v>306</v>
      </c>
      <c r="I163" s="15">
        <f t="shared" si="172"/>
        <v>302</v>
      </c>
      <c r="J163" s="15"/>
      <c r="K163" s="15"/>
      <c r="L163" s="18" t="s">
        <v>442</v>
      </c>
      <c r="M163" s="15">
        <v>1243</v>
      </c>
      <c r="N163" s="15">
        <v>1223</v>
      </c>
      <c r="O163" s="15">
        <v>1211</v>
      </c>
      <c r="P163" s="15">
        <v>1227</v>
      </c>
      <c r="Q163" s="15"/>
      <c r="R163" s="15"/>
      <c r="S163" s="15"/>
      <c r="T163" s="15"/>
    </row>
    <row r="164" spans="1:20" s="10" customFormat="1">
      <c r="A164" s="15" t="s">
        <v>264</v>
      </c>
      <c r="B164" s="15">
        <v>-85</v>
      </c>
      <c r="C164" s="15">
        <f>-129-B164</f>
        <v>-44</v>
      </c>
      <c r="D164" s="15">
        <f>-268-C164-B164</f>
        <v>-139</v>
      </c>
      <c r="E164" s="15">
        <f t="shared" si="173"/>
        <v>-170</v>
      </c>
      <c r="F164" s="15">
        <v>-152</v>
      </c>
      <c r="G164" s="15">
        <f>-303-F164</f>
        <v>-151</v>
      </c>
      <c r="H164" s="15">
        <f>-422-G164-F164</f>
        <v>-119</v>
      </c>
      <c r="I164" s="15">
        <f t="shared" si="172"/>
        <v>57</v>
      </c>
      <c r="J164" s="15"/>
      <c r="K164" s="15"/>
      <c r="L164" s="18" t="s">
        <v>442</v>
      </c>
      <c r="M164" s="15">
        <v>199</v>
      </c>
      <c r="N164" s="15">
        <v>-288</v>
      </c>
      <c r="O164" s="15">
        <v>-438</v>
      </c>
      <c r="P164" s="15">
        <v>-365</v>
      </c>
      <c r="Q164" s="15"/>
      <c r="R164" s="15"/>
      <c r="S164" s="15"/>
      <c r="T164" s="15"/>
    </row>
    <row r="165" spans="1:20" s="10" customFormat="1">
      <c r="A165" s="15" t="s">
        <v>269</v>
      </c>
      <c r="B165" s="15">
        <v>36</v>
      </c>
      <c r="C165" s="15">
        <f>71-B165</f>
        <v>35</v>
      </c>
      <c r="D165" s="15">
        <f>105-C165-B165</f>
        <v>34</v>
      </c>
      <c r="E165" s="15">
        <f t="shared" si="173"/>
        <v>33</v>
      </c>
      <c r="F165" s="15">
        <v>41</v>
      </c>
      <c r="G165" s="15">
        <f>82-F165</f>
        <v>41</v>
      </c>
      <c r="H165" s="15">
        <f>121-G165-F165</f>
        <v>39</v>
      </c>
      <c r="I165" s="15">
        <f t="shared" si="172"/>
        <v>39</v>
      </c>
      <c r="J165" s="15"/>
      <c r="K165" s="15"/>
      <c r="L165" s="18" t="s">
        <v>442</v>
      </c>
      <c r="M165" s="15">
        <v>-1292</v>
      </c>
      <c r="N165" s="15">
        <v>-142</v>
      </c>
      <c r="O165" s="15">
        <v>138</v>
      </c>
      <c r="P165" s="15">
        <v>160</v>
      </c>
      <c r="Q165" s="15"/>
      <c r="R165" s="15"/>
      <c r="S165" s="15"/>
      <c r="T165" s="15"/>
    </row>
    <row r="166" spans="1:20" s="10" customFormat="1">
      <c r="A166" s="15" t="s">
        <v>268</v>
      </c>
      <c r="B166" s="15">
        <v>-50</v>
      </c>
      <c r="C166" s="15">
        <f>-91-B166</f>
        <v>-41</v>
      </c>
      <c r="D166" s="15">
        <f>-123-C166-B166</f>
        <v>-32</v>
      </c>
      <c r="E166" s="15">
        <f t="shared" si="173"/>
        <v>-26</v>
      </c>
      <c r="F166" s="15">
        <v>-53</v>
      </c>
      <c r="G166" s="15">
        <f>-95-F166</f>
        <v>-42</v>
      </c>
      <c r="H166" s="15">
        <f>-123-G166-F166</f>
        <v>-28</v>
      </c>
      <c r="I166" s="15">
        <f t="shared" si="172"/>
        <v>-28</v>
      </c>
      <c r="J166" s="15"/>
      <c r="K166" s="15"/>
      <c r="L166" s="18" t="s">
        <v>442</v>
      </c>
      <c r="M166" s="15">
        <v>-247</v>
      </c>
      <c r="N166" s="15">
        <v>-182</v>
      </c>
      <c r="O166" s="15">
        <v>-149</v>
      </c>
      <c r="P166" s="15">
        <v>-151</v>
      </c>
      <c r="Q166" s="15"/>
      <c r="R166" s="15"/>
      <c r="S166" s="15"/>
      <c r="T166" s="15"/>
    </row>
    <row r="167" spans="1:20" s="10" customFormat="1">
      <c r="A167" s="15" t="s">
        <v>265</v>
      </c>
      <c r="B167" s="15">
        <v>1</v>
      </c>
      <c r="C167" s="15">
        <f>-1-B167</f>
        <v>-2</v>
      </c>
      <c r="D167" s="15">
        <f>-12-C167-B167</f>
        <v>-11</v>
      </c>
      <c r="E167" s="15">
        <f t="shared" si="173"/>
        <v>-10</v>
      </c>
      <c r="F167" s="15">
        <v>-5</v>
      </c>
      <c r="G167" s="15">
        <f>-17-F167</f>
        <v>-12</v>
      </c>
      <c r="H167" s="15">
        <f>-17-G167-F167</f>
        <v>0</v>
      </c>
      <c r="I167" s="15">
        <f t="shared" si="172"/>
        <v>0</v>
      </c>
      <c r="J167" s="15"/>
      <c r="K167" s="15"/>
      <c r="L167" s="18" t="s">
        <v>442</v>
      </c>
      <c r="M167" s="15">
        <v>-21</v>
      </c>
      <c r="N167" s="15">
        <v>-18</v>
      </c>
      <c r="O167" s="15">
        <v>-22</v>
      </c>
      <c r="P167" s="15">
        <v>-17</v>
      </c>
      <c r="Q167" s="15"/>
      <c r="R167" s="15"/>
      <c r="S167" s="15"/>
      <c r="T167" s="15"/>
    </row>
    <row r="168" spans="1:20" s="10" customFormat="1">
      <c r="A168" s="15" t="s">
        <v>266</v>
      </c>
      <c r="B168" s="15">
        <v>33</v>
      </c>
      <c r="C168" s="15">
        <f>93-B168</f>
        <v>60</v>
      </c>
      <c r="D168" s="15">
        <f>95-C168-B168</f>
        <v>2</v>
      </c>
      <c r="E168" s="15">
        <f t="shared" si="173"/>
        <v>241</v>
      </c>
      <c r="F168" s="15">
        <v>75</v>
      </c>
      <c r="G168" s="15">
        <f>167-F168</f>
        <v>92</v>
      </c>
      <c r="H168" s="15">
        <f>199-G168-F168</f>
        <v>32</v>
      </c>
      <c r="I168" s="15">
        <f t="shared" si="172"/>
        <v>89</v>
      </c>
      <c r="J168" s="15"/>
      <c r="K168" s="15"/>
      <c r="L168" s="18" t="s">
        <v>442</v>
      </c>
      <c r="M168" s="15">
        <v>289</v>
      </c>
      <c r="N168" s="15">
        <v>363</v>
      </c>
      <c r="O168" s="15">
        <v>336</v>
      </c>
      <c r="P168" s="15">
        <v>288</v>
      </c>
      <c r="Q168" s="15"/>
      <c r="R168" s="15"/>
      <c r="S168" s="15"/>
      <c r="T168" s="15"/>
    </row>
    <row r="169" spans="1:20" s="10" customFormat="1">
      <c r="A169" s="15" t="s">
        <v>77</v>
      </c>
      <c r="B169" s="15">
        <v>48</v>
      </c>
      <c r="C169" s="15">
        <f>192-B169</f>
        <v>144</v>
      </c>
      <c r="D169" s="15">
        <f>342-C169-B169</f>
        <v>150</v>
      </c>
      <c r="E169" s="15">
        <f t="shared" si="173"/>
        <v>236</v>
      </c>
      <c r="F169" s="15">
        <v>141</v>
      </c>
      <c r="G169" s="15">
        <f>245-F169</f>
        <v>104</v>
      </c>
      <c r="H169" s="15">
        <f>377-G169-F169</f>
        <v>132</v>
      </c>
      <c r="I169" s="15">
        <f t="shared" si="172"/>
        <v>6</v>
      </c>
      <c r="J169" s="15"/>
      <c r="K169" s="15"/>
      <c r="L169" s="18" t="s">
        <v>442</v>
      </c>
      <c r="M169" s="15">
        <v>154</v>
      </c>
      <c r="N169" s="15">
        <v>305</v>
      </c>
      <c r="O169" s="15">
        <v>578</v>
      </c>
      <c r="P169" s="15">
        <v>383</v>
      </c>
      <c r="Q169" s="15"/>
      <c r="R169" s="15"/>
      <c r="S169" s="15"/>
      <c r="T169" s="15"/>
    </row>
    <row r="170" spans="1:20" s="10" customFormat="1">
      <c r="A170" s="15" t="s">
        <v>267</v>
      </c>
      <c r="B170" s="15">
        <f>-2705+324-907-685-206</f>
        <v>-4179</v>
      </c>
      <c r="C170" s="15">
        <f>-1892+1320-1560-2758+195-B170</f>
        <v>-516</v>
      </c>
      <c r="D170" s="15">
        <f>-773+492-1218-2840-445-C170-B170</f>
        <v>-89</v>
      </c>
      <c r="E170" s="15">
        <f t="shared" si="173"/>
        <v>3998</v>
      </c>
      <c r="F170" s="15">
        <f>-2546+618-615-700-93</f>
        <v>-3336</v>
      </c>
      <c r="G170" s="15">
        <f>-2427+1783-913-2978+406-F170</f>
        <v>-793</v>
      </c>
      <c r="H170" s="15">
        <f>-1450+1060-518-2974+38-G170-F170</f>
        <v>285</v>
      </c>
      <c r="I170" s="15">
        <f t="shared" si="172"/>
        <v>3752</v>
      </c>
      <c r="J170" s="15"/>
      <c r="K170" s="15"/>
      <c r="L170" s="18" t="s">
        <v>442</v>
      </c>
      <c r="M170" s="15">
        <f>-113-442+526+574+57</f>
        <v>602</v>
      </c>
      <c r="N170" s="15">
        <f>-993-1715+807+194+142</f>
        <v>-1565</v>
      </c>
      <c r="O170" s="15">
        <f>358+57-663-11-527</f>
        <v>-786</v>
      </c>
      <c r="P170" s="15">
        <f>-705+1110-115-86-296</f>
        <v>-92</v>
      </c>
      <c r="Q170" s="15"/>
      <c r="R170" s="15"/>
      <c r="S170" s="15"/>
      <c r="T170" s="15"/>
    </row>
    <row r="171" spans="1:20" s="10" customFormat="1">
      <c r="A171" s="18" t="s">
        <v>270</v>
      </c>
      <c r="B171" s="18">
        <f t="shared" ref="B171" si="174">+SUM(B161:B170)</f>
        <v>-3302</v>
      </c>
      <c r="C171" s="18">
        <f t="shared" ref="C171" si="175">+SUM(C161:C170)</f>
        <v>822</v>
      </c>
      <c r="D171" s="18">
        <f t="shared" ref="D171" si="176">+SUM(D161:D170)</f>
        <v>-94</v>
      </c>
      <c r="E171" s="18">
        <f t="shared" ref="E171" si="177">+SUM(E161:E170)</f>
        <v>4383</v>
      </c>
      <c r="F171" s="18">
        <f t="shared" ref="F171" si="178">+SUM(F161:F170)</f>
        <v>-2606</v>
      </c>
      <c r="G171" s="18">
        <f t="shared" ref="G171:H171" si="179">+SUM(G161:G170)</f>
        <v>607</v>
      </c>
      <c r="H171" s="18">
        <f t="shared" si="179"/>
        <v>128</v>
      </c>
      <c r="I171" s="18">
        <f t="shared" ref="I171:J171" si="180">+SUM(I161:I170)</f>
        <v>4167</v>
      </c>
      <c r="J171" s="18">
        <f t="shared" si="180"/>
        <v>0</v>
      </c>
      <c r="K171" s="18">
        <f t="shared" ref="K171" si="181">+SUM(K161:K170)</f>
        <v>0</v>
      </c>
      <c r="L171" s="18" t="s">
        <v>442</v>
      </c>
      <c r="M171" s="18">
        <f t="shared" ref="M171:N171" si="182">+SUM(M161:M170)</f>
        <v>2749</v>
      </c>
      <c r="N171" s="18">
        <f t="shared" si="182"/>
        <v>912</v>
      </c>
      <c r="O171" s="18">
        <f>+SUM(O161:O170)</f>
        <v>1809</v>
      </c>
      <c r="P171" s="18">
        <f t="shared" ref="P171" si="183">+SUM(P161:P170)</f>
        <v>2296</v>
      </c>
      <c r="Q171" s="18"/>
      <c r="R171" s="18"/>
      <c r="S171" s="18"/>
      <c r="T171" s="18"/>
    </row>
    <row r="172" spans="1:20" s="10" customFormat="1">
      <c r="A172" s="15" t="s">
        <v>289</v>
      </c>
      <c r="B172" s="15">
        <v>-9</v>
      </c>
      <c r="C172" s="15">
        <f>-19-B172</f>
        <v>-10</v>
      </c>
      <c r="D172" s="15">
        <f>-30-C172-B172</f>
        <v>-11</v>
      </c>
      <c r="E172" s="15">
        <f>+O172-D172-C172-B172</f>
        <v>-10</v>
      </c>
      <c r="F172" s="15">
        <v>-3</v>
      </c>
      <c r="G172" s="15">
        <f>-159-F172</f>
        <v>-156</v>
      </c>
      <c r="H172" s="15">
        <f>-157-G172-F172</f>
        <v>2</v>
      </c>
      <c r="I172" s="15">
        <f t="shared" si="172"/>
        <v>6</v>
      </c>
      <c r="J172" s="15"/>
      <c r="K172" s="15"/>
      <c r="L172" s="15" t="s">
        <v>442</v>
      </c>
      <c r="M172" s="15">
        <v>-42</v>
      </c>
      <c r="N172" s="15">
        <v>-40</v>
      </c>
      <c r="O172" s="15">
        <v>-40</v>
      </c>
      <c r="P172" s="15">
        <v>-151</v>
      </c>
      <c r="Q172" s="15"/>
      <c r="R172" s="15"/>
      <c r="S172" s="15"/>
      <c r="T172" s="15"/>
    </row>
    <row r="173" spans="1:20" s="10" customFormat="1">
      <c r="A173" s="18" t="s">
        <v>290</v>
      </c>
      <c r="B173" s="18">
        <f t="shared" ref="B173" si="184">+B171+B172</f>
        <v>-3311</v>
      </c>
      <c r="C173" s="18">
        <f t="shared" ref="C173" si="185">+C171+C172</f>
        <v>812</v>
      </c>
      <c r="D173" s="18">
        <f t="shared" ref="D173" si="186">+D171+D172</f>
        <v>-105</v>
      </c>
      <c r="E173" s="18">
        <f t="shared" ref="E173" si="187">+E171+E172</f>
        <v>4373</v>
      </c>
      <c r="F173" s="18">
        <f t="shared" ref="F173" si="188">+F171+F172</f>
        <v>-2609</v>
      </c>
      <c r="G173" s="18">
        <f t="shared" ref="G173:H173" si="189">+G171+G172</f>
        <v>451</v>
      </c>
      <c r="H173" s="18">
        <f t="shared" si="189"/>
        <v>130</v>
      </c>
      <c r="I173" s="18">
        <f t="shared" ref="I173:J173" si="190">+I171+I172</f>
        <v>4173</v>
      </c>
      <c r="J173" s="18">
        <f t="shared" si="190"/>
        <v>0</v>
      </c>
      <c r="K173" s="18">
        <f t="shared" ref="K173" si="191">+K171+K172</f>
        <v>0</v>
      </c>
      <c r="L173" s="18" t="s">
        <v>442</v>
      </c>
      <c r="M173" s="18">
        <f>+M171+M172</f>
        <v>2707</v>
      </c>
      <c r="N173" s="18">
        <f t="shared" ref="N173:P173" si="192">+N171+N172</f>
        <v>872</v>
      </c>
      <c r="O173" s="18">
        <f t="shared" si="192"/>
        <v>1769</v>
      </c>
      <c r="P173" s="18">
        <f t="shared" si="192"/>
        <v>2145</v>
      </c>
      <c r="Q173" s="18"/>
      <c r="R173" s="18"/>
      <c r="S173" s="18"/>
      <c r="T173" s="18"/>
    </row>
    <row r="174" spans="1:20" s="10" customFormat="1">
      <c r="A174" s="18"/>
      <c r="B174" s="18"/>
      <c r="C174" s="18"/>
      <c r="D174" s="18"/>
      <c r="E174" s="18"/>
      <c r="F174" s="18"/>
      <c r="G174" s="18"/>
      <c r="H174" s="18"/>
      <c r="I174" s="18"/>
      <c r="J174" s="18"/>
      <c r="K174" s="18"/>
      <c r="L174" s="18" t="s">
        <v>442</v>
      </c>
      <c r="M174" s="18"/>
      <c r="N174" s="18"/>
      <c r="O174" s="18"/>
      <c r="P174" s="18"/>
      <c r="Q174" s="18"/>
      <c r="R174" s="18"/>
      <c r="S174" s="18"/>
      <c r="T174" s="18"/>
    </row>
    <row r="175" spans="1:20" s="10" customFormat="1">
      <c r="A175" s="15" t="s">
        <v>271</v>
      </c>
      <c r="B175" s="15">
        <v>-151</v>
      </c>
      <c r="C175" s="15">
        <f>-250-B175</f>
        <v>-99</v>
      </c>
      <c r="D175" s="15">
        <f>-412-C175-B175</f>
        <v>-162</v>
      </c>
      <c r="E175" s="15">
        <f t="shared" ref="E175:E182" si="193">+O175-D175-C175-B175</f>
        <v>-183</v>
      </c>
      <c r="F175" s="15">
        <v>-148</v>
      </c>
      <c r="G175" s="15">
        <f>-262-F175</f>
        <v>-114</v>
      </c>
      <c r="H175" s="15">
        <f>-416-G175-F175</f>
        <v>-154</v>
      </c>
      <c r="I175" s="15">
        <f t="shared" ref="I175:I182" si="194">+P175-SUM(F175:H175)</f>
        <v>-181</v>
      </c>
      <c r="J175" s="15"/>
      <c r="K175" s="15"/>
      <c r="L175" s="18" t="s">
        <v>442</v>
      </c>
      <c r="M175" s="15">
        <v>-573</v>
      </c>
      <c r="N175" s="15">
        <v>-605</v>
      </c>
      <c r="O175" s="15">
        <v>-595</v>
      </c>
      <c r="P175" s="15">
        <v>-597</v>
      </c>
      <c r="Q175" s="15"/>
      <c r="R175" s="15"/>
      <c r="S175" s="15"/>
      <c r="T175" s="15"/>
    </row>
    <row r="176" spans="1:20" s="10" customFormat="1">
      <c r="A176" s="15" t="s">
        <v>272</v>
      </c>
      <c r="B176" s="15">
        <v>21</v>
      </c>
      <c r="C176" s="15">
        <f>34-B176</f>
        <v>13</v>
      </c>
      <c r="D176" s="15">
        <f>42-C176-B176</f>
        <v>8</v>
      </c>
      <c r="E176" s="15">
        <f t="shared" si="193"/>
        <v>15</v>
      </c>
      <c r="F176" s="15">
        <v>5</v>
      </c>
      <c r="G176" s="15">
        <f>20-F176</f>
        <v>15</v>
      </c>
      <c r="H176" s="15">
        <f>2-G176-F176</f>
        <v>-18</v>
      </c>
      <c r="I176" s="15">
        <f t="shared" si="194"/>
        <v>3</v>
      </c>
      <c r="J176" s="15"/>
      <c r="K176" s="15"/>
      <c r="L176" s="18" t="s">
        <v>442</v>
      </c>
      <c r="M176" s="15">
        <v>75</v>
      </c>
      <c r="N176" s="15">
        <v>73</v>
      </c>
      <c r="O176" s="15">
        <v>57</v>
      </c>
      <c r="P176" s="15">
        <v>5</v>
      </c>
      <c r="Q176" s="15"/>
      <c r="R176" s="15"/>
      <c r="S176" s="15"/>
      <c r="T176" s="15"/>
    </row>
    <row r="177" spans="1:20" s="10" customFormat="1">
      <c r="A177" s="15" t="s">
        <v>273</v>
      </c>
      <c r="B177" s="15">
        <v>-1463</v>
      </c>
      <c r="C177" s="15">
        <f>-1463-B177</f>
        <v>0</v>
      </c>
      <c r="D177" s="15">
        <f>-1456-C177-B177</f>
        <v>7</v>
      </c>
      <c r="E177" s="15">
        <f t="shared" si="193"/>
        <v>0</v>
      </c>
      <c r="F177" s="15">
        <v>0</v>
      </c>
      <c r="G177" s="15">
        <v>0</v>
      </c>
      <c r="H177" s="15">
        <f>0-G177-F177</f>
        <v>0</v>
      </c>
      <c r="I177" s="15">
        <f t="shared" si="194"/>
        <v>0</v>
      </c>
      <c r="J177" s="15"/>
      <c r="K177" s="15"/>
      <c r="L177" s="18" t="s">
        <v>442</v>
      </c>
      <c r="M177" s="15">
        <f>0+0</f>
        <v>0</v>
      </c>
      <c r="N177" s="15">
        <f>0-36</f>
        <v>-36</v>
      </c>
      <c r="O177" s="15">
        <v>-1456</v>
      </c>
      <c r="P177" s="15">
        <v>0</v>
      </c>
      <c r="Q177" s="15"/>
      <c r="R177" s="15"/>
      <c r="S177" s="15"/>
      <c r="T177" s="15"/>
    </row>
    <row r="178" spans="1:20" s="10" customFormat="1">
      <c r="A178" s="15" t="s">
        <v>274</v>
      </c>
      <c r="B178" s="15">
        <v>0</v>
      </c>
      <c r="C178" s="15">
        <f>-4-B178</f>
        <v>-4</v>
      </c>
      <c r="D178" s="15">
        <f>-31-C178-B178</f>
        <v>-27</v>
      </c>
      <c r="E178" s="15">
        <f t="shared" si="193"/>
        <v>-1</v>
      </c>
      <c r="F178" s="15">
        <v>0</v>
      </c>
      <c r="G178" s="15">
        <v>0</v>
      </c>
      <c r="H178" s="15">
        <f>-7-G178-F178</f>
        <v>-7</v>
      </c>
      <c r="I178" s="15">
        <f t="shared" si="194"/>
        <v>0</v>
      </c>
      <c r="J178" s="15"/>
      <c r="K178" s="15"/>
      <c r="L178" s="18" t="s">
        <v>442</v>
      </c>
      <c r="M178" s="15">
        <v>-4</v>
      </c>
      <c r="N178" s="15">
        <v>-12</v>
      </c>
      <c r="O178" s="15">
        <v>-32</v>
      </c>
      <c r="P178" s="15">
        <v>-7</v>
      </c>
      <c r="Q178" s="15"/>
      <c r="R178" s="15"/>
      <c r="S178" s="15"/>
      <c r="T178" s="15"/>
    </row>
    <row r="179" spans="1:20" s="10" customFormat="1">
      <c r="A179" s="15" t="s">
        <v>275</v>
      </c>
      <c r="B179" s="15">
        <v>0</v>
      </c>
      <c r="C179" s="15">
        <f>-7-B179</f>
        <v>-7</v>
      </c>
      <c r="D179" s="15">
        <f>-83-C179-B179</f>
        <v>-76</v>
      </c>
      <c r="E179" s="15">
        <f t="shared" si="193"/>
        <v>-65</v>
      </c>
      <c r="F179" s="15">
        <v>-132</v>
      </c>
      <c r="G179" s="15">
        <f>-136-F179</f>
        <v>-4</v>
      </c>
      <c r="H179" s="15">
        <f>-137-G179-F179</f>
        <v>-1</v>
      </c>
      <c r="I179" s="15">
        <f t="shared" si="194"/>
        <v>-7</v>
      </c>
      <c r="J179" s="15"/>
      <c r="K179" s="15"/>
      <c r="L179" s="18" t="s">
        <v>442</v>
      </c>
      <c r="M179" s="15">
        <v>-204</v>
      </c>
      <c r="N179" s="15">
        <v>-344</v>
      </c>
      <c r="O179" s="15">
        <v>-148</v>
      </c>
      <c r="P179" s="15">
        <v>-144</v>
      </c>
      <c r="Q179" s="15"/>
      <c r="R179" s="15"/>
      <c r="S179" s="15"/>
      <c r="T179" s="15"/>
    </row>
    <row r="180" spans="1:20" s="10" customFormat="1">
      <c r="A180" s="15" t="s">
        <v>450</v>
      </c>
      <c r="B180" s="15">
        <v>40</v>
      </c>
      <c r="C180" s="15">
        <f>106-B180</f>
        <v>66</v>
      </c>
      <c r="D180" s="15">
        <f>127-C180-B180</f>
        <v>21</v>
      </c>
      <c r="E180" s="15">
        <f t="shared" si="193"/>
        <v>20</v>
      </c>
      <c r="F180" s="15">
        <v>7</v>
      </c>
      <c r="G180" s="15">
        <f>65-F180</f>
        <v>58</v>
      </c>
      <c r="H180" s="15">
        <f>115-G180-F180</f>
        <v>50</v>
      </c>
      <c r="I180" s="15">
        <f t="shared" si="194"/>
        <v>15</v>
      </c>
      <c r="J180" s="15"/>
      <c r="K180" s="15"/>
      <c r="L180" s="18" t="s">
        <v>442</v>
      </c>
      <c r="M180" s="15">
        <v>345</v>
      </c>
      <c r="N180" s="15">
        <v>295</v>
      </c>
      <c r="O180" s="15">
        <v>147</v>
      </c>
      <c r="P180" s="15">
        <v>130</v>
      </c>
      <c r="Q180" s="15"/>
      <c r="R180" s="15"/>
      <c r="S180" s="15"/>
      <c r="T180" s="15"/>
    </row>
    <row r="181" spans="1:20" s="10" customFormat="1">
      <c r="A181" s="15" t="s">
        <v>276</v>
      </c>
      <c r="B181" s="15">
        <v>42</v>
      </c>
      <c r="C181" s="15">
        <f>42-B181</f>
        <v>0</v>
      </c>
      <c r="D181" s="15">
        <f>42-C181-B181</f>
        <v>0</v>
      </c>
      <c r="E181" s="15">
        <f t="shared" si="193"/>
        <v>0</v>
      </c>
      <c r="F181" s="15">
        <v>0</v>
      </c>
      <c r="G181" s="15">
        <f>15-F181</f>
        <v>15</v>
      </c>
      <c r="H181" s="15">
        <f>15-G181-F181</f>
        <v>0</v>
      </c>
      <c r="I181" s="15">
        <f t="shared" si="194"/>
        <v>48</v>
      </c>
      <c r="J181" s="15"/>
      <c r="K181" s="15"/>
      <c r="L181" s="18" t="s">
        <v>442</v>
      </c>
      <c r="M181" s="15">
        <v>0</v>
      </c>
      <c r="N181" s="15">
        <v>0</v>
      </c>
      <c r="O181" s="15">
        <v>42</v>
      </c>
      <c r="P181" s="15">
        <v>63</v>
      </c>
      <c r="Q181" s="15"/>
      <c r="R181" s="15"/>
      <c r="S181" s="15"/>
      <c r="T181" s="15"/>
    </row>
    <row r="182" spans="1:20" s="10" customFormat="1">
      <c r="A182" s="15" t="s">
        <v>277</v>
      </c>
      <c r="B182" s="15">
        <v>0</v>
      </c>
      <c r="C182" s="15">
        <f>-2-B182</f>
        <v>-2</v>
      </c>
      <c r="D182" s="15">
        <f>-2-C182-B182</f>
        <v>0</v>
      </c>
      <c r="E182" s="15">
        <f t="shared" si="193"/>
        <v>0</v>
      </c>
      <c r="F182" s="15">
        <v>-2</v>
      </c>
      <c r="G182" s="15">
        <f>-7-F182</f>
        <v>-5</v>
      </c>
      <c r="H182" s="15">
        <f>-38-G182-F182</f>
        <v>-31</v>
      </c>
      <c r="I182" s="15">
        <f t="shared" si="194"/>
        <v>-1</v>
      </c>
      <c r="J182" s="15"/>
      <c r="K182" s="15"/>
      <c r="L182" s="18" t="s">
        <v>442</v>
      </c>
      <c r="M182" s="15">
        <v>-1</v>
      </c>
      <c r="N182" s="15">
        <v>-3</v>
      </c>
      <c r="O182" s="15">
        <v>-2</v>
      </c>
      <c r="P182" s="15">
        <v>-39</v>
      </c>
      <c r="Q182" s="15"/>
      <c r="R182" s="15"/>
      <c r="S182" s="15"/>
      <c r="T182" s="15"/>
    </row>
    <row r="183" spans="1:20" s="10" customFormat="1">
      <c r="A183" s="18" t="s">
        <v>278</v>
      </c>
      <c r="B183" s="18">
        <f t="shared" ref="B183" si="195">+SUM(B175:B182)</f>
        <v>-1511</v>
      </c>
      <c r="C183" s="18">
        <f t="shared" ref="C183" si="196">+SUM(C175:C182)</f>
        <v>-33</v>
      </c>
      <c r="D183" s="18">
        <f t="shared" ref="D183" si="197">+SUM(D175:D182)</f>
        <v>-229</v>
      </c>
      <c r="E183" s="18">
        <f t="shared" ref="E183" si="198">+SUM(E175:E182)</f>
        <v>-214</v>
      </c>
      <c r="F183" s="18">
        <f t="shared" ref="F183" si="199">+SUM(F175:F182)</f>
        <v>-270</v>
      </c>
      <c r="G183" s="18">
        <f t="shared" ref="G183:H183" si="200">+SUM(G175:G182)</f>
        <v>-35</v>
      </c>
      <c r="H183" s="18">
        <f t="shared" si="200"/>
        <v>-161</v>
      </c>
      <c r="I183" s="18">
        <f t="shared" ref="I183:J183" si="201">+SUM(I175:I182)</f>
        <v>-123</v>
      </c>
      <c r="J183" s="18">
        <f t="shared" si="201"/>
        <v>0</v>
      </c>
      <c r="K183" s="18">
        <f t="shared" ref="K183" si="202">+SUM(K175:K182)</f>
        <v>0</v>
      </c>
      <c r="L183" s="18" t="s">
        <v>442</v>
      </c>
      <c r="M183" s="18">
        <f>+SUM(M175:M182)</f>
        <v>-362</v>
      </c>
      <c r="N183" s="18">
        <f t="shared" ref="N183:P183" si="203">+SUM(N175:N182)</f>
        <v>-632</v>
      </c>
      <c r="O183" s="18">
        <f t="shared" si="203"/>
        <v>-1987</v>
      </c>
      <c r="P183" s="18">
        <f t="shared" si="203"/>
        <v>-589</v>
      </c>
      <c r="Q183" s="18"/>
      <c r="R183" s="18"/>
      <c r="S183" s="18"/>
      <c r="T183" s="18"/>
    </row>
    <row r="184" spans="1:20" s="10" customFormat="1">
      <c r="A184" s="15"/>
      <c r="B184" s="15"/>
      <c r="C184" s="15"/>
      <c r="D184" s="15"/>
      <c r="E184" s="15"/>
      <c r="F184" s="15"/>
      <c r="G184" s="15"/>
      <c r="H184" s="15"/>
      <c r="I184" s="15"/>
      <c r="J184" s="15"/>
      <c r="K184" s="15"/>
      <c r="L184" s="18" t="s">
        <v>442</v>
      </c>
      <c r="M184" s="15"/>
      <c r="N184" s="15"/>
      <c r="O184" s="15"/>
      <c r="P184" s="15"/>
      <c r="Q184" s="15"/>
      <c r="R184" s="15"/>
      <c r="S184" s="15"/>
      <c r="T184" s="15"/>
    </row>
    <row r="185" spans="1:20" s="10" customFormat="1">
      <c r="A185" s="15" t="s">
        <v>279</v>
      </c>
      <c r="B185" s="15">
        <v>3084</v>
      </c>
      <c r="C185" s="15">
        <f>885-B185</f>
        <v>-2199</v>
      </c>
      <c r="D185" s="15">
        <f>2419-C185-B185</f>
        <v>1534</v>
      </c>
      <c r="E185" s="15">
        <f t="shared" ref="E185:E191" si="204">+O185-D185-C185-B185</f>
        <v>-2425</v>
      </c>
      <c r="F185" s="15">
        <v>656</v>
      </c>
      <c r="G185" s="15">
        <f>628-F185</f>
        <v>-28</v>
      </c>
      <c r="H185" s="15">
        <f>1715-G185-F185</f>
        <v>1087</v>
      </c>
      <c r="I185" s="15">
        <f t="shared" ref="I185:I191" si="205">+P185-SUM(F185:H185)</f>
        <v>-1662</v>
      </c>
      <c r="J185" s="15"/>
      <c r="K185" s="15"/>
      <c r="L185" s="18" t="s">
        <v>442</v>
      </c>
      <c r="M185" s="15">
        <v>13</v>
      </c>
      <c r="N185" s="15">
        <v>-13</v>
      </c>
      <c r="O185" s="15">
        <v>-6</v>
      </c>
      <c r="P185" s="15">
        <v>53</v>
      </c>
      <c r="Q185" s="15"/>
      <c r="R185" s="15"/>
      <c r="S185" s="15"/>
      <c r="T185" s="15"/>
    </row>
    <row r="186" spans="1:20" s="10" customFormat="1">
      <c r="A186" s="15" t="s">
        <v>280</v>
      </c>
      <c r="B186" s="15">
        <v>626</v>
      </c>
      <c r="C186" s="15">
        <f>3427-B186</f>
        <v>2801</v>
      </c>
      <c r="D186" s="15">
        <f>3427-C186-B186</f>
        <v>0</v>
      </c>
      <c r="E186" s="15">
        <f t="shared" si="204"/>
        <v>2</v>
      </c>
      <c r="F186" s="15">
        <v>1675</v>
      </c>
      <c r="G186" s="15">
        <f>2559-F186</f>
        <v>884</v>
      </c>
      <c r="H186" s="15">
        <f>3047-G186-F186</f>
        <v>488</v>
      </c>
      <c r="I186" s="15">
        <f t="shared" si="205"/>
        <v>25</v>
      </c>
      <c r="J186" s="15"/>
      <c r="K186" s="15"/>
      <c r="L186" s="18" t="s">
        <v>442</v>
      </c>
      <c r="M186" s="15">
        <v>419</v>
      </c>
      <c r="N186" s="15">
        <v>1358</v>
      </c>
      <c r="O186" s="15">
        <v>3429</v>
      </c>
      <c r="P186" s="15">
        <v>3072</v>
      </c>
      <c r="Q186" s="15"/>
      <c r="R186" s="15"/>
      <c r="S186" s="15"/>
      <c r="T186" s="15"/>
    </row>
    <row r="187" spans="1:20" s="10" customFormat="1">
      <c r="A187" s="15" t="s">
        <v>281</v>
      </c>
      <c r="B187" s="15">
        <v>-56</v>
      </c>
      <c r="C187" s="15">
        <f>-372-B187</f>
        <v>-316</v>
      </c>
      <c r="D187" s="15">
        <f>-1314-C187-B187</f>
        <v>-942</v>
      </c>
      <c r="E187" s="15">
        <f t="shared" si="204"/>
        <v>-995</v>
      </c>
      <c r="F187" s="15">
        <v>-190</v>
      </c>
      <c r="G187" s="15">
        <f>-943-F187</f>
        <v>-753</v>
      </c>
      <c r="H187" s="15">
        <f>-1529-G187-F187</f>
        <v>-586</v>
      </c>
      <c r="I187" s="15">
        <f t="shared" si="205"/>
        <v>-1356</v>
      </c>
      <c r="J187" s="15"/>
      <c r="K187" s="15"/>
      <c r="L187" s="18" t="s">
        <v>442</v>
      </c>
      <c r="M187" s="15">
        <v>-421</v>
      </c>
      <c r="N187" s="15">
        <v>-1140</v>
      </c>
      <c r="O187" s="15">
        <v>-2309</v>
      </c>
      <c r="P187" s="15">
        <v>-2885</v>
      </c>
      <c r="Q187" s="15"/>
      <c r="R187" s="15"/>
      <c r="S187" s="15"/>
      <c r="T187" s="15"/>
    </row>
    <row r="188" spans="1:20" s="10" customFormat="1">
      <c r="A188" s="15" t="s">
        <v>282</v>
      </c>
      <c r="B188" s="15">
        <v>-252</v>
      </c>
      <c r="C188" s="15">
        <f>-332-B188</f>
        <v>-80</v>
      </c>
      <c r="D188" s="15">
        <f>-585-C188-B188</f>
        <v>-253</v>
      </c>
      <c r="E188" s="15">
        <f t="shared" si="204"/>
        <v>-171</v>
      </c>
      <c r="F188" s="15">
        <v>-252</v>
      </c>
      <c r="G188" s="15">
        <f>-504-F188</f>
        <v>-252</v>
      </c>
      <c r="H188" s="15">
        <f>-757-G188-F188</f>
        <v>-253</v>
      </c>
      <c r="I188" s="15">
        <f t="shared" si="205"/>
        <v>-252</v>
      </c>
      <c r="J188" s="15"/>
      <c r="K188" s="15"/>
      <c r="L188" s="18" t="s">
        <v>442</v>
      </c>
      <c r="M188" s="15">
        <v>-950</v>
      </c>
      <c r="N188" s="15">
        <v>-1000</v>
      </c>
      <c r="O188" s="15">
        <v>-756</v>
      </c>
      <c r="P188" s="15">
        <v>-1009</v>
      </c>
      <c r="Q188" s="15"/>
      <c r="R188" s="15"/>
      <c r="S188" s="15"/>
      <c r="T188" s="15"/>
    </row>
    <row r="189" spans="1:20" s="10" customFormat="1">
      <c r="A189" s="15" t="s">
        <v>283</v>
      </c>
      <c r="B189" s="15">
        <v>7</v>
      </c>
      <c r="C189" s="15">
        <f>26-B189</f>
        <v>19</v>
      </c>
      <c r="D189" s="15">
        <f>28-C189-B189</f>
        <v>2</v>
      </c>
      <c r="E189" s="15">
        <f t="shared" si="204"/>
        <v>3</v>
      </c>
      <c r="F189" s="15">
        <v>8</v>
      </c>
      <c r="G189" s="15">
        <f>28-F189</f>
        <v>20</v>
      </c>
      <c r="H189" s="15">
        <f>30-G189-F189</f>
        <v>2</v>
      </c>
      <c r="I189" s="15">
        <f t="shared" si="205"/>
        <v>30</v>
      </c>
      <c r="J189" s="15"/>
      <c r="K189" s="15"/>
      <c r="L189" s="18" t="s">
        <v>442</v>
      </c>
      <c r="M189" s="15">
        <v>100</v>
      </c>
      <c r="N189" s="15">
        <v>88</v>
      </c>
      <c r="O189" s="15">
        <v>31</v>
      </c>
      <c r="P189" s="15">
        <v>60</v>
      </c>
      <c r="Q189" s="15"/>
      <c r="R189" s="15"/>
      <c r="S189" s="15"/>
      <c r="T189" s="15"/>
    </row>
    <row r="190" spans="1:20" s="10" customFormat="1">
      <c r="A190" s="15" t="s">
        <v>284</v>
      </c>
      <c r="B190" s="15">
        <v>-107</v>
      </c>
      <c r="C190" s="15">
        <f>-213-B190</f>
        <v>-106</v>
      </c>
      <c r="D190" s="15">
        <f>-327-C190-B190</f>
        <v>-114</v>
      </c>
      <c r="E190" s="15">
        <f t="shared" si="204"/>
        <v>-112</v>
      </c>
      <c r="F190" s="15">
        <v>-112</v>
      </c>
      <c r="G190" s="15">
        <f>-223-F190</f>
        <v>-111</v>
      </c>
      <c r="H190" s="15">
        <f>-340-G190-F190</f>
        <v>-117</v>
      </c>
      <c r="I190" s="15">
        <f t="shared" si="205"/>
        <v>-118</v>
      </c>
      <c r="J190" s="15"/>
      <c r="K190" s="15"/>
      <c r="L190" s="18" t="s">
        <v>442</v>
      </c>
      <c r="M190" s="15">
        <v>-397</v>
      </c>
      <c r="N190" s="15">
        <v>-418</v>
      </c>
      <c r="O190" s="15">
        <v>-439</v>
      </c>
      <c r="P190" s="15">
        <v>-458</v>
      </c>
      <c r="Q190" s="15"/>
      <c r="R190" s="15"/>
      <c r="S190" s="15"/>
      <c r="T190" s="15"/>
    </row>
    <row r="191" spans="1:20" s="10" customFormat="1">
      <c r="A191" s="15" t="s">
        <v>77</v>
      </c>
      <c r="B191" s="15">
        <v>-28</v>
      </c>
      <c r="C191" s="15">
        <f>-42-B191</f>
        <v>-14</v>
      </c>
      <c r="D191" s="15">
        <f>-45-C191-B191</f>
        <v>-3</v>
      </c>
      <c r="E191" s="15">
        <f t="shared" si="204"/>
        <v>-4</v>
      </c>
      <c r="F191" s="15">
        <v>-19</v>
      </c>
      <c r="G191" s="15">
        <f>-27-F191</f>
        <v>-8</v>
      </c>
      <c r="H191" s="15">
        <f>-29-G191-F191</f>
        <v>-2</v>
      </c>
      <c r="I191" s="15">
        <f t="shared" si="205"/>
        <v>-3</v>
      </c>
      <c r="J191" s="15"/>
      <c r="K191" s="15"/>
      <c r="L191" s="18" t="s">
        <v>442</v>
      </c>
      <c r="M191" s="15">
        <v>-30</v>
      </c>
      <c r="N191" s="15">
        <v>-55</v>
      </c>
      <c r="O191" s="15">
        <v>-49</v>
      </c>
      <c r="P191" s="15">
        <v>-32</v>
      </c>
      <c r="Q191" s="15"/>
      <c r="R191" s="15"/>
      <c r="S191" s="15"/>
      <c r="T191" s="15"/>
    </row>
    <row r="192" spans="1:20" s="10" customFormat="1">
      <c r="A192" s="18" t="s">
        <v>285</v>
      </c>
      <c r="B192" s="18">
        <f t="shared" ref="B192" si="206">+SUM(B185:B191)</f>
        <v>3274</v>
      </c>
      <c r="C192" s="18">
        <f t="shared" ref="C192" si="207">+SUM(C185:C191)</f>
        <v>105</v>
      </c>
      <c r="D192" s="18">
        <f t="shared" ref="D192" si="208">+SUM(D185:D191)</f>
        <v>224</v>
      </c>
      <c r="E192" s="18">
        <f t="shared" ref="E192" si="209">+SUM(E185:E191)</f>
        <v>-3702</v>
      </c>
      <c r="F192" s="18">
        <f t="shared" ref="F192" si="210">+SUM(F185:F191)</f>
        <v>1766</v>
      </c>
      <c r="G192" s="18">
        <f t="shared" ref="G192:H192" si="211">+SUM(G185:G191)</f>
        <v>-248</v>
      </c>
      <c r="H192" s="18">
        <f t="shared" si="211"/>
        <v>619</v>
      </c>
      <c r="I192" s="18">
        <f t="shared" ref="I192:J192" si="212">+SUM(I185:I191)</f>
        <v>-3336</v>
      </c>
      <c r="J192" s="18">
        <f t="shared" si="212"/>
        <v>0</v>
      </c>
      <c r="K192" s="18">
        <f t="shared" ref="K192" si="213">+SUM(K185:K191)</f>
        <v>0</v>
      </c>
      <c r="L192" s="18" t="s">
        <v>442</v>
      </c>
      <c r="M192" s="18">
        <f>+SUM(M185:M191)</f>
        <v>-1266</v>
      </c>
      <c r="N192" s="18">
        <f t="shared" ref="N192:P192" si="214">+SUM(N185:N191)</f>
        <v>-1180</v>
      </c>
      <c r="O192" s="18">
        <f t="shared" si="214"/>
        <v>-99</v>
      </c>
      <c r="P192" s="18">
        <f t="shared" si="214"/>
        <v>-1199</v>
      </c>
      <c r="Q192" s="18"/>
      <c r="R192" s="18"/>
      <c r="S192" s="18"/>
      <c r="T192" s="18"/>
    </row>
    <row r="193" spans="1:20" s="10" customFormat="1">
      <c r="A193" s="18"/>
      <c r="B193" s="18"/>
      <c r="C193" s="18"/>
      <c r="D193" s="18"/>
      <c r="E193" s="18"/>
      <c r="F193" s="18"/>
      <c r="G193" s="18"/>
      <c r="H193" s="18"/>
      <c r="I193" s="18"/>
      <c r="J193" s="18"/>
      <c r="K193" s="18"/>
      <c r="L193" s="18" t="s">
        <v>442</v>
      </c>
      <c r="M193" s="18"/>
      <c r="N193" s="18"/>
      <c r="O193" s="18"/>
      <c r="P193" s="18"/>
      <c r="Q193" s="18"/>
      <c r="R193" s="18"/>
      <c r="S193" s="18"/>
      <c r="T193" s="18"/>
    </row>
    <row r="194" spans="1:20" s="10" customFormat="1">
      <c r="A194" s="18" t="s">
        <v>291</v>
      </c>
      <c r="B194" s="18">
        <f t="shared" ref="B194:E194" si="215">+B192+B183+B173</f>
        <v>-1548</v>
      </c>
      <c r="C194" s="18">
        <f t="shared" si="215"/>
        <v>884</v>
      </c>
      <c r="D194" s="18">
        <f t="shared" si="215"/>
        <v>-110</v>
      </c>
      <c r="E194" s="18">
        <f t="shared" si="215"/>
        <v>457</v>
      </c>
      <c r="F194" s="18">
        <f>+F192+F183+F173</f>
        <v>-1113</v>
      </c>
      <c r="G194" s="18">
        <f>+G192+G183+G173</f>
        <v>168</v>
      </c>
      <c r="H194" s="18">
        <f t="shared" ref="H194:I194" si="216">+H192+H183+H173</f>
        <v>588</v>
      </c>
      <c r="I194" s="18">
        <f t="shared" si="216"/>
        <v>714</v>
      </c>
      <c r="J194" s="18">
        <f t="shared" ref="J194:K194" si="217">+J192+J183+J173</f>
        <v>0</v>
      </c>
      <c r="K194" s="18">
        <f t="shared" si="217"/>
        <v>0</v>
      </c>
      <c r="L194" s="18" t="s">
        <v>442</v>
      </c>
      <c r="M194" s="18">
        <f t="shared" ref="M194:P194" si="218">+M192+M183+M173</f>
        <v>1079</v>
      </c>
      <c r="N194" s="18">
        <f t="shared" si="218"/>
        <v>-940</v>
      </c>
      <c r="O194" s="18">
        <f t="shared" si="218"/>
        <v>-317</v>
      </c>
      <c r="P194" s="18">
        <f t="shared" si="218"/>
        <v>357</v>
      </c>
      <c r="Q194" s="18"/>
      <c r="R194" s="18"/>
      <c r="S194" s="18"/>
      <c r="T194" s="18"/>
    </row>
    <row r="195" spans="1:20" s="10" customFormat="1">
      <c r="A195" s="18" t="s">
        <v>327</v>
      </c>
      <c r="B195" s="18">
        <f t="shared" ref="B195:E195" si="219">+B194+B160-B161</f>
        <v>-1392</v>
      </c>
      <c r="C195" s="18">
        <f t="shared" si="219"/>
        <v>1055</v>
      </c>
      <c r="D195" s="18">
        <f t="shared" si="219"/>
        <v>61</v>
      </c>
      <c r="E195" s="18">
        <f t="shared" si="219"/>
        <v>630</v>
      </c>
      <c r="F195" s="18">
        <f>+F194+F160-F161</f>
        <v>-940</v>
      </c>
      <c r="G195" s="18">
        <f t="shared" ref="G195:I195" si="220">+G194+G160-G161</f>
        <v>339</v>
      </c>
      <c r="H195" s="18">
        <f t="shared" si="220"/>
        <v>755</v>
      </c>
      <c r="I195" s="18">
        <f t="shared" si="220"/>
        <v>876</v>
      </c>
      <c r="J195" s="18">
        <f t="shared" ref="J195:K195" si="221">+J194+J160-J161</f>
        <v>0</v>
      </c>
      <c r="K195" s="18">
        <f t="shared" si="221"/>
        <v>0</v>
      </c>
      <c r="L195" s="18" t="s">
        <v>442</v>
      </c>
      <c r="M195" s="18">
        <f t="shared" ref="M195:P195" si="222">+M194+M160-M161</f>
        <v>1791</v>
      </c>
      <c r="N195" s="18">
        <f t="shared" si="222"/>
        <v>-249</v>
      </c>
      <c r="O195" s="18">
        <f t="shared" si="222"/>
        <v>354</v>
      </c>
      <c r="P195" s="18">
        <f t="shared" si="222"/>
        <v>1030</v>
      </c>
      <c r="Q195" s="18"/>
      <c r="R195" s="18"/>
      <c r="S195" s="18"/>
      <c r="T195" s="18"/>
    </row>
    <row r="196" spans="1:20" s="10" customFormat="1">
      <c r="A196" s="15" t="s">
        <v>286</v>
      </c>
      <c r="B196" s="15">
        <v>-2</v>
      </c>
      <c r="C196" s="15">
        <f>9-B196</f>
        <v>11</v>
      </c>
      <c r="D196" s="15">
        <f>-68-C196-B196</f>
        <v>-77</v>
      </c>
      <c r="E196" s="15">
        <f t="shared" ref="E196" si="223">+O196-D196-C196-B196</f>
        <v>-75</v>
      </c>
      <c r="F196" s="15">
        <v>-31</v>
      </c>
      <c r="G196" s="15">
        <f>-72-F196</f>
        <v>-41</v>
      </c>
      <c r="H196" s="15">
        <v>-45</v>
      </c>
      <c r="I196" s="15">
        <f t="shared" ref="I196" si="224">+P196-SUM(F196:H196)</f>
        <v>24</v>
      </c>
      <c r="J196" s="15"/>
      <c r="K196" s="15"/>
      <c r="L196" s="18" t="s">
        <v>442</v>
      </c>
      <c r="M196" s="15">
        <v>-136</v>
      </c>
      <c r="N196" s="15">
        <v>-278</v>
      </c>
      <c r="O196" s="15">
        <v>-143</v>
      </c>
      <c r="P196" s="15">
        <v>-93</v>
      </c>
      <c r="Q196" s="15"/>
      <c r="R196" s="15"/>
      <c r="S196" s="15"/>
      <c r="T196" s="15"/>
    </row>
    <row r="197" spans="1:20" s="10" customFormat="1">
      <c r="A197" s="18" t="s">
        <v>292</v>
      </c>
      <c r="B197" s="18">
        <f t="shared" ref="B197:F197" si="225">+B194+B196</f>
        <v>-1550</v>
      </c>
      <c r="C197" s="18">
        <f t="shared" si="225"/>
        <v>895</v>
      </c>
      <c r="D197" s="18">
        <f t="shared" si="225"/>
        <v>-187</v>
      </c>
      <c r="E197" s="18">
        <f t="shared" si="225"/>
        <v>382</v>
      </c>
      <c r="F197" s="18">
        <f t="shared" si="225"/>
        <v>-1144</v>
      </c>
      <c r="G197" s="18">
        <f>+G194+G196</f>
        <v>127</v>
      </c>
      <c r="H197" s="18">
        <f t="shared" ref="H197:I197" si="226">+H194+H196</f>
        <v>543</v>
      </c>
      <c r="I197" s="18">
        <f t="shared" si="226"/>
        <v>738</v>
      </c>
      <c r="J197" s="18">
        <f t="shared" ref="J197:K197" si="227">+J194+J196</f>
        <v>0</v>
      </c>
      <c r="K197" s="18">
        <f t="shared" si="227"/>
        <v>0</v>
      </c>
      <c r="L197" s="18" t="s">
        <v>442</v>
      </c>
      <c r="M197" s="18">
        <f t="shared" ref="M197:P197" si="228">+M195+M196</f>
        <v>1655</v>
      </c>
      <c r="N197" s="18">
        <f t="shared" si="228"/>
        <v>-527</v>
      </c>
      <c r="O197" s="18">
        <f t="shared" si="228"/>
        <v>211</v>
      </c>
      <c r="P197" s="18">
        <f t="shared" si="228"/>
        <v>937</v>
      </c>
      <c r="Q197" s="18"/>
      <c r="R197" s="18"/>
      <c r="S197" s="18"/>
      <c r="T197" s="18"/>
    </row>
    <row r="198" spans="1:20" s="10" customFormat="1">
      <c r="A198" s="15" t="s">
        <v>287</v>
      </c>
      <c r="B198" s="15">
        <v>3618</v>
      </c>
      <c r="C198" s="15">
        <v>3618</v>
      </c>
      <c r="D198" s="15">
        <v>3618</v>
      </c>
      <c r="E198" s="15">
        <v>3618</v>
      </c>
      <c r="F198" s="15">
        <v>3158</v>
      </c>
      <c r="G198" s="15">
        <v>3158</v>
      </c>
      <c r="H198" s="15">
        <v>3158</v>
      </c>
      <c r="I198" s="15">
        <v>3158</v>
      </c>
      <c r="J198" s="15"/>
      <c r="K198" s="15"/>
      <c r="L198" s="18" t="s">
        <v>442</v>
      </c>
      <c r="M198" s="15">
        <v>3873</v>
      </c>
      <c r="N198" s="15">
        <v>4836</v>
      </c>
      <c r="O198" s="15">
        <v>3618</v>
      </c>
      <c r="P198" s="15">
        <v>3158</v>
      </c>
      <c r="Q198" s="15"/>
      <c r="R198" s="15"/>
      <c r="S198" s="15"/>
      <c r="T198" s="15"/>
    </row>
    <row r="199" spans="1:20" s="10" customFormat="1">
      <c r="A199" s="18" t="s">
        <v>288</v>
      </c>
      <c r="B199" s="18">
        <f t="shared" ref="B199:E199" si="229">+B198+B197</f>
        <v>2068</v>
      </c>
      <c r="C199" s="18">
        <f>+C198+C197+B197</f>
        <v>2963</v>
      </c>
      <c r="D199" s="18">
        <f t="shared" si="229"/>
        <v>3431</v>
      </c>
      <c r="E199" s="18">
        <f t="shared" si="229"/>
        <v>4000</v>
      </c>
      <c r="F199" s="18">
        <f>+F198+F197</f>
        <v>2014</v>
      </c>
      <c r="G199" s="18">
        <f>+G198+G197+F197</f>
        <v>2141</v>
      </c>
      <c r="H199" s="18">
        <f t="shared" ref="H199:I199" si="230">+H198+H197</f>
        <v>3701</v>
      </c>
      <c r="I199" s="18">
        <f t="shared" si="230"/>
        <v>3896</v>
      </c>
      <c r="J199" s="18">
        <f t="shared" ref="J199:K199" si="231">+J198+J197</f>
        <v>0</v>
      </c>
      <c r="K199" s="18">
        <f t="shared" si="231"/>
        <v>0</v>
      </c>
      <c r="L199" s="18" t="s">
        <v>442</v>
      </c>
      <c r="M199" s="18">
        <f t="shared" ref="M199:P199" si="232">+M198+M197</f>
        <v>5528</v>
      </c>
      <c r="N199" s="18">
        <f t="shared" si="232"/>
        <v>4309</v>
      </c>
      <c r="O199" s="18">
        <f t="shared" si="232"/>
        <v>3829</v>
      </c>
      <c r="P199" s="18">
        <f t="shared" si="232"/>
        <v>4095</v>
      </c>
      <c r="Q199" s="18"/>
      <c r="R199" s="18"/>
      <c r="S199" s="18"/>
      <c r="T199" s="18"/>
    </row>
    <row r="200" spans="1:20" s="10" customFormat="1">
      <c r="A200" s="12"/>
      <c r="B200" s="12"/>
      <c r="C200" s="12"/>
      <c r="D200" s="12"/>
      <c r="E200" s="12"/>
      <c r="F200" s="12"/>
      <c r="G200" s="12"/>
      <c r="H200" s="12"/>
      <c r="I200" s="12"/>
      <c r="J200" s="12"/>
      <c r="K200" s="12"/>
      <c r="L200" s="12" t="s">
        <v>442</v>
      </c>
      <c r="M200" s="12"/>
      <c r="N200" s="12"/>
      <c r="O200" s="12"/>
      <c r="P200" s="12"/>
      <c r="Q200" s="12"/>
      <c r="R200" s="12"/>
      <c r="S200" s="12"/>
      <c r="T200" s="12"/>
    </row>
    <row r="201" spans="1:20">
      <c r="A201" s="3"/>
      <c r="B201" s="3" t="str">
        <f t="shared" ref="B201:I201" si="233">B133</f>
        <v>Q123</v>
      </c>
      <c r="C201" s="3" t="str">
        <f t="shared" si="233"/>
        <v>Q223</v>
      </c>
      <c r="D201" s="3" t="str">
        <f t="shared" si="233"/>
        <v>Q323</v>
      </c>
      <c r="E201" s="3" t="str">
        <f t="shared" si="233"/>
        <v>Q423</v>
      </c>
      <c r="F201" s="3" t="str">
        <f t="shared" si="233"/>
        <v>Q124</v>
      </c>
      <c r="G201" s="3" t="str">
        <f t="shared" si="233"/>
        <v>Q224</v>
      </c>
      <c r="H201" s="3" t="str">
        <f t="shared" si="233"/>
        <v>Q324</v>
      </c>
      <c r="I201" s="3" t="str">
        <f t="shared" si="233"/>
        <v>Q424</v>
      </c>
      <c r="J201" s="3" t="str">
        <f t="shared" ref="J201:K201" si="234">J133</f>
        <v>Q125</v>
      </c>
      <c r="K201" s="3" t="str">
        <f t="shared" si="234"/>
        <v>Q225</v>
      </c>
      <c r="L201" s="3" t="s">
        <v>442</v>
      </c>
      <c r="M201" s="3">
        <v>2021</v>
      </c>
      <c r="N201" s="3">
        <v>2022</v>
      </c>
      <c r="O201" s="3">
        <f>O133</f>
        <v>2023</v>
      </c>
      <c r="P201" s="3">
        <f>P133</f>
        <v>2024</v>
      </c>
      <c r="Q201" s="3"/>
      <c r="R201" s="3"/>
      <c r="S201" s="3"/>
      <c r="T201" s="3"/>
    </row>
    <row r="202" spans="1:20" s="10" customFormat="1">
      <c r="A202" s="15" t="s">
        <v>3</v>
      </c>
      <c r="B202" s="15">
        <v>1646</v>
      </c>
      <c r="C202" s="15">
        <v>2563</v>
      </c>
      <c r="D202" s="15">
        <v>2254</v>
      </c>
      <c r="E202" s="15">
        <v>2644</v>
      </c>
      <c r="F202" s="15">
        <v>1505</v>
      </c>
      <c r="G202" s="15">
        <v>1839</v>
      </c>
      <c r="H202" s="15">
        <v>2421</v>
      </c>
      <c r="I202" s="15">
        <v>3106</v>
      </c>
      <c r="J202" s="15"/>
      <c r="K202" s="15"/>
      <c r="L202" s="18" t="s">
        <v>442</v>
      </c>
      <c r="M202" s="15"/>
      <c r="N202" s="15">
        <v>3191</v>
      </c>
      <c r="O202" s="15">
        <v>2644</v>
      </c>
      <c r="P202" s="15">
        <f>+I202</f>
        <v>3106</v>
      </c>
      <c r="Q202" s="15"/>
      <c r="R202" s="15"/>
      <c r="S202" s="15"/>
      <c r="T202" s="15"/>
    </row>
    <row r="203" spans="1:20" s="10" customFormat="1">
      <c r="A203" s="15" t="s">
        <v>293</v>
      </c>
      <c r="B203" s="15">
        <v>85</v>
      </c>
      <c r="C203" s="15">
        <v>53</v>
      </c>
      <c r="D203" s="15">
        <v>108</v>
      </c>
      <c r="E203" s="15">
        <v>98</v>
      </c>
      <c r="F203" s="15">
        <v>153</v>
      </c>
      <c r="G203" s="15">
        <v>120</v>
      </c>
      <c r="H203" s="15">
        <v>72</v>
      </c>
      <c r="I203" s="15">
        <v>63</v>
      </c>
      <c r="J203" s="15"/>
      <c r="K203" s="15"/>
      <c r="L203" s="18" t="s">
        <v>442</v>
      </c>
      <c r="M203" s="15"/>
      <c r="N203" s="15">
        <v>124</v>
      </c>
      <c r="O203" s="15">
        <v>98</v>
      </c>
      <c r="P203" s="15">
        <f t="shared" ref="P203:P206" si="235">+I203</f>
        <v>63</v>
      </c>
      <c r="Q203" s="15"/>
      <c r="R203" s="15"/>
      <c r="S203" s="15"/>
      <c r="T203" s="15"/>
    </row>
    <row r="204" spans="1:20" s="10" customFormat="1">
      <c r="A204" s="15" t="s">
        <v>294</v>
      </c>
      <c r="B204" s="15">
        <v>8678</v>
      </c>
      <c r="C204" s="15">
        <v>7955</v>
      </c>
      <c r="D204" s="15">
        <v>6581</v>
      </c>
      <c r="E204" s="15">
        <v>5488</v>
      </c>
      <c r="F204" s="15">
        <v>7906</v>
      </c>
      <c r="G204" s="15">
        <v>7615</v>
      </c>
      <c r="H204" s="15">
        <v>6651</v>
      </c>
      <c r="I204" s="15">
        <v>5676</v>
      </c>
      <c r="J204" s="15"/>
      <c r="K204" s="15"/>
      <c r="L204" s="18" t="s">
        <v>442</v>
      </c>
      <c r="M204" s="15"/>
      <c r="N204" s="15">
        <v>5701</v>
      </c>
      <c r="O204" s="15">
        <v>5488</v>
      </c>
      <c r="P204" s="15">
        <f t="shared" si="235"/>
        <v>5676</v>
      </c>
      <c r="Q204" s="15"/>
      <c r="R204" s="15"/>
      <c r="S204" s="15"/>
      <c r="T204" s="15"/>
    </row>
    <row r="205" spans="1:20" s="10" customFormat="1">
      <c r="A205" s="15" t="s">
        <v>295</v>
      </c>
      <c r="B205" s="15">
        <v>6585</v>
      </c>
      <c r="C205" s="15">
        <v>5628</v>
      </c>
      <c r="D205" s="15">
        <v>6320</v>
      </c>
      <c r="E205" s="15">
        <v>6899</v>
      </c>
      <c r="F205" s="15">
        <v>6183</v>
      </c>
      <c r="G205" s="15">
        <v>4893</v>
      </c>
      <c r="H205" s="15">
        <v>5674</v>
      </c>
      <c r="I205" s="15">
        <v>5432</v>
      </c>
      <c r="J205" s="15"/>
      <c r="K205" s="15"/>
      <c r="L205" s="18" t="s">
        <v>442</v>
      </c>
      <c r="M205" s="15"/>
      <c r="N205" s="15">
        <v>6811</v>
      </c>
      <c r="O205" s="15">
        <v>6899</v>
      </c>
      <c r="P205" s="15">
        <f t="shared" si="235"/>
        <v>5432</v>
      </c>
      <c r="Q205" s="15"/>
      <c r="R205" s="15"/>
      <c r="S205" s="15"/>
      <c r="T205" s="15"/>
    </row>
    <row r="206" spans="1:20" s="10" customFormat="1">
      <c r="A206" s="15" t="s">
        <v>77</v>
      </c>
      <c r="B206" s="15">
        <v>1335</v>
      </c>
      <c r="C206" s="15">
        <v>1008</v>
      </c>
      <c r="D206" s="15">
        <v>1070</v>
      </c>
      <c r="E206" s="15">
        <v>1131</v>
      </c>
      <c r="F206" s="15">
        <v>1416</v>
      </c>
      <c r="G206" s="15">
        <v>892</v>
      </c>
      <c r="H206" s="15">
        <v>831</v>
      </c>
      <c r="I206" s="15">
        <v>820</v>
      </c>
      <c r="J206" s="15"/>
      <c r="K206" s="15"/>
      <c r="L206" s="18" t="s">
        <v>442</v>
      </c>
      <c r="M206" s="15"/>
      <c r="N206" s="15">
        <v>968</v>
      </c>
      <c r="O206" s="15">
        <v>1131</v>
      </c>
      <c r="P206" s="15">
        <f t="shared" si="235"/>
        <v>820</v>
      </c>
      <c r="Q206" s="15"/>
      <c r="R206" s="15"/>
      <c r="S206" s="15"/>
      <c r="T206" s="15"/>
    </row>
    <row r="207" spans="1:20" s="10" customFormat="1">
      <c r="A207" s="18" t="s">
        <v>296</v>
      </c>
      <c r="B207" s="18">
        <f t="shared" ref="B207" si="236">+SUM(B202:B206)</f>
        <v>18329</v>
      </c>
      <c r="C207" s="18">
        <f t="shared" ref="C207" si="237">+SUM(C202:C206)</f>
        <v>17207</v>
      </c>
      <c r="D207" s="18">
        <f t="shared" ref="D207" si="238">+SUM(D202:D206)</f>
        <v>16333</v>
      </c>
      <c r="E207" s="18">
        <f t="shared" ref="E207" si="239">+SUM(E202:E206)</f>
        <v>16260</v>
      </c>
      <c r="F207" s="18">
        <f t="shared" ref="F207" si="240">+SUM(F202:F206)</f>
        <v>17163</v>
      </c>
      <c r="G207" s="18">
        <f t="shared" ref="G207:H207" si="241">+SUM(G202:G206)</f>
        <v>15359</v>
      </c>
      <c r="H207" s="18">
        <f t="shared" si="241"/>
        <v>15649</v>
      </c>
      <c r="I207" s="18">
        <f t="shared" ref="I207:J207" si="242">+SUM(I202:I206)</f>
        <v>15097</v>
      </c>
      <c r="J207" s="18">
        <f t="shared" si="242"/>
        <v>0</v>
      </c>
      <c r="K207" s="18">
        <f t="shared" ref="K207" si="243">+SUM(K202:K206)</f>
        <v>0</v>
      </c>
      <c r="L207" s="18" t="s">
        <v>442</v>
      </c>
      <c r="M207" s="18">
        <f t="shared" ref="M207:N207" si="244">+SUM(M202:M206)</f>
        <v>0</v>
      </c>
      <c r="N207" s="18">
        <f t="shared" si="244"/>
        <v>16795</v>
      </c>
      <c r="O207" s="18">
        <f>+SUM(O202:O206)</f>
        <v>16260</v>
      </c>
      <c r="P207" s="18">
        <f t="shared" ref="P207" si="245">+SUM(P202:P206)</f>
        <v>15097</v>
      </c>
      <c r="Q207" s="18"/>
      <c r="R207" s="18"/>
      <c r="S207" s="18"/>
      <c r="T207" s="18"/>
    </row>
    <row r="208" spans="1:20" s="10" customFormat="1">
      <c r="A208" s="15" t="s">
        <v>297</v>
      </c>
      <c r="B208" s="15">
        <v>87</v>
      </c>
      <c r="C208" s="15">
        <v>83</v>
      </c>
      <c r="D208" s="15">
        <v>106</v>
      </c>
      <c r="E208" s="15">
        <v>115</v>
      </c>
      <c r="F208" s="15">
        <v>123</v>
      </c>
      <c r="G208" s="15">
        <v>113</v>
      </c>
      <c r="H208" s="15">
        <v>128</v>
      </c>
      <c r="I208" s="15">
        <v>134</v>
      </c>
      <c r="J208" s="15"/>
      <c r="K208" s="15"/>
      <c r="L208" s="18" t="s">
        <v>442</v>
      </c>
      <c r="M208" s="15"/>
      <c r="N208" s="15">
        <v>102</v>
      </c>
      <c r="O208" s="15">
        <v>115</v>
      </c>
      <c r="P208" s="15">
        <f t="shared" ref="P208:P210" si="246">+I208</f>
        <v>134</v>
      </c>
      <c r="Q208" s="15"/>
      <c r="R208" s="15"/>
      <c r="S208" s="15"/>
      <c r="T208" s="15"/>
    </row>
    <row r="209" spans="1:20" s="10" customFormat="1">
      <c r="A209" s="15" t="s">
        <v>298</v>
      </c>
      <c r="B209" s="15">
        <v>8633</v>
      </c>
      <c r="C209" s="15">
        <v>8797</v>
      </c>
      <c r="D209" s="15">
        <v>8892</v>
      </c>
      <c r="E209" s="15">
        <v>8956</v>
      </c>
      <c r="F209" s="15">
        <v>9013</v>
      </c>
      <c r="G209" s="15">
        <v>9088</v>
      </c>
      <c r="H209" s="15">
        <v>9235</v>
      </c>
      <c r="I209" s="15">
        <v>9074</v>
      </c>
      <c r="J209" s="15"/>
      <c r="K209" s="15"/>
      <c r="L209" s="18" t="s">
        <v>442</v>
      </c>
      <c r="M209" s="15"/>
      <c r="N209" s="15">
        <v>8551</v>
      </c>
      <c r="O209" s="15">
        <v>8956</v>
      </c>
      <c r="P209" s="15">
        <f t="shared" si="246"/>
        <v>9074</v>
      </c>
      <c r="Q209" s="15"/>
      <c r="R209" s="15"/>
      <c r="S209" s="15"/>
      <c r="T209" s="15"/>
    </row>
    <row r="210" spans="1:20" s="10" customFormat="1">
      <c r="A210" s="15" t="s">
        <v>299</v>
      </c>
      <c r="B210" s="15">
        <v>4362</v>
      </c>
      <c r="C210" s="15">
        <v>4491</v>
      </c>
      <c r="D210" s="15">
        <v>4572</v>
      </c>
      <c r="E210" s="15">
        <v>4669</v>
      </c>
      <c r="F210" s="15">
        <v>4807</v>
      </c>
      <c r="G210" s="15">
        <v>4933</v>
      </c>
      <c r="H210" s="15">
        <v>5025</v>
      </c>
      <c r="I210" s="15">
        <v>4975</v>
      </c>
      <c r="J210" s="15"/>
      <c r="K210" s="15"/>
      <c r="L210" s="18" t="s">
        <v>442</v>
      </c>
      <c r="M210" s="15"/>
      <c r="N210" s="15">
        <v>4297</v>
      </c>
      <c r="O210" s="15">
        <v>4669</v>
      </c>
      <c r="P210" s="15">
        <f t="shared" si="246"/>
        <v>4975</v>
      </c>
      <c r="Q210" s="15"/>
      <c r="R210" s="15"/>
      <c r="S210" s="15"/>
      <c r="T210" s="15"/>
    </row>
    <row r="211" spans="1:20" s="10" customFormat="1">
      <c r="A211" s="18" t="s">
        <v>300</v>
      </c>
      <c r="B211" s="18">
        <f t="shared" ref="B211" si="247">+B209-B210</f>
        <v>4271</v>
      </c>
      <c r="C211" s="18">
        <f t="shared" ref="C211" si="248">+C209-C210</f>
        <v>4306</v>
      </c>
      <c r="D211" s="18">
        <f t="shared" ref="D211" si="249">+D209-D210</f>
        <v>4320</v>
      </c>
      <c r="E211" s="18">
        <f t="shared" ref="E211" si="250">+E209-E210</f>
        <v>4287</v>
      </c>
      <c r="F211" s="18">
        <f t="shared" ref="F211" si="251">+F209-F210</f>
        <v>4206</v>
      </c>
      <c r="G211" s="18">
        <f t="shared" ref="G211:H211" si="252">+G209-G210</f>
        <v>4155</v>
      </c>
      <c r="H211" s="18">
        <f t="shared" si="252"/>
        <v>4210</v>
      </c>
      <c r="I211" s="18">
        <f t="shared" ref="I211:J211" si="253">+I209-I210</f>
        <v>4099</v>
      </c>
      <c r="J211" s="18">
        <f t="shared" si="253"/>
        <v>0</v>
      </c>
      <c r="K211" s="18">
        <f t="shared" ref="K211" si="254">+K209-K210</f>
        <v>0</v>
      </c>
      <c r="L211" s="18" t="s">
        <v>442</v>
      </c>
      <c r="M211" s="18">
        <f t="shared" ref="M211:N211" si="255">+M209-M210</f>
        <v>0</v>
      </c>
      <c r="N211" s="18">
        <f t="shared" si="255"/>
        <v>4254</v>
      </c>
      <c r="O211" s="18">
        <f>+O209-O210</f>
        <v>4287</v>
      </c>
      <c r="P211" s="18">
        <f t="shared" ref="P211" si="256">+P209-P210</f>
        <v>4099</v>
      </c>
      <c r="Q211" s="18"/>
      <c r="R211" s="18"/>
      <c r="S211" s="18"/>
      <c r="T211" s="18"/>
    </row>
    <row r="212" spans="1:20" s="10" customFormat="1">
      <c r="A212" s="15" t="s">
        <v>301</v>
      </c>
      <c r="B212" s="15">
        <v>10508</v>
      </c>
      <c r="C212" s="15">
        <v>10539</v>
      </c>
      <c r="D212" s="15">
        <v>10441</v>
      </c>
      <c r="E212" s="15">
        <v>10605</v>
      </c>
      <c r="F212" s="15">
        <v>10553</v>
      </c>
      <c r="G212" s="15">
        <v>10490</v>
      </c>
      <c r="H212" s="15">
        <v>10629</v>
      </c>
      <c r="I212" s="15">
        <v>10408</v>
      </c>
      <c r="J212" s="15"/>
      <c r="K212" s="15"/>
      <c r="L212" s="18" t="s">
        <v>442</v>
      </c>
      <c r="M212" s="15"/>
      <c r="N212" s="15">
        <v>9962</v>
      </c>
      <c r="O212" s="15">
        <v>10605</v>
      </c>
      <c r="P212" s="15">
        <f t="shared" ref="P212:P215" si="257">+I212</f>
        <v>10408</v>
      </c>
      <c r="Q212" s="15"/>
      <c r="R212" s="15"/>
      <c r="S212" s="15"/>
      <c r="T212" s="15"/>
    </row>
    <row r="213" spans="1:20" s="10" customFormat="1">
      <c r="A213" s="15" t="s">
        <v>302</v>
      </c>
      <c r="B213" s="15">
        <v>10137</v>
      </c>
      <c r="C213" s="15">
        <v>9985</v>
      </c>
      <c r="D213" s="15">
        <v>9795</v>
      </c>
      <c r="E213" s="15">
        <v>9626</v>
      </c>
      <c r="F213" s="15">
        <v>9446</v>
      </c>
      <c r="G213" s="15">
        <v>9238</v>
      </c>
      <c r="H213" s="15">
        <v>9084</v>
      </c>
      <c r="I213" s="15">
        <v>8876</v>
      </c>
      <c r="J213" s="15"/>
      <c r="K213" s="15"/>
      <c r="L213" s="18" t="s">
        <v>442</v>
      </c>
      <c r="M213" s="15"/>
      <c r="N213" s="15">
        <v>9339</v>
      </c>
      <c r="O213" s="15">
        <v>9626</v>
      </c>
      <c r="P213" s="15">
        <f t="shared" si="257"/>
        <v>8876</v>
      </c>
      <c r="Q213" s="15"/>
      <c r="R213" s="15"/>
      <c r="S213" s="15"/>
      <c r="T213" s="15"/>
    </row>
    <row r="214" spans="1:20" s="10" customFormat="1">
      <c r="A214" s="15" t="s">
        <v>313</v>
      </c>
      <c r="B214" s="15">
        <v>508</v>
      </c>
      <c r="C214" s="15">
        <v>524</v>
      </c>
      <c r="D214" s="15">
        <v>554</v>
      </c>
      <c r="E214" s="15">
        <v>584</v>
      </c>
      <c r="F214" s="15">
        <v>551</v>
      </c>
      <c r="G214" s="15">
        <v>538</v>
      </c>
      <c r="H214" s="15">
        <v>564</v>
      </c>
      <c r="I214" s="15">
        <v>401</v>
      </c>
      <c r="J214" s="15"/>
      <c r="K214" s="15"/>
      <c r="L214" s="18" t="s">
        <v>442</v>
      </c>
      <c r="M214" s="15"/>
      <c r="N214" s="15">
        <v>479</v>
      </c>
      <c r="O214" s="15">
        <v>584</v>
      </c>
      <c r="P214" s="15">
        <f t="shared" si="257"/>
        <v>401</v>
      </c>
      <c r="Q214" s="15"/>
      <c r="R214" s="15"/>
      <c r="S214" s="15"/>
      <c r="T214" s="15"/>
    </row>
    <row r="215" spans="1:20" s="10" customFormat="1">
      <c r="A215" s="15" t="s">
        <v>303</v>
      </c>
      <c r="B215" s="15">
        <v>1660</v>
      </c>
      <c r="C215" s="15">
        <v>1545</v>
      </c>
      <c r="D215" s="15">
        <v>1561</v>
      </c>
      <c r="E215" s="15">
        <v>1519</v>
      </c>
      <c r="F215" s="15">
        <v>1583</v>
      </c>
      <c r="G215" s="15">
        <v>1571</v>
      </c>
      <c r="H215" s="15">
        <v>1644</v>
      </c>
      <c r="I215" s="15">
        <v>1810</v>
      </c>
      <c r="J215" s="15"/>
      <c r="K215" s="15"/>
      <c r="L215" s="18" t="s">
        <v>442</v>
      </c>
      <c r="M215" s="15"/>
      <c r="N215" s="15">
        <v>1687</v>
      </c>
      <c r="O215" s="15">
        <v>1519</v>
      </c>
      <c r="P215" s="15">
        <f t="shared" si="257"/>
        <v>1810</v>
      </c>
      <c r="Q215" s="15"/>
      <c r="R215" s="15"/>
      <c r="S215" s="15"/>
      <c r="T215" s="15"/>
    </row>
    <row r="216" spans="1:20" s="10" customFormat="1">
      <c r="A216" s="18" t="s">
        <v>318</v>
      </c>
      <c r="B216" s="18">
        <f t="shared" ref="B216" si="258">+SUM(B211:B215)</f>
        <v>27084</v>
      </c>
      <c r="C216" s="18">
        <f t="shared" ref="C216" si="259">+SUM(C211:C215)</f>
        <v>26899</v>
      </c>
      <c r="D216" s="18">
        <f t="shared" ref="D216" si="260">+SUM(D211:D215)</f>
        <v>26671</v>
      </c>
      <c r="E216" s="18">
        <f t="shared" ref="E216" si="261">+SUM(E211:E215)</f>
        <v>26621</v>
      </c>
      <c r="F216" s="18">
        <f t="shared" ref="F216" si="262">+SUM(F211:F215)</f>
        <v>26339</v>
      </c>
      <c r="G216" s="18">
        <f t="shared" ref="G216:H216" si="263">+SUM(G211:G215)</f>
        <v>25992</v>
      </c>
      <c r="H216" s="18">
        <f t="shared" si="263"/>
        <v>26131</v>
      </c>
      <c r="I216" s="18">
        <f t="shared" ref="I216:J216" si="264">+SUM(I211:I215)</f>
        <v>25594</v>
      </c>
      <c r="J216" s="18">
        <f t="shared" si="264"/>
        <v>0</v>
      </c>
      <c r="K216" s="18">
        <f t="shared" ref="K216" si="265">+SUM(K211:K215)</f>
        <v>0</v>
      </c>
      <c r="L216" s="18" t="s">
        <v>442</v>
      </c>
      <c r="M216" s="18">
        <f t="shared" ref="M216" si="266">+SUM(M211:M215)</f>
        <v>0</v>
      </c>
      <c r="N216" s="18">
        <f>+SUM(N211:N215)</f>
        <v>25721</v>
      </c>
      <c r="O216" s="18">
        <f t="shared" ref="O216:P216" si="267">+SUM(O211:O215)</f>
        <v>26621</v>
      </c>
      <c r="P216" s="18">
        <f t="shared" si="267"/>
        <v>25594</v>
      </c>
      <c r="Q216" s="18"/>
      <c r="R216" s="18"/>
      <c r="S216" s="18"/>
      <c r="T216" s="18"/>
    </row>
    <row r="217" spans="1:20" s="10" customFormat="1">
      <c r="A217" s="18" t="s">
        <v>304</v>
      </c>
      <c r="B217" s="18">
        <f t="shared" ref="B217" si="268">+B216+B208+B207</f>
        <v>45500</v>
      </c>
      <c r="C217" s="18">
        <f t="shared" ref="C217" si="269">+C216+C208+C207</f>
        <v>44189</v>
      </c>
      <c r="D217" s="18">
        <f t="shared" ref="D217" si="270">+D216+D208+D207</f>
        <v>43110</v>
      </c>
      <c r="E217" s="18">
        <f t="shared" ref="E217" si="271">+E216+E208+E207</f>
        <v>42996</v>
      </c>
      <c r="F217" s="18">
        <f t="shared" ref="F217" si="272">+F216+F208+F207</f>
        <v>43625</v>
      </c>
      <c r="G217" s="18">
        <f t="shared" ref="G217:H217" si="273">+G216+G208+G207</f>
        <v>41464</v>
      </c>
      <c r="H217" s="18">
        <f t="shared" si="273"/>
        <v>41908</v>
      </c>
      <c r="I217" s="18">
        <f t="shared" ref="I217:J217" si="274">+I216+I208+I207</f>
        <v>40825</v>
      </c>
      <c r="J217" s="18">
        <f t="shared" si="274"/>
        <v>0</v>
      </c>
      <c r="K217" s="18">
        <f t="shared" ref="K217" si="275">+K216+K208+K207</f>
        <v>0</v>
      </c>
      <c r="L217" s="18" t="s">
        <v>442</v>
      </c>
      <c r="M217" s="18">
        <f t="shared" ref="M217:N217" si="276">+M216+M208+M207</f>
        <v>0</v>
      </c>
      <c r="N217" s="18">
        <f t="shared" si="276"/>
        <v>42618</v>
      </c>
      <c r="O217" s="18">
        <f>+O216+O208+O207</f>
        <v>42996</v>
      </c>
      <c r="P217" s="18">
        <f t="shared" ref="P217" si="277">+P216+P208+P207</f>
        <v>40825</v>
      </c>
      <c r="Q217" s="18"/>
      <c r="R217" s="18"/>
      <c r="S217" s="18"/>
      <c r="T217" s="18"/>
    </row>
    <row r="218" spans="1:20" s="10" customFormat="1">
      <c r="A218" s="15" t="s">
        <v>305</v>
      </c>
      <c r="B218" s="15">
        <v>3787</v>
      </c>
      <c r="C218" s="15">
        <v>3023</v>
      </c>
      <c r="D218" s="15">
        <v>3609</v>
      </c>
      <c r="E218" s="15">
        <v>198</v>
      </c>
      <c r="F218" s="15">
        <v>2148</v>
      </c>
      <c r="G218" s="15">
        <v>2253</v>
      </c>
      <c r="H218" s="15">
        <v>3741</v>
      </c>
      <c r="I218" s="15">
        <v>750</v>
      </c>
      <c r="J218" s="15"/>
      <c r="K218" s="15"/>
      <c r="L218" s="18" t="s">
        <v>442</v>
      </c>
      <c r="M218" s="15"/>
      <c r="N218" s="15">
        <v>24</v>
      </c>
      <c r="O218" s="15">
        <v>198</v>
      </c>
      <c r="P218" s="15">
        <f t="shared" ref="P218:P222" si="278">+I218</f>
        <v>750</v>
      </c>
      <c r="Q218" s="15"/>
      <c r="R218" s="15"/>
      <c r="S218" s="15"/>
      <c r="T218" s="15"/>
    </row>
    <row r="219" spans="1:20" s="10" customFormat="1">
      <c r="A219" s="15" t="s">
        <v>306</v>
      </c>
      <c r="B219" s="15">
        <v>3957</v>
      </c>
      <c r="C219" s="15">
        <v>3379</v>
      </c>
      <c r="D219" s="15">
        <v>3678</v>
      </c>
      <c r="E219" s="15">
        <v>4280</v>
      </c>
      <c r="F219" s="15">
        <v>3606</v>
      </c>
      <c r="G219" s="15">
        <v>3300</v>
      </c>
      <c r="H219" s="15">
        <v>3753</v>
      </c>
      <c r="I219" s="15">
        <v>4039</v>
      </c>
      <c r="J219" s="15"/>
      <c r="K219" s="15"/>
      <c r="L219" s="18" t="s">
        <v>442</v>
      </c>
      <c r="M219" s="15"/>
      <c r="N219" s="15">
        <v>4895</v>
      </c>
      <c r="O219" s="15">
        <v>4280</v>
      </c>
      <c r="P219" s="15">
        <f t="shared" si="278"/>
        <v>4039</v>
      </c>
      <c r="Q219" s="15"/>
      <c r="R219" s="15"/>
      <c r="S219" s="15"/>
      <c r="T219" s="15"/>
    </row>
    <row r="220" spans="1:20" s="10" customFormat="1">
      <c r="A220" s="15" t="s">
        <v>307</v>
      </c>
      <c r="B220" s="15">
        <v>298</v>
      </c>
      <c r="C220" s="15">
        <v>396</v>
      </c>
      <c r="D220" s="15">
        <v>236</v>
      </c>
      <c r="E220" s="15">
        <v>174</v>
      </c>
      <c r="F220" s="15">
        <v>311</v>
      </c>
      <c r="G220" s="15">
        <v>488</v>
      </c>
      <c r="H220" s="15">
        <v>313</v>
      </c>
      <c r="I220" s="15">
        <v>207</v>
      </c>
      <c r="J220" s="15"/>
      <c r="K220" s="15"/>
      <c r="L220" s="18" t="s">
        <v>442</v>
      </c>
      <c r="M220" s="15"/>
      <c r="N220" s="15">
        <v>183</v>
      </c>
      <c r="O220" s="15">
        <v>174</v>
      </c>
      <c r="P220" s="15">
        <f t="shared" si="278"/>
        <v>207</v>
      </c>
      <c r="Q220" s="15"/>
      <c r="R220" s="15"/>
      <c r="S220" s="15"/>
      <c r="T220" s="15"/>
    </row>
    <row r="221" spans="1:20" s="10" customFormat="1">
      <c r="A221" s="15" t="s">
        <v>308</v>
      </c>
      <c r="B221" s="15">
        <v>2712</v>
      </c>
      <c r="C221" s="15">
        <v>656</v>
      </c>
      <c r="D221" s="15">
        <v>552</v>
      </c>
      <c r="E221" s="15">
        <v>3406</v>
      </c>
      <c r="F221" s="15">
        <v>2694</v>
      </c>
      <c r="G221" s="15">
        <v>413</v>
      </c>
      <c r="H221" s="15">
        <v>429</v>
      </c>
      <c r="I221" s="15">
        <v>3287</v>
      </c>
      <c r="J221" s="15"/>
      <c r="K221" s="15"/>
      <c r="L221" s="18" t="s">
        <v>442</v>
      </c>
      <c r="M221" s="15"/>
      <c r="N221" s="15">
        <v>3388</v>
      </c>
      <c r="O221" s="15">
        <v>3406</v>
      </c>
      <c r="P221" s="15">
        <f t="shared" si="278"/>
        <v>3287</v>
      </c>
      <c r="Q221" s="15"/>
      <c r="R221" s="15"/>
      <c r="S221" s="15"/>
      <c r="T221" s="15"/>
    </row>
    <row r="222" spans="1:20" s="10" customFormat="1">
      <c r="A222" s="15" t="s">
        <v>309</v>
      </c>
      <c r="B222" s="15">
        <v>2477</v>
      </c>
      <c r="C222" s="15">
        <v>2892</v>
      </c>
      <c r="D222" s="15">
        <v>2273</v>
      </c>
      <c r="E222" s="15">
        <v>2351</v>
      </c>
      <c r="F222" s="15">
        <v>2573</v>
      </c>
      <c r="G222" s="15">
        <v>2499</v>
      </c>
      <c r="H222" s="15">
        <v>2188</v>
      </c>
      <c r="I222" s="15">
        <v>2103</v>
      </c>
      <c r="J222" s="15"/>
      <c r="K222" s="15"/>
      <c r="L222" s="18" t="s">
        <v>442</v>
      </c>
      <c r="M222" s="15"/>
      <c r="N222" s="15">
        <v>2254</v>
      </c>
      <c r="O222" s="15">
        <v>2351</v>
      </c>
      <c r="P222" s="15">
        <f t="shared" si="278"/>
        <v>2103</v>
      </c>
      <c r="Q222" s="15"/>
      <c r="R222" s="15"/>
      <c r="S222" s="15"/>
      <c r="T222" s="15"/>
    </row>
    <row r="223" spans="1:20" s="10" customFormat="1">
      <c r="A223" s="18" t="s">
        <v>310</v>
      </c>
      <c r="B223" s="18">
        <f t="shared" ref="B223" si="279">+SUM(B218:B222)</f>
        <v>13231</v>
      </c>
      <c r="C223" s="18">
        <f t="shared" ref="C223" si="280">+SUM(C218:C222)</f>
        <v>10346</v>
      </c>
      <c r="D223" s="18">
        <f t="shared" ref="D223" si="281">+SUM(D218:D222)</f>
        <v>10348</v>
      </c>
      <c r="E223" s="18">
        <f t="shared" ref="E223" si="282">+SUM(E218:E222)</f>
        <v>10409</v>
      </c>
      <c r="F223" s="18">
        <f t="shared" ref="F223" si="283">+SUM(F218:F222)</f>
        <v>11332</v>
      </c>
      <c r="G223" s="18">
        <f t="shared" ref="G223:H223" si="284">+SUM(G218:G222)</f>
        <v>8953</v>
      </c>
      <c r="H223" s="18">
        <f t="shared" si="284"/>
        <v>10424</v>
      </c>
      <c r="I223" s="18">
        <f t="shared" ref="I223:J223" si="285">+SUM(I218:I222)</f>
        <v>10386</v>
      </c>
      <c r="J223" s="18">
        <f t="shared" si="285"/>
        <v>0</v>
      </c>
      <c r="K223" s="18">
        <f t="shared" ref="K223" si="286">+SUM(K218:K222)</f>
        <v>0</v>
      </c>
      <c r="L223" s="18" t="s">
        <v>442</v>
      </c>
      <c r="M223" s="18">
        <f t="shared" ref="M223:N223" si="287">+SUM(M218:M222)</f>
        <v>0</v>
      </c>
      <c r="N223" s="18">
        <f t="shared" si="287"/>
        <v>10744</v>
      </c>
      <c r="O223" s="18">
        <f>+SUM(O218:O222)</f>
        <v>10409</v>
      </c>
      <c r="P223" s="18">
        <f t="shared" ref="P223" si="288">+SUM(P218:P222)</f>
        <v>10386</v>
      </c>
      <c r="Q223" s="18"/>
      <c r="R223" s="18"/>
      <c r="S223" s="18"/>
      <c r="T223" s="18"/>
    </row>
    <row r="224" spans="1:20" s="10" customFormat="1">
      <c r="A224" s="15" t="s">
        <v>311</v>
      </c>
      <c r="B224" s="15">
        <v>1241</v>
      </c>
      <c r="C224" s="15">
        <v>2290</v>
      </c>
      <c r="D224" s="15">
        <v>2290</v>
      </c>
      <c r="E224" s="15">
        <v>2291</v>
      </c>
      <c r="F224" s="15">
        <v>2492</v>
      </c>
      <c r="G224" s="15">
        <v>2471</v>
      </c>
      <c r="H224" s="15">
        <v>1975</v>
      </c>
      <c r="I224" s="15">
        <v>1953</v>
      </c>
      <c r="J224" s="15"/>
      <c r="K224" s="15"/>
      <c r="L224" s="18" t="s">
        <v>442</v>
      </c>
      <c r="M224" s="15"/>
      <c r="N224" s="15">
        <v>1283</v>
      </c>
      <c r="O224" s="15">
        <v>2291</v>
      </c>
      <c r="P224" s="15">
        <f t="shared" ref="P224:P227" si="289">+I224</f>
        <v>1953</v>
      </c>
      <c r="Q224" s="15"/>
      <c r="R224" s="15"/>
      <c r="S224" s="15"/>
      <c r="T224" s="15"/>
    </row>
    <row r="225" spans="1:20" s="10" customFormat="1">
      <c r="A225" s="15" t="s">
        <v>312</v>
      </c>
      <c r="B225" s="15">
        <v>1255</v>
      </c>
      <c r="C225" s="15">
        <v>1134</v>
      </c>
      <c r="D225" s="15">
        <v>1070</v>
      </c>
      <c r="E225" s="15">
        <v>899</v>
      </c>
      <c r="F225" s="15">
        <v>753</v>
      </c>
      <c r="G225" s="15">
        <v>607</v>
      </c>
      <c r="H225" s="15">
        <v>496</v>
      </c>
      <c r="I225" s="15">
        <v>478</v>
      </c>
      <c r="J225" s="15"/>
      <c r="K225" s="15"/>
      <c r="L225" s="18" t="s">
        <v>442</v>
      </c>
      <c r="M225" s="15"/>
      <c r="N225" s="15">
        <v>1119</v>
      </c>
      <c r="O225" s="15">
        <v>899</v>
      </c>
      <c r="P225" s="15">
        <f t="shared" si="289"/>
        <v>478</v>
      </c>
      <c r="Q225" s="15"/>
      <c r="R225" s="15"/>
      <c r="S225" s="15"/>
      <c r="T225" s="15"/>
    </row>
    <row r="226" spans="1:20" s="10" customFormat="1">
      <c r="A226" s="15" t="s">
        <v>314</v>
      </c>
      <c r="B226" s="15">
        <v>2242</v>
      </c>
      <c r="C226" s="15">
        <v>2236</v>
      </c>
      <c r="D226" s="15">
        <v>2228</v>
      </c>
      <c r="E226" s="15">
        <v>2467</v>
      </c>
      <c r="F226" s="15">
        <v>2453</v>
      </c>
      <c r="G226" s="15">
        <v>2452</v>
      </c>
      <c r="H226" s="15">
        <v>2473</v>
      </c>
      <c r="I226" s="15">
        <v>2271</v>
      </c>
      <c r="J226" s="15"/>
      <c r="K226" s="15"/>
      <c r="L226" s="18" t="s">
        <v>442</v>
      </c>
      <c r="M226" s="15"/>
      <c r="N226" s="15">
        <v>2255</v>
      </c>
      <c r="O226" s="15">
        <v>2467</v>
      </c>
      <c r="P226" s="15">
        <f t="shared" si="289"/>
        <v>2271</v>
      </c>
      <c r="Q226" s="15"/>
      <c r="R226" s="15"/>
      <c r="S226" s="15"/>
      <c r="T226" s="15"/>
    </row>
    <row r="227" spans="1:20" s="10" customFormat="1">
      <c r="A227" s="15" t="s">
        <v>315</v>
      </c>
      <c r="B227" s="15">
        <v>1692</v>
      </c>
      <c r="C227" s="15">
        <v>1722</v>
      </c>
      <c r="D227" s="15">
        <v>1707</v>
      </c>
      <c r="E227" s="15">
        <v>1651</v>
      </c>
      <c r="F227" s="15">
        <v>1587</v>
      </c>
      <c r="G227" s="15">
        <v>1560</v>
      </c>
      <c r="H227" s="15">
        <v>1561</v>
      </c>
      <c r="I227" s="15">
        <v>1707</v>
      </c>
      <c r="J227" s="15"/>
      <c r="K227" s="15"/>
      <c r="L227" s="18" t="s">
        <v>442</v>
      </c>
      <c r="M227" s="15"/>
      <c r="N227" s="15">
        <v>1676</v>
      </c>
      <c r="O227" s="15">
        <v>1651</v>
      </c>
      <c r="P227" s="15">
        <f t="shared" si="289"/>
        <v>1707</v>
      </c>
      <c r="Q227" s="15"/>
      <c r="R227" s="15"/>
      <c r="S227" s="15"/>
      <c r="T227" s="15"/>
    </row>
    <row r="228" spans="1:20" s="10" customFormat="1">
      <c r="A228" s="18" t="s">
        <v>317</v>
      </c>
      <c r="B228" s="18">
        <f t="shared" ref="B228" si="290">+SUM(B223:B227)</f>
        <v>19661</v>
      </c>
      <c r="C228" s="18">
        <f t="shared" ref="C228" si="291">+SUM(C223:C227)</f>
        <v>17728</v>
      </c>
      <c r="D228" s="18">
        <f t="shared" ref="D228" si="292">+SUM(D223:D227)</f>
        <v>17643</v>
      </c>
      <c r="E228" s="18">
        <f t="shared" ref="E228" si="293">+SUM(E223:E227)</f>
        <v>17717</v>
      </c>
      <c r="F228" s="18">
        <f t="shared" ref="F228" si="294">+SUM(F223:F227)</f>
        <v>18617</v>
      </c>
      <c r="G228" s="18">
        <f t="shared" ref="G228:H228" si="295">+SUM(G223:G227)</f>
        <v>16043</v>
      </c>
      <c r="H228" s="18">
        <f t="shared" si="295"/>
        <v>16929</v>
      </c>
      <c r="I228" s="18">
        <f t="shared" ref="I228:J228" si="296">+SUM(I223:I227)</f>
        <v>16795</v>
      </c>
      <c r="J228" s="18">
        <f t="shared" si="296"/>
        <v>0</v>
      </c>
      <c r="K228" s="18">
        <f t="shared" ref="K228" si="297">+SUM(K223:K227)</f>
        <v>0</v>
      </c>
      <c r="L228" s="18" t="s">
        <v>442</v>
      </c>
      <c r="M228" s="18">
        <f t="shared" ref="M228:N228" si="298">+SUM(M223:M227)</f>
        <v>0</v>
      </c>
      <c r="N228" s="18">
        <f t="shared" si="298"/>
        <v>17077</v>
      </c>
      <c r="O228" s="18">
        <f>+SUM(O223:O227)</f>
        <v>17717</v>
      </c>
      <c r="P228" s="18">
        <f t="shared" ref="P228" si="299">+SUM(P223:P227)</f>
        <v>16795</v>
      </c>
      <c r="Q228" s="18"/>
      <c r="R228" s="18"/>
      <c r="S228" s="18"/>
      <c r="T228" s="18"/>
    </row>
    <row r="229" spans="1:20" s="10" customFormat="1">
      <c r="A229" s="18" t="s">
        <v>316</v>
      </c>
      <c r="B229" s="18">
        <f t="shared" ref="B229" si="300">+B217-B228</f>
        <v>25839</v>
      </c>
      <c r="C229" s="18">
        <f t="shared" ref="C229" si="301">+C217-C228</f>
        <v>26461</v>
      </c>
      <c r="D229" s="18">
        <f t="shared" ref="D229" si="302">+D217-D228</f>
        <v>25467</v>
      </c>
      <c r="E229" s="18">
        <f t="shared" ref="E229" si="303">+E217-E228</f>
        <v>25279</v>
      </c>
      <c r="F229" s="18">
        <f t="shared" ref="F229" si="304">+F217-F228</f>
        <v>25008</v>
      </c>
      <c r="G229" s="18">
        <f t="shared" ref="G229:H229" si="305">+G217-G228</f>
        <v>25421</v>
      </c>
      <c r="H229" s="18">
        <f t="shared" si="305"/>
        <v>24979</v>
      </c>
      <c r="I229" s="18">
        <f t="shared" ref="I229:J229" si="306">+I217-I228</f>
        <v>24030</v>
      </c>
      <c r="J229" s="18">
        <f t="shared" si="306"/>
        <v>0</v>
      </c>
      <c r="K229" s="18">
        <f t="shared" ref="K229" si="307">+K217-K228</f>
        <v>0</v>
      </c>
      <c r="L229" s="18" t="s">
        <v>442</v>
      </c>
      <c r="M229" s="18">
        <f t="shared" ref="M229:N229" si="308">+M217-M228</f>
        <v>0</v>
      </c>
      <c r="N229" s="18">
        <f t="shared" si="308"/>
        <v>25541</v>
      </c>
      <c r="O229" s="18">
        <f>+O217-O228</f>
        <v>25279</v>
      </c>
      <c r="P229" s="18">
        <f t="shared" ref="P229" si="309">+P217-P228</f>
        <v>24030</v>
      </c>
      <c r="Q229" s="18"/>
      <c r="R229" s="18"/>
      <c r="S229" s="18"/>
      <c r="T229" s="18"/>
    </row>
    <row r="230" spans="1:20" s="10" customFormat="1">
      <c r="A230" s="15" t="s">
        <v>319</v>
      </c>
      <c r="B230" s="15">
        <v>7</v>
      </c>
      <c r="C230" s="15">
        <v>7</v>
      </c>
      <c r="D230" s="15">
        <v>7</v>
      </c>
      <c r="E230" s="15">
        <v>7</v>
      </c>
      <c r="F230" s="15">
        <v>7</v>
      </c>
      <c r="G230" s="15">
        <v>7</v>
      </c>
      <c r="H230" s="15">
        <v>7</v>
      </c>
      <c r="I230" s="15">
        <v>7</v>
      </c>
      <c r="J230" s="15"/>
      <c r="K230" s="15"/>
      <c r="L230" s="18" t="s">
        <v>442</v>
      </c>
      <c r="M230" s="15"/>
      <c r="N230" s="15">
        <v>7</v>
      </c>
      <c r="O230" s="15">
        <v>7</v>
      </c>
      <c r="P230" s="15">
        <f t="shared" ref="P230:P233" si="310">+I230</f>
        <v>7</v>
      </c>
      <c r="Q230" s="15"/>
      <c r="R230" s="15"/>
      <c r="S230" s="15"/>
      <c r="T230" s="15"/>
    </row>
    <row r="231" spans="1:20" s="10" customFormat="1">
      <c r="A231" s="15" t="s">
        <v>320</v>
      </c>
      <c r="B231" s="15">
        <v>27844</v>
      </c>
      <c r="C231" s="15">
        <v>27877</v>
      </c>
      <c r="D231" s="15">
        <v>27895</v>
      </c>
      <c r="E231" s="15">
        <v>27748</v>
      </c>
      <c r="F231" s="15">
        <v>27468</v>
      </c>
      <c r="G231" s="15">
        <v>27504</v>
      </c>
      <c r="H231" s="15">
        <v>27518</v>
      </c>
      <c r="I231" s="15">
        <v>27196</v>
      </c>
      <c r="J231" s="15"/>
      <c r="K231" s="15"/>
      <c r="L231" s="18" t="s">
        <v>442</v>
      </c>
      <c r="M231" s="15"/>
      <c r="N231" s="15">
        <v>27851</v>
      </c>
      <c r="O231" s="15">
        <v>27748</v>
      </c>
      <c r="P231" s="15">
        <f t="shared" si="310"/>
        <v>27196</v>
      </c>
      <c r="Q231" s="15"/>
      <c r="R231" s="15"/>
      <c r="S231" s="15"/>
      <c r="T231" s="15"/>
    </row>
    <row r="232" spans="1:20" s="10" customFormat="1">
      <c r="A232" s="15" t="s">
        <v>321</v>
      </c>
      <c r="B232" s="15">
        <v>487</v>
      </c>
      <c r="C232" s="15">
        <v>1013</v>
      </c>
      <c r="D232" s="15">
        <v>325</v>
      </c>
      <c r="E232" s="15">
        <v>-41</v>
      </c>
      <c r="F232" s="15">
        <v>302</v>
      </c>
      <c r="G232" s="15">
        <v>992</v>
      </c>
      <c r="H232" s="15">
        <v>98</v>
      </c>
      <c r="I232" s="15">
        <v>55</v>
      </c>
      <c r="J232" s="15"/>
      <c r="K232" s="15"/>
      <c r="L232" s="18" t="s">
        <v>442</v>
      </c>
      <c r="M232" s="15"/>
      <c r="N232" s="15">
        <v>250</v>
      </c>
      <c r="O232" s="15">
        <v>-41</v>
      </c>
      <c r="P232" s="15">
        <f t="shared" si="310"/>
        <v>55</v>
      </c>
      <c r="Q232" s="15"/>
      <c r="R232" s="15"/>
      <c r="S232" s="15"/>
      <c r="T232" s="15"/>
    </row>
    <row r="233" spans="1:20" s="10" customFormat="1">
      <c r="A233" s="15" t="s">
        <v>322</v>
      </c>
      <c r="B233" s="15">
        <v>-2739</v>
      </c>
      <c r="C233" s="15">
        <v>-2677</v>
      </c>
      <c r="D233" s="15">
        <v>-3001</v>
      </c>
      <c r="E233" s="15">
        <v>-2677</v>
      </c>
      <c r="F233" s="15">
        <v>-3010</v>
      </c>
      <c r="G233" s="15">
        <v>-3324</v>
      </c>
      <c r="H233" s="15">
        <v>-2886</v>
      </c>
      <c r="I233" s="15">
        <v>-3469</v>
      </c>
      <c r="J233" s="15"/>
      <c r="K233" s="15"/>
      <c r="L233" s="18" t="s">
        <v>442</v>
      </c>
      <c r="M233" s="15"/>
      <c r="N233" s="15">
        <v>-2806</v>
      </c>
      <c r="O233" s="15">
        <v>-2677</v>
      </c>
      <c r="P233" s="15">
        <f t="shared" si="310"/>
        <v>-3469</v>
      </c>
      <c r="Q233" s="15"/>
      <c r="R233" s="15"/>
      <c r="S233" s="15"/>
      <c r="T233" s="15"/>
    </row>
    <row r="234" spans="1:20" s="10" customFormat="1">
      <c r="A234" s="18" t="s">
        <v>323</v>
      </c>
      <c r="B234" s="18">
        <f t="shared" ref="B234" si="311">+SUM(B230:B233)</f>
        <v>25599</v>
      </c>
      <c r="C234" s="18">
        <f t="shared" ref="C234" si="312">+SUM(C230:C233)</f>
        <v>26220</v>
      </c>
      <c r="D234" s="18">
        <f t="shared" ref="D234" si="313">+SUM(D230:D233)</f>
        <v>25226</v>
      </c>
      <c r="E234" s="18">
        <f t="shared" ref="E234" si="314">+SUM(E230:E233)</f>
        <v>25037</v>
      </c>
      <c r="F234" s="18">
        <f t="shared" ref="F234" si="315">+SUM(F230:F233)</f>
        <v>24767</v>
      </c>
      <c r="G234" s="18">
        <f t="shared" ref="G234:H234" si="316">+SUM(G230:G233)</f>
        <v>25179</v>
      </c>
      <c r="H234" s="18">
        <f t="shared" si="316"/>
        <v>24737</v>
      </c>
      <c r="I234" s="18">
        <f t="shared" ref="I234:J234" si="317">+SUM(I230:I233)</f>
        <v>23789</v>
      </c>
      <c r="J234" s="18">
        <f t="shared" si="317"/>
        <v>0</v>
      </c>
      <c r="K234" s="18">
        <f t="shared" ref="K234" si="318">+SUM(K230:K233)</f>
        <v>0</v>
      </c>
      <c r="L234" s="18" t="s">
        <v>442</v>
      </c>
      <c r="M234" s="18">
        <f t="shared" ref="M234:N234" si="319">+SUM(M230:M233)</f>
        <v>0</v>
      </c>
      <c r="N234" s="18">
        <f t="shared" si="319"/>
        <v>25302</v>
      </c>
      <c r="O234" s="18">
        <f>+SUM(O230:O233)</f>
        <v>25037</v>
      </c>
      <c r="P234" s="18">
        <f t="shared" ref="P234" si="320">+SUM(P230:P233)</f>
        <v>23789</v>
      </c>
      <c r="Q234" s="18"/>
      <c r="R234" s="18"/>
      <c r="S234" s="18"/>
      <c r="T234" s="18"/>
    </row>
    <row r="235" spans="1:20" s="10" customFormat="1">
      <c r="A235" s="15" t="s">
        <v>324</v>
      </c>
      <c r="B235" s="15">
        <v>240</v>
      </c>
      <c r="C235" s="15">
        <v>241</v>
      </c>
      <c r="D235" s="15">
        <v>241</v>
      </c>
      <c r="E235" s="15">
        <v>242</v>
      </c>
      <c r="F235" s="15">
        <v>241</v>
      </c>
      <c r="G235" s="15">
        <v>242</v>
      </c>
      <c r="H235" s="15">
        <v>242</v>
      </c>
      <c r="I235" s="15">
        <v>241</v>
      </c>
      <c r="J235" s="15"/>
      <c r="K235" s="15"/>
      <c r="L235" s="18" t="s">
        <v>442</v>
      </c>
      <c r="M235" s="15"/>
      <c r="N235" s="15">
        <v>239</v>
      </c>
      <c r="O235" s="15">
        <v>242</v>
      </c>
      <c r="P235" s="15">
        <f>+I235</f>
        <v>241</v>
      </c>
      <c r="Q235" s="15"/>
      <c r="R235" s="15"/>
      <c r="S235" s="15"/>
      <c r="T235" s="15"/>
    </row>
    <row r="236" spans="1:20" s="10" customFormat="1">
      <c r="A236" s="18" t="s">
        <v>325</v>
      </c>
      <c r="B236" s="18">
        <f t="shared" ref="B236" si="321">+B235+B234</f>
        <v>25839</v>
      </c>
      <c r="C236" s="18">
        <f t="shared" ref="C236" si="322">+C235+C234</f>
        <v>26461</v>
      </c>
      <c r="D236" s="18">
        <f t="shared" ref="D236" si="323">+D235+D234</f>
        <v>25467</v>
      </c>
      <c r="E236" s="18">
        <f t="shared" ref="E236" si="324">+E235+E234</f>
        <v>25279</v>
      </c>
      <c r="F236" s="18">
        <f t="shared" ref="F236" si="325">+F235+F234</f>
        <v>25008</v>
      </c>
      <c r="G236" s="18">
        <f t="shared" ref="G236:H236" si="326">+G235+G234</f>
        <v>25421</v>
      </c>
      <c r="H236" s="18">
        <f t="shared" si="326"/>
        <v>24979</v>
      </c>
      <c r="I236" s="18">
        <f t="shared" ref="I236:J236" si="327">+I235+I234</f>
        <v>24030</v>
      </c>
      <c r="J236" s="18">
        <f t="shared" si="327"/>
        <v>0</v>
      </c>
      <c r="K236" s="18">
        <f t="shared" ref="K236" si="328">+K235+K234</f>
        <v>0</v>
      </c>
      <c r="L236" s="18" t="s">
        <v>442</v>
      </c>
      <c r="M236" s="18">
        <f t="shared" ref="M236:N236" si="329">+M235+M234</f>
        <v>0</v>
      </c>
      <c r="N236" s="18">
        <f t="shared" si="329"/>
        <v>25541</v>
      </c>
      <c r="O236" s="18">
        <f>+O235+O234</f>
        <v>25279</v>
      </c>
      <c r="P236" s="18">
        <f t="shared" ref="P236" si="330">+P235+P234</f>
        <v>24030</v>
      </c>
      <c r="Q236" s="18"/>
      <c r="R236" s="18"/>
      <c r="S236" s="18"/>
      <c r="T236" s="18"/>
    </row>
    <row r="237" spans="1:20" s="10" customFormat="1">
      <c r="A237" s="18" t="s">
        <v>326</v>
      </c>
      <c r="B237" s="18">
        <f t="shared" ref="B237:I237" si="331">+B236+B228</f>
        <v>45500</v>
      </c>
      <c r="C237" s="18">
        <f t="shared" si="331"/>
        <v>44189</v>
      </c>
      <c r="D237" s="18">
        <f t="shared" si="331"/>
        <v>43110</v>
      </c>
      <c r="E237" s="18">
        <f t="shared" si="331"/>
        <v>42996</v>
      </c>
      <c r="F237" s="18">
        <f t="shared" si="331"/>
        <v>43625</v>
      </c>
      <c r="G237" s="18">
        <f t="shared" si="331"/>
        <v>41464</v>
      </c>
      <c r="H237" s="18">
        <f t="shared" si="331"/>
        <v>41908</v>
      </c>
      <c r="I237" s="18">
        <f t="shared" si="331"/>
        <v>40825</v>
      </c>
      <c r="J237" s="18">
        <f t="shared" ref="J237:K237" si="332">+J236+J228</f>
        <v>0</v>
      </c>
      <c r="K237" s="18">
        <f t="shared" si="332"/>
        <v>0</v>
      </c>
      <c r="L237" s="18" t="s">
        <v>442</v>
      </c>
      <c r="M237" s="18">
        <f>+M236+M228</f>
        <v>0</v>
      </c>
      <c r="N237" s="18">
        <f>+N236+N228</f>
        <v>42618</v>
      </c>
      <c r="O237" s="18">
        <f>+O236+O228</f>
        <v>42996</v>
      </c>
      <c r="P237" s="18">
        <f>+P236+P228</f>
        <v>40825</v>
      </c>
      <c r="Q237" s="18"/>
      <c r="R237" s="18"/>
      <c r="S237" s="18"/>
      <c r="T237" s="18"/>
    </row>
    <row r="238" spans="1:20" s="10" customFormat="1">
      <c r="A238" s="12"/>
      <c r="B238" s="12"/>
      <c r="C238" s="12"/>
      <c r="D238" s="12"/>
      <c r="E238" s="12"/>
      <c r="F238" s="12"/>
      <c r="G238" s="12"/>
      <c r="H238" s="12"/>
      <c r="I238" s="12"/>
      <c r="J238" s="12"/>
      <c r="K238" s="12"/>
      <c r="L238" s="12" t="s">
        <v>442</v>
      </c>
      <c r="M238" s="12"/>
      <c r="N238" s="12"/>
      <c r="O238" s="12"/>
      <c r="P238" s="12"/>
      <c r="Q238" s="12"/>
      <c r="R238" s="12"/>
      <c r="S238" s="12"/>
      <c r="T238" s="12"/>
    </row>
    <row r="239" spans="1:20">
      <c r="B239" t="str">
        <f t="shared" ref="B239:I239" si="333">+B201</f>
        <v>Q123</v>
      </c>
      <c r="C239" t="str">
        <f t="shared" si="333"/>
        <v>Q223</v>
      </c>
      <c r="D239" t="str">
        <f t="shared" si="333"/>
        <v>Q323</v>
      </c>
      <c r="E239" t="str">
        <f t="shared" si="333"/>
        <v>Q423</v>
      </c>
      <c r="F239" t="str">
        <f t="shared" si="333"/>
        <v>Q124</v>
      </c>
      <c r="G239" t="str">
        <f t="shared" si="333"/>
        <v>Q224</v>
      </c>
      <c r="H239" t="str">
        <f t="shared" si="333"/>
        <v>Q324</v>
      </c>
      <c r="I239" t="str">
        <f t="shared" si="333"/>
        <v>Q424</v>
      </c>
      <c r="J239" t="str">
        <f t="shared" ref="J239:K239" si="334">+J201</f>
        <v>Q125</v>
      </c>
      <c r="K239" t="str">
        <f t="shared" si="334"/>
        <v>Q225</v>
      </c>
      <c r="L239" s="3" t="s">
        <v>442</v>
      </c>
      <c r="M239">
        <f t="shared" ref="M239:N239" si="335">+M201</f>
        <v>2021</v>
      </c>
      <c r="N239">
        <f t="shared" si="335"/>
        <v>2022</v>
      </c>
      <c r="O239">
        <f>+O201</f>
        <v>2023</v>
      </c>
      <c r="P239">
        <f>+P201</f>
        <v>2024</v>
      </c>
    </row>
    <row r="240" spans="1:20" s="10" customFormat="1">
      <c r="A240" s="23" t="s">
        <v>295</v>
      </c>
      <c r="B240" s="23">
        <f t="shared" ref="B240" si="336">+SUM(B241:B243)</f>
        <v>6585</v>
      </c>
      <c r="C240" s="23">
        <f t="shared" ref="C240" si="337">+SUM(C241:C243)</f>
        <v>5628</v>
      </c>
      <c r="D240" s="23">
        <f t="shared" ref="D240" si="338">+SUM(D241:D243)</f>
        <v>6320</v>
      </c>
      <c r="E240" s="23">
        <f t="shared" ref="E240" si="339">+SUM(E241:E243)</f>
        <v>6899</v>
      </c>
      <c r="F240" s="23">
        <f t="shared" ref="F240" si="340">+SUM(F241:F243)</f>
        <v>6183</v>
      </c>
      <c r="G240" s="23">
        <f t="shared" ref="G240:H240" si="341">+SUM(G241:G243)</f>
        <v>4893</v>
      </c>
      <c r="H240" s="23">
        <f t="shared" si="341"/>
        <v>5674</v>
      </c>
      <c r="I240" s="23">
        <f t="shared" ref="I240:J240" si="342">+SUM(I241:I243)</f>
        <v>5432</v>
      </c>
      <c r="J240" s="23">
        <f t="shared" si="342"/>
        <v>0</v>
      </c>
      <c r="K240" s="23">
        <f t="shared" ref="K240" si="343">+SUM(K241:K243)</f>
        <v>0</v>
      </c>
      <c r="L240" s="23" t="s">
        <v>442</v>
      </c>
      <c r="M240" s="23">
        <f>+SUM(M241:M243)</f>
        <v>0</v>
      </c>
      <c r="N240" s="23">
        <f t="shared" ref="N240:P240" si="344">+SUM(N241:N243)</f>
        <v>6811</v>
      </c>
      <c r="O240" s="23">
        <f t="shared" si="344"/>
        <v>6899</v>
      </c>
      <c r="P240" s="23">
        <f t="shared" si="344"/>
        <v>5432</v>
      </c>
      <c r="Q240" s="23"/>
      <c r="R240" s="23"/>
      <c r="S240" s="23"/>
      <c r="T240" s="23"/>
    </row>
    <row r="241" spans="1:20" s="10" customFormat="1">
      <c r="A241" s="20" t="s">
        <v>376</v>
      </c>
      <c r="B241" s="20">
        <v>3650</v>
      </c>
      <c r="C241" s="20">
        <v>2640</v>
      </c>
      <c r="D241" s="20">
        <v>2786</v>
      </c>
      <c r="E241" s="20">
        <v>3273</v>
      </c>
      <c r="F241" s="20">
        <v>3284</v>
      </c>
      <c r="G241" s="20">
        <v>2190</v>
      </c>
      <c r="H241" s="20">
        <v>2399</v>
      </c>
      <c r="I241" s="20">
        <f>+P241</f>
        <v>2649</v>
      </c>
      <c r="J241" s="20"/>
      <c r="K241" s="20"/>
      <c r="L241" s="23" t="s">
        <v>442</v>
      </c>
      <c r="M241" s="20"/>
      <c r="N241" s="20">
        <v>3260</v>
      </c>
      <c r="O241" s="20">
        <v>3273</v>
      </c>
      <c r="P241" s="20">
        <v>2649</v>
      </c>
      <c r="Q241" s="20"/>
      <c r="R241" s="20"/>
      <c r="S241" s="20"/>
      <c r="T241" s="20"/>
    </row>
    <row r="242" spans="1:20" s="10" customFormat="1">
      <c r="A242" s="20" t="s">
        <v>377</v>
      </c>
      <c r="B242" s="20">
        <v>2023</v>
      </c>
      <c r="C242" s="20">
        <v>2127</v>
      </c>
      <c r="D242" s="20">
        <v>2690</v>
      </c>
      <c r="E242" s="20">
        <v>2775</v>
      </c>
      <c r="F242" s="20">
        <v>2206</v>
      </c>
      <c r="G242" s="20">
        <v>2110</v>
      </c>
      <c r="H242" s="20">
        <v>2785</v>
      </c>
      <c r="I242" s="20">
        <f t="shared" ref="I242:I243" si="345">+P242</f>
        <v>2297</v>
      </c>
      <c r="J242" s="20"/>
      <c r="K242" s="20"/>
      <c r="L242" s="23" t="s">
        <v>442</v>
      </c>
      <c r="M242" s="20"/>
      <c r="N242" s="20">
        <v>2689</v>
      </c>
      <c r="O242" s="20">
        <v>2775</v>
      </c>
      <c r="P242" s="20">
        <v>2297</v>
      </c>
      <c r="Q242" s="20"/>
      <c r="R242" s="20"/>
      <c r="S242" s="20"/>
      <c r="T242" s="20"/>
    </row>
    <row r="243" spans="1:20" s="10" customFormat="1">
      <c r="A243" s="20" t="s">
        <v>378</v>
      </c>
      <c r="B243" s="20">
        <v>912</v>
      </c>
      <c r="C243" s="20">
        <v>861</v>
      </c>
      <c r="D243" s="20">
        <v>844</v>
      </c>
      <c r="E243" s="20">
        <v>851</v>
      </c>
      <c r="F243" s="20">
        <v>693</v>
      </c>
      <c r="G243" s="20">
        <v>593</v>
      </c>
      <c r="H243" s="20">
        <v>490</v>
      </c>
      <c r="I243" s="20">
        <f t="shared" si="345"/>
        <v>486</v>
      </c>
      <c r="J243" s="20"/>
      <c r="K243" s="20"/>
      <c r="L243" s="23" t="s">
        <v>442</v>
      </c>
      <c r="M243" s="20"/>
      <c r="N243" s="20">
        <v>862</v>
      </c>
      <c r="O243" s="20">
        <v>851</v>
      </c>
      <c r="P243" s="20">
        <v>486</v>
      </c>
      <c r="Q243" s="20"/>
      <c r="R243" s="20"/>
      <c r="S243" s="20"/>
      <c r="T243" s="20"/>
    </row>
    <row r="244" spans="1:20" s="10" customFormat="1">
      <c r="L244" s="12" t="s">
        <v>442</v>
      </c>
    </row>
    <row r="245" spans="1:20">
      <c r="B245" t="str">
        <f t="shared" ref="B245:I245" si="346">+B239</f>
        <v>Q123</v>
      </c>
      <c r="C245" t="str">
        <f t="shared" si="346"/>
        <v>Q223</v>
      </c>
      <c r="D245" t="str">
        <f t="shared" si="346"/>
        <v>Q323</v>
      </c>
      <c r="E245" t="str">
        <f t="shared" si="346"/>
        <v>Q423</v>
      </c>
      <c r="F245" t="str">
        <f t="shared" si="346"/>
        <v>Q124</v>
      </c>
      <c r="G245" t="str">
        <f t="shared" si="346"/>
        <v>Q224</v>
      </c>
      <c r="H245" t="str">
        <f t="shared" si="346"/>
        <v>Q324</v>
      </c>
      <c r="I245" t="str">
        <f t="shared" si="346"/>
        <v>Q424</v>
      </c>
      <c r="J245" t="str">
        <f t="shared" ref="J245:K245" si="347">+J239</f>
        <v>Q125</v>
      </c>
      <c r="K245" t="str">
        <f t="shared" si="347"/>
        <v>Q225</v>
      </c>
      <c r="L245" s="3" t="s">
        <v>442</v>
      </c>
      <c r="M245">
        <f t="shared" ref="M245:O245" si="348">+M239</f>
        <v>2021</v>
      </c>
      <c r="N245">
        <f t="shared" si="348"/>
        <v>2022</v>
      </c>
      <c r="O245">
        <f t="shared" si="348"/>
        <v>2023</v>
      </c>
      <c r="P245">
        <f>+P239</f>
        <v>2024</v>
      </c>
    </row>
    <row r="246" spans="1:20" s="10" customFormat="1">
      <c r="A246" s="23" t="s">
        <v>298</v>
      </c>
      <c r="B246" s="23">
        <f t="shared" ref="B246" si="349">+SUM(B247:B251)</f>
        <v>0</v>
      </c>
      <c r="C246" s="23">
        <f t="shared" ref="C246" si="350">+SUM(C247:C251)</f>
        <v>0</v>
      </c>
      <c r="D246" s="23">
        <f t="shared" ref="D246" si="351">+SUM(D247:D251)</f>
        <v>0</v>
      </c>
      <c r="E246" s="23">
        <f t="shared" ref="E246" si="352">+SUM(E247:E251)</f>
        <v>0</v>
      </c>
      <c r="F246" s="23">
        <f t="shared" ref="F246" si="353">+SUM(F247:F251)</f>
        <v>0</v>
      </c>
      <c r="G246" s="23">
        <f t="shared" ref="G246:H246" si="354">+SUM(G247:G251)</f>
        <v>0</v>
      </c>
      <c r="H246" s="23">
        <f t="shared" si="354"/>
        <v>0</v>
      </c>
      <c r="I246" s="23">
        <f t="shared" ref="I246:J246" si="355">+SUM(I247:I251)</f>
        <v>0</v>
      </c>
      <c r="J246" s="23">
        <f t="shared" si="355"/>
        <v>0</v>
      </c>
      <c r="K246" s="23">
        <f t="shared" ref="K246" si="356">+SUM(K247:K251)</f>
        <v>0</v>
      </c>
      <c r="L246" s="23" t="s">
        <v>442</v>
      </c>
      <c r="M246" s="23">
        <f>+SUM(M247:M251)</f>
        <v>0</v>
      </c>
      <c r="N246" s="23">
        <f t="shared" ref="N246:P246" si="357">+SUM(N247:N251)</f>
        <v>4254</v>
      </c>
      <c r="O246" s="23">
        <f t="shared" si="357"/>
        <v>4287</v>
      </c>
      <c r="P246" s="23">
        <f t="shared" si="357"/>
        <v>4099</v>
      </c>
      <c r="Q246" s="23"/>
      <c r="R246" s="23"/>
      <c r="S246" s="23"/>
      <c r="T246" s="23"/>
    </row>
    <row r="247" spans="1:20" s="10" customFormat="1">
      <c r="A247" s="20" t="s">
        <v>379</v>
      </c>
      <c r="B247" s="20"/>
      <c r="C247" s="20"/>
      <c r="D247" s="20"/>
      <c r="E247" s="20"/>
      <c r="F247" s="20"/>
      <c r="G247" s="20"/>
      <c r="H247" s="20"/>
      <c r="I247" s="20"/>
      <c r="J247" s="20"/>
      <c r="K247" s="20"/>
      <c r="L247" s="23" t="s">
        <v>442</v>
      </c>
      <c r="M247" s="20"/>
      <c r="N247" s="20">
        <v>416</v>
      </c>
      <c r="O247" s="20">
        <v>440</v>
      </c>
      <c r="P247" s="20">
        <v>425</v>
      </c>
      <c r="Q247" s="20"/>
      <c r="R247" s="20"/>
      <c r="S247" s="20"/>
      <c r="T247" s="20"/>
    </row>
    <row r="248" spans="1:20" s="10" customFormat="1">
      <c r="A248" s="20" t="s">
        <v>380</v>
      </c>
      <c r="B248" s="20"/>
      <c r="C248" s="20"/>
      <c r="D248" s="20"/>
      <c r="E248" s="20"/>
      <c r="F248" s="20"/>
      <c r="G248" s="20"/>
      <c r="H248" s="20"/>
      <c r="I248" s="20"/>
      <c r="J248" s="20"/>
      <c r="K248" s="20"/>
      <c r="L248" s="23" t="s">
        <v>442</v>
      </c>
      <c r="M248" s="20"/>
      <c r="N248" s="20">
        <v>1541</v>
      </c>
      <c r="O248" s="20">
        <v>1671</v>
      </c>
      <c r="P248" s="20">
        <v>1715</v>
      </c>
      <c r="Q248" s="20"/>
      <c r="R248" s="20"/>
      <c r="S248" s="20"/>
      <c r="T248" s="20"/>
    </row>
    <row r="249" spans="1:20" s="10" customFormat="1">
      <c r="A249" s="20" t="s">
        <v>381</v>
      </c>
      <c r="B249" s="20"/>
      <c r="C249" s="20"/>
      <c r="D249" s="20"/>
      <c r="E249" s="20"/>
      <c r="F249" s="20"/>
      <c r="G249" s="20"/>
      <c r="H249" s="20"/>
      <c r="I249" s="20"/>
      <c r="J249" s="20"/>
      <c r="K249" s="20"/>
      <c r="L249" s="23" t="s">
        <v>442</v>
      </c>
      <c r="M249" s="20"/>
      <c r="N249" s="20">
        <v>6077</v>
      </c>
      <c r="O249" s="20">
        <v>6315</v>
      </c>
      <c r="P249" s="20">
        <v>6472</v>
      </c>
      <c r="Q249" s="20"/>
      <c r="R249" s="20"/>
      <c r="S249" s="20"/>
      <c r="T249" s="20"/>
    </row>
    <row r="250" spans="1:20" s="10" customFormat="1">
      <c r="A250" s="20" t="s">
        <v>382</v>
      </c>
      <c r="B250" s="20"/>
      <c r="C250" s="20"/>
      <c r="D250" s="20"/>
      <c r="E250" s="20"/>
      <c r="F250" s="20"/>
      <c r="G250" s="20"/>
      <c r="H250" s="20"/>
      <c r="I250" s="20"/>
      <c r="J250" s="20"/>
      <c r="K250" s="20"/>
      <c r="L250" s="23" t="s">
        <v>442</v>
      </c>
      <c r="M250" s="20"/>
      <c r="N250" s="20">
        <v>517</v>
      </c>
      <c r="O250" s="20">
        <v>530</v>
      </c>
      <c r="P250" s="20">
        <v>462</v>
      </c>
      <c r="Q250" s="20"/>
      <c r="R250" s="20"/>
      <c r="S250" s="20"/>
      <c r="T250" s="20"/>
    </row>
    <row r="251" spans="1:20" s="10" customFormat="1">
      <c r="A251" s="20" t="s">
        <v>383</v>
      </c>
      <c r="B251" s="20"/>
      <c r="C251" s="20"/>
      <c r="D251" s="20"/>
      <c r="E251" s="20"/>
      <c r="F251" s="20"/>
      <c r="G251" s="20"/>
      <c r="H251" s="20"/>
      <c r="I251" s="20"/>
      <c r="J251" s="20"/>
      <c r="K251" s="20"/>
      <c r="L251" s="23" t="s">
        <v>442</v>
      </c>
      <c r="M251" s="20"/>
      <c r="N251" s="20">
        <v>-4297</v>
      </c>
      <c r="O251" s="20">
        <v>-4669</v>
      </c>
      <c r="P251" s="20">
        <v>-4975</v>
      </c>
      <c r="Q251" s="20"/>
      <c r="R251" s="20"/>
      <c r="S251" s="20"/>
      <c r="T251" s="20"/>
    </row>
    <row r="252" spans="1:20" s="10" customFormat="1">
      <c r="L252" s="12" t="s">
        <v>442</v>
      </c>
    </row>
    <row r="253" spans="1:20">
      <c r="B253" t="str">
        <f t="shared" ref="B253" si="358">+B245</f>
        <v>Q123</v>
      </c>
      <c r="C253" t="str">
        <f t="shared" ref="C253" si="359">+C245</f>
        <v>Q223</v>
      </c>
      <c r="D253" t="str">
        <f t="shared" ref="D253" si="360">+D245</f>
        <v>Q323</v>
      </c>
      <c r="E253" t="str">
        <f t="shared" ref="E253" si="361">+E245</f>
        <v>Q423</v>
      </c>
      <c r="F253" t="str">
        <f t="shared" ref="F253" si="362">+F245</f>
        <v>Q124</v>
      </c>
      <c r="G253" t="str">
        <f t="shared" ref="G253:H253" si="363">+G245</f>
        <v>Q224</v>
      </c>
      <c r="H253" t="str">
        <f t="shared" si="363"/>
        <v>Q324</v>
      </c>
      <c r="I253" t="str">
        <f t="shared" ref="I253:J253" si="364">+I245</f>
        <v>Q424</v>
      </c>
      <c r="J253" t="str">
        <f t="shared" si="364"/>
        <v>Q125</v>
      </c>
      <c r="K253" t="str">
        <f t="shared" ref="K253" si="365">+K245</f>
        <v>Q225</v>
      </c>
      <c r="L253" s="3" t="s">
        <v>442</v>
      </c>
      <c r="M253">
        <f>+M245</f>
        <v>2021</v>
      </c>
      <c r="N253">
        <f t="shared" ref="N253:P253" si="366">+N245</f>
        <v>2022</v>
      </c>
      <c r="O253">
        <f t="shared" si="366"/>
        <v>2023</v>
      </c>
      <c r="P253">
        <f t="shared" si="366"/>
        <v>2024</v>
      </c>
    </row>
    <row r="254" spans="1:20" s="10" customFormat="1">
      <c r="A254" s="23" t="s">
        <v>440</v>
      </c>
      <c r="B254" s="23">
        <f t="shared" ref="B254" si="367">+B256+B258+B260+B262+B264</f>
        <v>13045</v>
      </c>
      <c r="C254" s="23">
        <f t="shared" ref="C254" si="368">+C256+C258+C260+C262+C264</f>
        <v>13068</v>
      </c>
      <c r="D254" s="23">
        <f t="shared" ref="D254" si="369">+D256+D258+D260+D262+D264</f>
        <v>13044</v>
      </c>
      <c r="E254" s="23">
        <f t="shared" ref="E254" si="370">+E256+E258+E260+E262+E264</f>
        <v>13073</v>
      </c>
      <c r="F254" s="23">
        <f t="shared" ref="F254" si="371">+F256+F258+F260+F262+F264</f>
        <v>13064</v>
      </c>
      <c r="G254" s="23">
        <f t="shared" ref="G254:H254" si="372">+G256+G258+G260+G262+G264</f>
        <v>12965</v>
      </c>
      <c r="H254" s="23">
        <f t="shared" si="372"/>
        <v>12986</v>
      </c>
      <c r="I254" s="23">
        <f t="shared" ref="I254:J254" si="373">+I256+I258+I260+I262+I264</f>
        <v>12923</v>
      </c>
      <c r="J254" s="23">
        <f t="shared" si="373"/>
        <v>0</v>
      </c>
      <c r="K254" s="23">
        <f t="shared" ref="K254" si="374">+K256+K258+K260+K262+K264</f>
        <v>0</v>
      </c>
      <c r="L254" s="23" t="s">
        <v>442</v>
      </c>
      <c r="M254" s="23">
        <f>+M256+M258+M260+M262+M264</f>
        <v>0</v>
      </c>
      <c r="N254" s="23">
        <f>+N256+N258+N260+N262+N264</f>
        <v>12092</v>
      </c>
      <c r="O254" s="23">
        <f t="shared" ref="O254:P254" si="375">+O256+O258+O260+O262+O264</f>
        <v>13073</v>
      </c>
      <c r="P254" s="23">
        <f t="shared" si="375"/>
        <v>12923</v>
      </c>
      <c r="Q254" s="23"/>
      <c r="R254" s="23"/>
      <c r="S254" s="23"/>
      <c r="T254" s="23"/>
    </row>
    <row r="255" spans="1:20" s="10" customFormat="1">
      <c r="A255" s="23" t="s">
        <v>441</v>
      </c>
      <c r="B255" s="23">
        <f t="shared" ref="B255" si="376">+B257+B259+B261+B263+B265</f>
        <v>10123</v>
      </c>
      <c r="C255" s="23">
        <f t="shared" ref="C255" si="377">+C257+C259+C261+C263+C265</f>
        <v>9969</v>
      </c>
      <c r="D255" s="23">
        <f t="shared" ref="D255" si="378">+D257+D259+D261+D263+D265</f>
        <v>9779</v>
      </c>
      <c r="E255" s="23">
        <f t="shared" ref="E255" si="379">+E257+E259+E261+E263+E265</f>
        <v>9621</v>
      </c>
      <c r="F255" s="23">
        <f t="shared" ref="F255" si="380">+F257+F259+F261+F263+F265</f>
        <v>9441</v>
      </c>
      <c r="G255" s="23">
        <f t="shared" ref="G255:H255" si="381">+G257+G259+G261+G263+G265</f>
        <v>9233</v>
      </c>
      <c r="H255" s="23">
        <f t="shared" si="381"/>
        <v>9079</v>
      </c>
      <c r="I255" s="23">
        <f t="shared" ref="I255:J255" si="382">+I257+I259+I261+I263+I265</f>
        <v>8871</v>
      </c>
      <c r="J255" s="23">
        <f t="shared" si="382"/>
        <v>0</v>
      </c>
      <c r="K255" s="23">
        <f t="shared" ref="K255" si="383">+K257+K259+K261+K263+K265</f>
        <v>0</v>
      </c>
      <c r="L255" s="23" t="s">
        <v>442</v>
      </c>
      <c r="M255" s="23">
        <f>+M257+M259+M261+M263+M265</f>
        <v>0</v>
      </c>
      <c r="N255" s="23">
        <f>+N257+N259+N261+N263+N265</f>
        <v>9329</v>
      </c>
      <c r="O255" s="23">
        <f t="shared" ref="O255:P255" si="384">+O257+O259+O261+O263+O265</f>
        <v>9621</v>
      </c>
      <c r="P255" s="23">
        <f t="shared" si="384"/>
        <v>8871</v>
      </c>
      <c r="Q255" s="23"/>
      <c r="R255" s="23"/>
      <c r="S255" s="23"/>
      <c r="T255" s="23"/>
    </row>
    <row r="256" spans="1:20" s="10" customFormat="1">
      <c r="A256" s="20" t="s">
        <v>384</v>
      </c>
      <c r="B256" s="20">
        <v>6291</v>
      </c>
      <c r="C256" s="20">
        <v>6291</v>
      </c>
      <c r="D256" s="20">
        <v>6291</v>
      </c>
      <c r="E256" s="20">
        <v>6291</v>
      </c>
      <c r="F256" s="20">
        <v>6291</v>
      </c>
      <c r="G256" s="20">
        <v>6291</v>
      </c>
      <c r="H256" s="20">
        <v>6291</v>
      </c>
      <c r="I256" s="20">
        <v>6291</v>
      </c>
      <c r="J256" s="20"/>
      <c r="K256" s="20"/>
      <c r="L256" s="23" t="s">
        <v>442</v>
      </c>
      <c r="M256" s="20"/>
      <c r="N256" s="20">
        <v>6291</v>
      </c>
      <c r="O256" s="20">
        <v>6291</v>
      </c>
      <c r="P256" s="20">
        <v>6291</v>
      </c>
      <c r="Q256" s="20"/>
      <c r="R256" s="20"/>
      <c r="S256" s="20"/>
      <c r="T256" s="20"/>
    </row>
    <row r="257" spans="1:20" s="10" customFormat="1">
      <c r="A257" s="20" t="s">
        <v>385</v>
      </c>
      <c r="B257" s="20">
        <v>5401</v>
      </c>
      <c r="C257" s="20">
        <v>5338</v>
      </c>
      <c r="D257" s="20">
        <v>5274</v>
      </c>
      <c r="E257" s="20">
        <v>5210</v>
      </c>
      <c r="F257" s="20">
        <v>5146</v>
      </c>
      <c r="G257" s="20">
        <v>5083</v>
      </c>
      <c r="H257" s="20">
        <v>5019</v>
      </c>
      <c r="I257" s="20">
        <v>4955</v>
      </c>
      <c r="J257" s="20"/>
      <c r="K257" s="20"/>
      <c r="L257" s="23" t="s">
        <v>442</v>
      </c>
      <c r="M257" s="20"/>
      <c r="N257" s="20">
        <v>5465</v>
      </c>
      <c r="O257" s="20">
        <v>5210</v>
      </c>
      <c r="P257" s="20">
        <v>4955</v>
      </c>
      <c r="Q257" s="20"/>
      <c r="R257" s="20"/>
      <c r="S257" s="20"/>
      <c r="T257" s="20"/>
    </row>
    <row r="258" spans="1:20" s="10" customFormat="1">
      <c r="A258" s="20" t="s">
        <v>386</v>
      </c>
      <c r="B258" s="20">
        <v>2407</v>
      </c>
      <c r="C258" s="20">
        <v>2429</v>
      </c>
      <c r="D258" s="20">
        <v>2403</v>
      </c>
      <c r="E258" s="20">
        <v>2427</v>
      </c>
      <c r="F258" s="20">
        <v>2421</v>
      </c>
      <c r="G258" s="20">
        <v>2388</v>
      </c>
      <c r="H258" s="20">
        <v>2413</v>
      </c>
      <c r="I258" s="20">
        <v>2350</v>
      </c>
      <c r="J258" s="20"/>
      <c r="K258" s="20"/>
      <c r="L258" s="23" t="s">
        <v>442</v>
      </c>
      <c r="M258" s="20"/>
      <c r="N258" s="20">
        <v>1912</v>
      </c>
      <c r="O258" s="20">
        <v>2427</v>
      </c>
      <c r="P258" s="20">
        <v>2350</v>
      </c>
      <c r="Q258" s="20"/>
      <c r="R258" s="20"/>
      <c r="S258" s="20"/>
      <c r="T258" s="20"/>
    </row>
    <row r="259" spans="1:20" s="10" customFormat="1">
      <c r="A259" s="20" t="s">
        <v>387</v>
      </c>
      <c r="B259" s="20">
        <v>1790</v>
      </c>
      <c r="C259" s="20">
        <v>1772</v>
      </c>
      <c r="D259" s="20">
        <v>1715</v>
      </c>
      <c r="E259" s="20">
        <v>1693</v>
      </c>
      <c r="F259" s="20">
        <v>1655</v>
      </c>
      <c r="G259" s="20">
        <v>1590</v>
      </c>
      <c r="H259" s="20">
        <v>1569</v>
      </c>
      <c r="I259" s="20">
        <v>1487</v>
      </c>
      <c r="J259" s="20"/>
      <c r="K259" s="20"/>
      <c r="L259" s="23" t="s">
        <v>442</v>
      </c>
      <c r="M259" s="20"/>
      <c r="N259" s="20">
        <v>1327</v>
      </c>
      <c r="O259" s="20">
        <v>1693</v>
      </c>
      <c r="P259" s="20">
        <v>1487</v>
      </c>
      <c r="Q259" s="20"/>
      <c r="R259" s="20"/>
      <c r="S259" s="20"/>
      <c r="T259" s="20"/>
    </row>
    <row r="260" spans="1:20" s="10" customFormat="1">
      <c r="A260" s="20" t="s">
        <v>388</v>
      </c>
      <c r="B260" s="20">
        <v>1845</v>
      </c>
      <c r="C260" s="20">
        <v>1843</v>
      </c>
      <c r="D260" s="20">
        <v>1845</v>
      </c>
      <c r="E260" s="20">
        <v>1849</v>
      </c>
      <c r="F260" s="20">
        <v>1846</v>
      </c>
      <c r="G260" s="20">
        <v>1840</v>
      </c>
      <c r="H260" s="20">
        <v>1838</v>
      </c>
      <c r="I260" s="20">
        <v>1838</v>
      </c>
      <c r="J260" s="20"/>
      <c r="K260" s="20"/>
      <c r="L260" s="23" t="s">
        <v>442</v>
      </c>
      <c r="M260" s="20"/>
      <c r="N260" s="20">
        <v>1485</v>
      </c>
      <c r="O260" s="20">
        <v>1849</v>
      </c>
      <c r="P260" s="20">
        <v>1838</v>
      </c>
      <c r="Q260" s="20"/>
      <c r="R260" s="20"/>
      <c r="S260" s="20"/>
      <c r="T260" s="20"/>
    </row>
    <row r="261" spans="1:20" s="10" customFormat="1">
      <c r="A261" s="20" t="s">
        <v>389</v>
      </c>
      <c r="B261" s="20">
        <v>977</v>
      </c>
      <c r="C261" s="20">
        <v>930</v>
      </c>
      <c r="D261" s="20">
        <v>887</v>
      </c>
      <c r="E261" s="20">
        <v>845</v>
      </c>
      <c r="F261" s="20">
        <v>796</v>
      </c>
      <c r="G261" s="20">
        <v>754</v>
      </c>
      <c r="H261" s="20">
        <v>712</v>
      </c>
      <c r="I261" s="20">
        <v>677</v>
      </c>
      <c r="J261" s="20"/>
      <c r="K261" s="20"/>
      <c r="L261" s="23" t="s">
        <v>442</v>
      </c>
      <c r="M261" s="20"/>
      <c r="N261" s="20">
        <v>655</v>
      </c>
      <c r="O261" s="20">
        <v>845</v>
      </c>
      <c r="P261" s="20">
        <v>677</v>
      </c>
      <c r="Q261" s="20"/>
      <c r="R261" s="20"/>
      <c r="S261" s="20"/>
      <c r="T261" s="20"/>
    </row>
    <row r="262" spans="1:20" s="10" customFormat="1">
      <c r="A262" s="20" t="s">
        <v>390</v>
      </c>
      <c r="B262" s="20">
        <v>2107</v>
      </c>
      <c r="C262" s="20">
        <v>2110</v>
      </c>
      <c r="D262" s="20">
        <v>2110</v>
      </c>
      <c r="E262" s="20">
        <v>2111</v>
      </c>
      <c r="F262" s="20">
        <v>2111</v>
      </c>
      <c r="G262" s="20">
        <v>2058</v>
      </c>
      <c r="H262" s="20">
        <v>2056</v>
      </c>
      <c r="I262" s="20">
        <v>2056</v>
      </c>
      <c r="J262" s="20"/>
      <c r="K262" s="20"/>
      <c r="L262" s="23" t="s">
        <v>442</v>
      </c>
      <c r="M262" s="20"/>
      <c r="N262" s="20">
        <v>2009</v>
      </c>
      <c r="O262" s="20">
        <v>2111</v>
      </c>
      <c r="P262" s="20">
        <v>2056</v>
      </c>
      <c r="Q262" s="20"/>
      <c r="R262" s="20"/>
      <c r="S262" s="20"/>
      <c r="T262" s="20"/>
    </row>
    <row r="263" spans="1:20" s="10" customFormat="1">
      <c r="A263" s="20" t="s">
        <v>391</v>
      </c>
      <c r="B263" s="20">
        <v>1836</v>
      </c>
      <c r="C263" s="20">
        <v>1817</v>
      </c>
      <c r="D263" s="20">
        <v>1796</v>
      </c>
      <c r="E263" s="20">
        <v>1772</v>
      </c>
      <c r="F263" s="20">
        <v>1750</v>
      </c>
      <c r="G263" s="20">
        <v>1718</v>
      </c>
      <c r="H263" s="20">
        <v>1697</v>
      </c>
      <c r="I263" s="20">
        <v>1676</v>
      </c>
      <c r="J263" s="20"/>
      <c r="K263" s="20"/>
      <c r="L263" s="23" t="s">
        <v>442</v>
      </c>
      <c r="M263" s="20"/>
      <c r="N263" s="20">
        <v>1758</v>
      </c>
      <c r="O263" s="20">
        <v>1772</v>
      </c>
      <c r="P263" s="20">
        <v>1676</v>
      </c>
      <c r="Q263" s="20"/>
      <c r="R263" s="20"/>
      <c r="S263" s="20"/>
      <c r="T263" s="20"/>
    </row>
    <row r="264" spans="1:20" s="10" customFormat="1">
      <c r="A264" s="20" t="s">
        <v>392</v>
      </c>
      <c r="B264" s="20">
        <v>395</v>
      </c>
      <c r="C264" s="20">
        <v>395</v>
      </c>
      <c r="D264" s="20">
        <v>395</v>
      </c>
      <c r="E264" s="20">
        <v>395</v>
      </c>
      <c r="F264" s="20">
        <v>395</v>
      </c>
      <c r="G264" s="20">
        <v>388</v>
      </c>
      <c r="H264" s="20">
        <v>388</v>
      </c>
      <c r="I264" s="20">
        <v>388</v>
      </c>
      <c r="J264" s="20"/>
      <c r="K264" s="20"/>
      <c r="L264" s="23" t="s">
        <v>442</v>
      </c>
      <c r="M264" s="20"/>
      <c r="N264" s="20">
        <v>395</v>
      </c>
      <c r="O264" s="20">
        <v>395</v>
      </c>
      <c r="P264" s="20">
        <v>388</v>
      </c>
      <c r="Q264" s="20"/>
      <c r="R264" s="20"/>
      <c r="S264" s="20"/>
      <c r="T264" s="20"/>
    </row>
    <row r="265" spans="1:20" s="10" customFormat="1">
      <c r="A265" s="20" t="s">
        <v>393</v>
      </c>
      <c r="B265" s="20">
        <v>119</v>
      </c>
      <c r="C265" s="20">
        <v>112</v>
      </c>
      <c r="D265" s="20">
        <v>107</v>
      </c>
      <c r="E265" s="20">
        <v>101</v>
      </c>
      <c r="F265" s="20">
        <v>94</v>
      </c>
      <c r="G265" s="20">
        <v>88</v>
      </c>
      <c r="H265" s="20">
        <v>82</v>
      </c>
      <c r="I265" s="20">
        <v>76</v>
      </c>
      <c r="J265" s="20"/>
      <c r="K265" s="20"/>
      <c r="L265" s="23" t="s">
        <v>442</v>
      </c>
      <c r="M265" s="20"/>
      <c r="N265" s="20">
        <v>124</v>
      </c>
      <c r="O265" s="20">
        <v>101</v>
      </c>
      <c r="P265" s="20">
        <v>76</v>
      </c>
      <c r="Q265" s="20"/>
      <c r="R265" s="20"/>
      <c r="S265" s="20"/>
      <c r="T265" s="20"/>
    </row>
    <row r="266" spans="1:20">
      <c r="L266" s="3" t="s">
        <v>442</v>
      </c>
    </row>
    <row r="267" spans="1:20">
      <c r="L267" s="3" t="s">
        <v>442</v>
      </c>
    </row>
    <row r="268" spans="1:20">
      <c r="L268" s="3" t="s">
        <v>442</v>
      </c>
    </row>
    <row r="269" spans="1:20">
      <c r="L269" s="3" t="s">
        <v>442</v>
      </c>
    </row>
    <row r="270" spans="1:20">
      <c r="L270" s="3" t="s">
        <v>442</v>
      </c>
    </row>
    <row r="271" spans="1:20">
      <c r="L271" s="3" t="s">
        <v>442</v>
      </c>
    </row>
    <row r="272" spans="1:20">
      <c r="L272" s="3" t="s">
        <v>442</v>
      </c>
    </row>
    <row r="273" spans="12:12">
      <c r="L273" s="3" t="s">
        <v>442</v>
      </c>
    </row>
    <row r="274" spans="12:12">
      <c r="L274" s="3" t="s">
        <v>442</v>
      </c>
    </row>
    <row r="275" spans="12:12">
      <c r="L275" s="3" t="s">
        <v>442</v>
      </c>
    </row>
    <row r="276" spans="12:12">
      <c r="L276" s="3" t="s">
        <v>442</v>
      </c>
    </row>
    <row r="277" spans="12:12">
      <c r="L277" s="3" t="s">
        <v>442</v>
      </c>
    </row>
    <row r="278" spans="12:12">
      <c r="L278" s="3" t="s">
        <v>442</v>
      </c>
    </row>
    <row r="279" spans="12:12">
      <c r="L279" s="3" t="s">
        <v>442</v>
      </c>
    </row>
    <row r="280" spans="12:12">
      <c r="L280" s="3" t="s">
        <v>442</v>
      </c>
    </row>
    <row r="281" spans="12:12">
      <c r="L281" s="3" t="s">
        <v>442</v>
      </c>
    </row>
    <row r="282" spans="12:12">
      <c r="L282" s="3" t="s">
        <v>442</v>
      </c>
    </row>
    <row r="283" spans="12:12">
      <c r="L283" s="3" t="s">
        <v>442</v>
      </c>
    </row>
    <row r="284" spans="12:12">
      <c r="L284" s="3" t="s">
        <v>442</v>
      </c>
    </row>
    <row r="285" spans="12:12">
      <c r="L285" s="3" t="s">
        <v>442</v>
      </c>
    </row>
    <row r="286" spans="12:12">
      <c r="L286" s="3" t="s">
        <v>442</v>
      </c>
    </row>
    <row r="287" spans="12:12">
      <c r="L287" s="3" t="s">
        <v>442</v>
      </c>
    </row>
    <row r="288" spans="12:12">
      <c r="L288" s="3" t="s">
        <v>442</v>
      </c>
    </row>
    <row r="289" spans="12:12">
      <c r="L289" s="3" t="s">
        <v>442</v>
      </c>
    </row>
    <row r="290" spans="12:12">
      <c r="L290" s="3" t="s">
        <v>442</v>
      </c>
    </row>
    <row r="291" spans="12:12">
      <c r="L291" s="3" t="s">
        <v>442</v>
      </c>
    </row>
    <row r="292" spans="12:12">
      <c r="L292"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model!A28</f>
        <v>Seeds sales by type</v>
      </c>
      <c r="B4" s="10">
        <f>model!B28</f>
        <v>2695</v>
      </c>
      <c r="C4" s="10">
        <f>model!C28</f>
        <v>4264</v>
      </c>
      <c r="D4" s="10">
        <f>model!D28</f>
        <v>878</v>
      </c>
      <c r="E4" s="10">
        <f>model!E28</f>
        <v>1635</v>
      </c>
      <c r="F4" s="10">
        <f>model!F28</f>
        <v>2751</v>
      </c>
      <c r="G4" s="10">
        <f>model!G28</f>
        <v>4331</v>
      </c>
      <c r="H4" s="10">
        <f>model!H28</f>
        <v>691</v>
      </c>
      <c r="I4" s="10">
        <f>model!I28</f>
        <v>1772</v>
      </c>
      <c r="J4" s="10">
        <f>model!J28</f>
        <v>0</v>
      </c>
      <c r="K4" s="10">
        <f>model!K28</f>
        <v>0</v>
      </c>
      <c r="L4" s="10" t="str">
        <f>model!L28</f>
        <v>xxx</v>
      </c>
      <c r="M4" s="10">
        <f>model!M28</f>
        <v>8402</v>
      </c>
      <c r="N4" s="10">
        <f>model!N28</f>
        <v>8979</v>
      </c>
      <c r="O4" s="10">
        <f>model!O28</f>
        <v>9472</v>
      </c>
      <c r="P4" s="10">
        <f>model!P28</f>
        <v>9545</v>
      </c>
    </row>
    <row r="5" spans="1:16">
      <c r="A5" t="str">
        <f>model!A29</f>
        <v>Corn seed sales</v>
      </c>
      <c r="B5" s="10">
        <f>model!B29</f>
        <v>1979</v>
      </c>
      <c r="C5" s="10">
        <f>model!C29</f>
        <v>2673</v>
      </c>
      <c r="D5" s="10">
        <f>model!D29</f>
        <v>487</v>
      </c>
      <c r="E5" s="10">
        <f>model!E29</f>
        <v>1308</v>
      </c>
      <c r="F5" s="10">
        <f>model!F29</f>
        <v>2087</v>
      </c>
      <c r="G5" s="10">
        <f>model!G29</f>
        <v>2683</v>
      </c>
      <c r="H5" s="10">
        <f>model!H29</f>
        <v>315</v>
      </c>
      <c r="I5" s="10">
        <f>model!I29</f>
        <v>1411</v>
      </c>
      <c r="J5" s="10">
        <f>model!J29</f>
        <v>0</v>
      </c>
      <c r="K5" s="10">
        <f>model!K29</f>
        <v>0</v>
      </c>
      <c r="L5" s="10" t="str">
        <f>model!L29</f>
        <v>xxx</v>
      </c>
      <c r="M5" s="10">
        <f>model!M29</f>
        <v>5618</v>
      </c>
      <c r="N5" s="10">
        <f>model!N29</f>
        <v>5955</v>
      </c>
      <c r="O5" s="10">
        <f>model!O29</f>
        <v>6447</v>
      </c>
      <c r="P5" s="10">
        <f>model!P29</f>
        <v>6496</v>
      </c>
    </row>
    <row r="6" spans="1:16">
      <c r="A6" t="str">
        <f>model!A30</f>
        <v>Soybean seed sales</v>
      </c>
      <c r="B6" s="10">
        <f>model!B30</f>
        <v>269</v>
      </c>
      <c r="C6" s="10">
        <f>model!C30</f>
        <v>1255</v>
      </c>
      <c r="D6" s="10">
        <f>model!D30</f>
        <v>189</v>
      </c>
      <c r="E6" s="10">
        <f>model!E30</f>
        <v>145</v>
      </c>
      <c r="F6" s="10">
        <f>model!F30</f>
        <v>292</v>
      </c>
      <c r="G6" s="10">
        <f>model!G30</f>
        <v>1317</v>
      </c>
      <c r="H6" s="10">
        <f>model!H30</f>
        <v>164</v>
      </c>
      <c r="I6" s="10">
        <f>model!I30</f>
        <v>154</v>
      </c>
      <c r="J6" s="10">
        <f>model!J30</f>
        <v>0</v>
      </c>
      <c r="K6" s="10">
        <f>model!K30</f>
        <v>0</v>
      </c>
      <c r="L6" s="10" t="str">
        <f>model!L30</f>
        <v>xxx</v>
      </c>
      <c r="M6" s="10">
        <f>model!M30</f>
        <v>1568</v>
      </c>
      <c r="N6" s="10">
        <f>model!N30</f>
        <v>1810</v>
      </c>
      <c r="O6" s="10">
        <f>model!O30</f>
        <v>1858</v>
      </c>
      <c r="P6" s="10">
        <f>model!P30</f>
        <v>1927</v>
      </c>
    </row>
    <row r="7" spans="1:16">
      <c r="A7" t="str">
        <f>model!A31</f>
        <v>Other oilseeds sales</v>
      </c>
      <c r="B7" s="10">
        <f>model!B31</f>
        <v>301</v>
      </c>
      <c r="C7" s="10">
        <f>model!C31</f>
        <v>194</v>
      </c>
      <c r="D7" s="10">
        <f>model!D31</f>
        <v>142</v>
      </c>
      <c r="E7" s="10">
        <f>model!E31</f>
        <v>71</v>
      </c>
      <c r="F7" s="10">
        <f>model!F31</f>
        <v>245</v>
      </c>
      <c r="G7" s="10">
        <f>model!G31</f>
        <v>186</v>
      </c>
      <c r="H7" s="10">
        <f>model!H31</f>
        <v>135</v>
      </c>
      <c r="I7" s="10">
        <f>model!I31</f>
        <v>87</v>
      </c>
      <c r="J7" s="10">
        <f>model!J31</f>
        <v>0</v>
      </c>
      <c r="K7" s="10">
        <f>model!K31</f>
        <v>0</v>
      </c>
      <c r="L7" s="10" t="str">
        <f>model!L31</f>
        <v>xxx</v>
      </c>
      <c r="M7" s="10">
        <f>model!M31</f>
        <v>752</v>
      </c>
      <c r="N7" s="10">
        <f>model!N31</f>
        <v>714</v>
      </c>
      <c r="O7" s="10">
        <f>model!O31</f>
        <v>708</v>
      </c>
      <c r="P7" s="10">
        <f>model!P31</f>
        <v>653</v>
      </c>
    </row>
    <row r="8" spans="1:16">
      <c r="A8" t="str">
        <f>model!A32</f>
        <v>Other seed sales</v>
      </c>
      <c r="B8" s="10">
        <f>model!B32</f>
        <v>146</v>
      </c>
      <c r="C8" s="10">
        <f>model!C32</f>
        <v>142</v>
      </c>
      <c r="D8" s="10">
        <f>model!D32</f>
        <v>60</v>
      </c>
      <c r="E8" s="10">
        <f>model!E32</f>
        <v>111</v>
      </c>
      <c r="F8" s="10">
        <f>model!F32</f>
        <v>127</v>
      </c>
      <c r="G8" s="10">
        <f>model!G32</f>
        <v>145</v>
      </c>
      <c r="H8" s="10">
        <f>model!H32</f>
        <v>77</v>
      </c>
      <c r="I8" s="10">
        <f>model!I32</f>
        <v>120</v>
      </c>
      <c r="J8" s="10">
        <f>model!J32</f>
        <v>0</v>
      </c>
      <c r="K8" s="10">
        <f>model!K32</f>
        <v>0</v>
      </c>
      <c r="L8" s="10" t="str">
        <f>model!L32</f>
        <v>xxx</v>
      </c>
      <c r="M8" s="10">
        <f>model!M32</f>
        <v>464</v>
      </c>
      <c r="N8" s="10">
        <f>model!N32</f>
        <v>500</v>
      </c>
      <c r="O8" s="10">
        <f>model!O32</f>
        <v>459</v>
      </c>
      <c r="P8" s="10">
        <f>model!P32</f>
        <v>469</v>
      </c>
    </row>
    <row r="10" spans="1:16">
      <c r="A10" s="10" t="str">
        <f>+model!A46</f>
        <v>Worldwide seed sales</v>
      </c>
      <c r="B10" s="10">
        <f>+model!B46</f>
        <v>2695</v>
      </c>
      <c r="C10" s="10">
        <f>+model!C46</f>
        <v>4264</v>
      </c>
      <c r="D10" s="10">
        <f>+model!D46</f>
        <v>878</v>
      </c>
      <c r="E10" s="10">
        <f>+model!E46</f>
        <v>1635</v>
      </c>
      <c r="F10" s="10">
        <f>+model!F46</f>
        <v>2751</v>
      </c>
      <c r="G10" s="10">
        <f>+model!G46</f>
        <v>4331</v>
      </c>
      <c r="H10" s="10">
        <f>+model!H46</f>
        <v>691</v>
      </c>
      <c r="I10" s="10">
        <f>+model!I46</f>
        <v>1772</v>
      </c>
      <c r="J10" s="10">
        <f>+model!J46</f>
        <v>0</v>
      </c>
      <c r="K10" s="10">
        <f>+model!K46</f>
        <v>0</v>
      </c>
      <c r="L10" s="10" t="str">
        <f>+model!L46</f>
        <v>xxx</v>
      </c>
      <c r="M10" s="10">
        <f>+model!M46</f>
        <v>8402</v>
      </c>
      <c r="N10" s="10">
        <f>+model!N46</f>
        <v>8979</v>
      </c>
      <c r="O10" s="10">
        <f>+model!O46</f>
        <v>9472</v>
      </c>
      <c r="P10" s="10">
        <f>+model!P46</f>
        <v>9545</v>
      </c>
    </row>
    <row r="11" spans="1:16">
      <c r="A11" s="10" t="str">
        <f>+model!A47</f>
        <v>North America seed sales</v>
      </c>
      <c r="B11" s="10">
        <f>+model!B47</f>
        <v>1323</v>
      </c>
      <c r="C11" s="10">
        <f>+model!C47</f>
        <v>3696</v>
      </c>
      <c r="D11" s="10">
        <f>+model!D47</f>
        <v>173</v>
      </c>
      <c r="E11" s="10">
        <f>+model!E47</f>
        <v>576</v>
      </c>
      <c r="F11" s="10">
        <f>+model!F47</f>
        <v>1471</v>
      </c>
      <c r="G11" s="10">
        <f>+model!G47</f>
        <v>3753</v>
      </c>
      <c r="H11" s="10">
        <f>+model!H47</f>
        <v>170</v>
      </c>
      <c r="I11" s="10">
        <f>+model!I47</f>
        <v>639</v>
      </c>
      <c r="J11" s="10">
        <f>+model!J47</f>
        <v>0</v>
      </c>
      <c r="K11" s="10">
        <f>+model!K47</f>
        <v>0</v>
      </c>
      <c r="L11" s="10" t="str">
        <f>+model!L47</f>
        <v>xxx</v>
      </c>
      <c r="M11" s="10">
        <f>+model!M47</f>
        <v>5004</v>
      </c>
      <c r="N11" s="10">
        <f>+model!N47</f>
        <v>5178</v>
      </c>
      <c r="O11" s="10">
        <f>+model!O47</f>
        <v>5768</v>
      </c>
      <c r="P11" s="10">
        <f>+model!P47</f>
        <v>6033</v>
      </c>
    </row>
    <row r="12" spans="1:16">
      <c r="A12" s="10" t="str">
        <f>+model!A48</f>
        <v>EMEA seed sales</v>
      </c>
      <c r="B12" s="10">
        <f>+model!B48</f>
        <v>1012</v>
      </c>
      <c r="C12" s="10">
        <f>+model!C48</f>
        <v>231</v>
      </c>
      <c r="D12" s="10">
        <f>+model!D48</f>
        <v>198</v>
      </c>
      <c r="E12" s="10">
        <f>+model!E48</f>
        <v>181</v>
      </c>
      <c r="F12" s="10">
        <f>+model!F48</f>
        <v>918</v>
      </c>
      <c r="G12" s="10">
        <f>+model!G48</f>
        <v>251</v>
      </c>
      <c r="H12" s="10">
        <f>+model!H48</f>
        <v>196</v>
      </c>
      <c r="I12" s="10">
        <f>+model!I48</f>
        <v>216</v>
      </c>
      <c r="J12" s="10">
        <f>+model!J48</f>
        <v>0</v>
      </c>
      <c r="K12" s="10">
        <f>+model!K48</f>
        <v>0</v>
      </c>
      <c r="L12" s="10" t="str">
        <f>+model!L48</f>
        <v>xxx</v>
      </c>
      <c r="M12" s="10">
        <f>+model!M48</f>
        <v>1599</v>
      </c>
      <c r="N12" s="10">
        <f>+model!N48</f>
        <v>1609</v>
      </c>
      <c r="O12" s="10">
        <f>+model!O48</f>
        <v>1622</v>
      </c>
      <c r="P12" s="10">
        <f>+model!P48</f>
        <v>1581</v>
      </c>
    </row>
    <row r="13" spans="1:16">
      <c r="A13" s="10" t="str">
        <f>+model!A49</f>
        <v>Latin America seed sales</v>
      </c>
      <c r="B13" s="10">
        <f>+model!B49</f>
        <v>259</v>
      </c>
      <c r="C13" s="10">
        <f>+model!C49</f>
        <v>208</v>
      </c>
      <c r="D13" s="10">
        <f>+model!D49</f>
        <v>380</v>
      </c>
      <c r="E13" s="10">
        <f>+model!E49</f>
        <v>790</v>
      </c>
      <c r="F13" s="10">
        <f>+model!F49</f>
        <v>271</v>
      </c>
      <c r="G13" s="10">
        <f>+model!G49</f>
        <v>207</v>
      </c>
      <c r="H13" s="10">
        <f>+model!H49</f>
        <v>218</v>
      </c>
      <c r="I13" s="10">
        <f>+model!I49</f>
        <v>827</v>
      </c>
      <c r="J13" s="10">
        <f>+model!J49</f>
        <v>0</v>
      </c>
      <c r="K13" s="10">
        <f>+model!K49</f>
        <v>0</v>
      </c>
      <c r="L13" s="10" t="str">
        <f>+model!L49</f>
        <v>xxx</v>
      </c>
      <c r="M13" s="10">
        <f>+model!M49</f>
        <v>1420</v>
      </c>
      <c r="N13" s="10">
        <f>+model!N49</f>
        <v>1758</v>
      </c>
      <c r="O13" s="10">
        <f>+model!O49</f>
        <v>1637</v>
      </c>
      <c r="P13" s="10">
        <f>+model!P49</f>
        <v>1523</v>
      </c>
    </row>
    <row r="14" spans="1:16">
      <c r="A14" s="10" t="str">
        <f>+model!A50</f>
        <v>Asia Pacific seed sales</v>
      </c>
      <c r="B14" s="10">
        <f>+model!B50</f>
        <v>101</v>
      </c>
      <c r="C14" s="10">
        <f>+model!C50</f>
        <v>129</v>
      </c>
      <c r="D14" s="10">
        <f>+model!D50</f>
        <v>127</v>
      </c>
      <c r="E14" s="10">
        <f>+model!E50</f>
        <v>88</v>
      </c>
      <c r="F14" s="10">
        <f>+model!F50</f>
        <v>91</v>
      </c>
      <c r="G14" s="10">
        <f>+model!G50</f>
        <v>120</v>
      </c>
      <c r="H14" s="10">
        <f>+model!H50</f>
        <v>107</v>
      </c>
      <c r="I14" s="10">
        <f>+model!I50</f>
        <v>90</v>
      </c>
      <c r="J14" s="10">
        <f>+model!J50</f>
        <v>0</v>
      </c>
      <c r="K14" s="10">
        <f>+model!K50</f>
        <v>0</v>
      </c>
      <c r="L14" s="10" t="str">
        <f>+model!L50</f>
        <v>xxx</v>
      </c>
      <c r="M14" s="10">
        <f>+model!M50</f>
        <v>379</v>
      </c>
      <c r="N14" s="10">
        <f>+model!N50</f>
        <v>434</v>
      </c>
      <c r="O14" s="10">
        <f>+model!O50</f>
        <v>445</v>
      </c>
      <c r="P14" s="10">
        <f>+model!P50</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2025-03-07T03:43:40Z</dcterms:modified>
</cp:coreProperties>
</file>