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6EA6B976-3B60-4B17-B06E-6CA1AA5586CB}" xr6:coauthVersionLast="47" xr6:coauthVersionMax="47" xr10:uidLastSave="{00000000-0000-0000-0000-000000000000}"/>
  <bookViews>
    <workbookView xWindow="20500" yWindow="390" windowWidth="14810" windowHeight="20320" firstSheet="7" activeTab="1" xr2:uid="{00000000-000D-0000-FFFF-FFFF00000000}"/>
  </bookViews>
  <sheets>
    <sheet name="main" sheetId="1" r:id="rId1"/>
    <sheet name="model" sheetId="2" r:id="rId2"/>
    <sheet name="Litigation" sheetId="7" r:id="rId3"/>
    <sheet name="Seed" sheetId="3" r:id="rId4"/>
    <sheet name="CropProtection" sheetId="4" r:id="rId5"/>
    <sheet name="otherCropProtection" sheetId="11" r:id="rId6"/>
    <sheet name="diseaseMgmt" sheetId="9" r:id="rId7"/>
    <sheet name="NitrogenMgmt" sheetId="10" r:id="rId8"/>
    <sheet name="weedControl" sheetId="5" r:id="rId9"/>
    <sheet name="insectNematode" sheetId="8" r:id="rId10"/>
    <sheet name="IP" sheetId="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8" i="2" l="1"/>
  <c r="C68" i="2"/>
  <c r="D66" i="2"/>
  <c r="C66" i="2"/>
  <c r="D64" i="2"/>
  <c r="C64" i="2"/>
  <c r="D62" i="2"/>
  <c r="C62" i="2"/>
  <c r="D32" i="2"/>
  <c r="C32" i="2"/>
  <c r="D30" i="2"/>
  <c r="C30" i="2"/>
  <c r="D28" i="2"/>
  <c r="C28" i="2"/>
  <c r="D26" i="2"/>
  <c r="C26" i="2"/>
  <c r="C212" i="2"/>
  <c r="C211" i="2"/>
  <c r="E212" i="2"/>
  <c r="D212" i="2"/>
  <c r="B212" i="2"/>
  <c r="E211" i="2"/>
  <c r="D211" i="2"/>
  <c r="B211" i="2"/>
  <c r="C198" i="2"/>
  <c r="C203" i="2" s="1"/>
  <c r="C210" i="2" s="1"/>
  <c r="B198" i="2"/>
  <c r="B203" i="2" s="1"/>
  <c r="B210" i="2" s="1"/>
  <c r="E204" i="2"/>
  <c r="D204" i="2"/>
  <c r="C204" i="2"/>
  <c r="B204" i="2"/>
  <c r="E199" i="2"/>
  <c r="D199" i="2"/>
  <c r="C199" i="2"/>
  <c r="B199" i="2"/>
  <c r="D9" i="2"/>
  <c r="E15" i="2" s="1"/>
  <c r="C9" i="2"/>
  <c r="B9" i="2"/>
  <c r="D8" i="2"/>
  <c r="E14" i="2" s="1"/>
  <c r="C8" i="2"/>
  <c r="B8" i="2"/>
  <c r="D7" i="2"/>
  <c r="E13" i="2" s="1"/>
  <c r="C7" i="2"/>
  <c r="B7" i="2"/>
  <c r="D6" i="2"/>
  <c r="E12" i="2" s="1"/>
  <c r="C6" i="2"/>
  <c r="B6" i="2"/>
  <c r="E22" i="2"/>
  <c r="E58" i="2" s="1"/>
  <c r="D22" i="2"/>
  <c r="D58" i="2" s="1"/>
  <c r="C22" i="2"/>
  <c r="C58" i="2" s="1"/>
  <c r="B22" i="2"/>
  <c r="B58" i="2" s="1"/>
  <c r="E92" i="2"/>
  <c r="D92" i="2"/>
  <c r="C92" i="2"/>
  <c r="E91" i="2"/>
  <c r="D91" i="2"/>
  <c r="C91" i="2"/>
  <c r="E90" i="2"/>
  <c r="D90" i="2"/>
  <c r="C90" i="2"/>
  <c r="E89" i="2"/>
  <c r="D89" i="2"/>
  <c r="C89" i="2"/>
  <c r="E82" i="2"/>
  <c r="D82" i="2"/>
  <c r="C82" i="2"/>
  <c r="B82" i="2"/>
  <c r="E80" i="2"/>
  <c r="D80" i="2"/>
  <c r="C80" i="2"/>
  <c r="E79" i="2"/>
  <c r="D79" i="2"/>
  <c r="C79" i="2"/>
  <c r="E78" i="2"/>
  <c r="D78" i="2"/>
  <c r="C78" i="2"/>
  <c r="E77" i="2"/>
  <c r="D77" i="2"/>
  <c r="C77" i="2"/>
  <c r="E70" i="2"/>
  <c r="D70" i="2"/>
  <c r="C70" i="2"/>
  <c r="B70" i="2"/>
  <c r="D60" i="2"/>
  <c r="C60" i="2"/>
  <c r="D24" i="2"/>
  <c r="C24" i="2"/>
  <c r="E56" i="2"/>
  <c r="D56" i="2"/>
  <c r="C56" i="2"/>
  <c r="E55" i="2"/>
  <c r="D55" i="2"/>
  <c r="C55" i="2"/>
  <c r="E54" i="2"/>
  <c r="D54" i="2"/>
  <c r="C54" i="2"/>
  <c r="E53" i="2"/>
  <c r="D53" i="2"/>
  <c r="C53" i="2"/>
  <c r="E44" i="2"/>
  <c r="E43" i="2"/>
  <c r="E42" i="2"/>
  <c r="E41" i="2"/>
  <c r="E46" i="2"/>
  <c r="D46" i="2"/>
  <c r="C46" i="2"/>
  <c r="B46" i="2"/>
  <c r="D44" i="2"/>
  <c r="D43" i="2"/>
  <c r="D42" i="2"/>
  <c r="D41" i="2"/>
  <c r="C44" i="2"/>
  <c r="C43" i="2"/>
  <c r="C42" i="2"/>
  <c r="C41" i="2"/>
  <c r="E34" i="2"/>
  <c r="D34" i="2"/>
  <c r="C34" i="2"/>
  <c r="B34" i="2"/>
  <c r="D12" i="2" l="1"/>
  <c r="C15" i="2"/>
  <c r="C14" i="2"/>
  <c r="D13" i="2"/>
  <c r="C5" i="2"/>
  <c r="D14" i="2"/>
  <c r="C12" i="2"/>
  <c r="D15" i="2"/>
  <c r="D5" i="2"/>
  <c r="C13" i="2"/>
  <c r="B5" i="2"/>
  <c r="C88" i="2"/>
  <c r="E76" i="2"/>
  <c r="D88" i="2"/>
  <c r="D76" i="2"/>
  <c r="E88" i="2"/>
  <c r="C76" i="2"/>
  <c r="E52" i="2"/>
  <c r="E40" i="2"/>
  <c r="C40" i="2"/>
  <c r="D52" i="2"/>
  <c r="C52" i="2"/>
  <c r="D40" i="2"/>
  <c r="N6" i="1"/>
  <c r="N5" i="1"/>
  <c r="E152" i="2"/>
  <c r="D152" i="2"/>
  <c r="C152" i="2"/>
  <c r="B152" i="2"/>
  <c r="C137" i="2"/>
  <c r="C143" i="2" s="1"/>
  <c r="B137" i="2"/>
  <c r="B143" i="2" s="1"/>
  <c r="E143" i="2"/>
  <c r="D143" i="2"/>
  <c r="C11" i="2" l="1"/>
  <c r="E11" i="2"/>
  <c r="D11" i="2"/>
  <c r="B130" i="2"/>
  <c r="B131" i="2" s="1"/>
  <c r="C130" i="2"/>
  <c r="C131" i="2" s="1"/>
  <c r="E131" i="2"/>
  <c r="D130" i="2"/>
  <c r="D131" i="2" s="1"/>
  <c r="D133" i="2" s="1"/>
  <c r="D154" i="2" s="1"/>
  <c r="E194" i="2"/>
  <c r="E196" i="2" s="1"/>
  <c r="C194" i="2"/>
  <c r="C196" i="2" s="1"/>
  <c r="B194" i="2"/>
  <c r="B196" i="2" s="1"/>
  <c r="E183" i="2"/>
  <c r="E188" i="2" s="1"/>
  <c r="C183" i="2"/>
  <c r="C188" i="2" s="1"/>
  <c r="B183" i="2"/>
  <c r="B188" i="2" s="1"/>
  <c r="E171" i="2"/>
  <c r="E176" i="2" s="1"/>
  <c r="C171" i="2"/>
  <c r="C176" i="2" s="1"/>
  <c r="B171" i="2"/>
  <c r="B176" i="2" s="1"/>
  <c r="E167" i="2"/>
  <c r="C167" i="2"/>
  <c r="B167" i="2"/>
  <c r="D194" i="2"/>
  <c r="D196" i="2" s="1"/>
  <c r="D183" i="2"/>
  <c r="D188" i="2" s="1"/>
  <c r="D171" i="2"/>
  <c r="D176" i="2" s="1"/>
  <c r="D167" i="2"/>
  <c r="E113" i="2"/>
  <c r="D113" i="2"/>
  <c r="C113" i="2"/>
  <c r="B113" i="2"/>
  <c r="E105" i="2"/>
  <c r="D105" i="2"/>
  <c r="C105" i="2"/>
  <c r="B105" i="2"/>
  <c r="D95" i="2"/>
  <c r="C95" i="2"/>
  <c r="E96" i="2"/>
  <c r="E98" i="2" s="1"/>
  <c r="C98" i="2"/>
  <c r="B98" i="2"/>
  <c r="D98" i="2"/>
  <c r="E94" i="2"/>
  <c r="D94" i="2"/>
  <c r="D161" i="2" s="1"/>
  <c r="D198" i="2" s="1"/>
  <c r="D203" i="2" s="1"/>
  <c r="D210" i="2" s="1"/>
  <c r="C94" i="2"/>
  <c r="C119" i="2" s="1"/>
  <c r="B94" i="2"/>
  <c r="B119" i="2" s="1"/>
  <c r="N4" i="1"/>
  <c r="N7" i="1" s="1"/>
  <c r="E119" i="2" l="1"/>
  <c r="E161" i="2"/>
  <c r="E198" i="2" s="1"/>
  <c r="E203" i="2" s="1"/>
  <c r="E210" i="2" s="1"/>
  <c r="D177" i="2"/>
  <c r="D189" i="2" s="1"/>
  <c r="E177" i="2"/>
  <c r="E189" i="2" s="1"/>
  <c r="B177" i="2"/>
  <c r="B189" i="2" s="1"/>
  <c r="C177" i="2"/>
  <c r="C189" i="2" s="1"/>
  <c r="E159" i="2"/>
  <c r="E133" i="2"/>
  <c r="E154" i="2" s="1"/>
  <c r="C133" i="2"/>
  <c r="C154" i="2" s="1"/>
  <c r="B133" i="2"/>
  <c r="B154" i="2" s="1"/>
  <c r="E106" i="2"/>
  <c r="E108" i="2" s="1"/>
  <c r="E110" i="2" s="1"/>
  <c r="E112" i="2" s="1"/>
  <c r="E114" i="2" s="1"/>
  <c r="E120" i="2" s="1"/>
  <c r="E155" i="2" s="1"/>
  <c r="D119" i="2"/>
  <c r="B106" i="2"/>
  <c r="B108" i="2" s="1"/>
  <c r="B110" i="2" s="1"/>
  <c r="B112" i="2" s="1"/>
  <c r="B197" i="2"/>
  <c r="E197" i="2"/>
  <c r="C197" i="2"/>
  <c r="D197" i="2"/>
  <c r="D106" i="2"/>
  <c r="D108" i="2" s="1"/>
  <c r="D110" i="2" s="1"/>
  <c r="D112" i="2" s="1"/>
  <c r="C106" i="2"/>
  <c r="C108" i="2" s="1"/>
  <c r="C110" i="2" s="1"/>
  <c r="C112" i="2" s="1"/>
  <c r="E95" i="2"/>
  <c r="C114" i="2" l="1"/>
  <c r="C120" i="2" s="1"/>
  <c r="C155" i="2" s="1"/>
  <c r="C157" i="2" s="1"/>
  <c r="C159" i="2" s="1"/>
  <c r="C117" i="2"/>
  <c r="B114" i="2"/>
  <c r="B120" i="2" s="1"/>
  <c r="B155" i="2" s="1"/>
  <c r="B157" i="2" s="1"/>
  <c r="B159" i="2" s="1"/>
  <c r="B117" i="2"/>
  <c r="D117" i="2"/>
  <c r="D114" i="2"/>
  <c r="D120" i="2" s="1"/>
  <c r="D155" i="2" s="1"/>
  <c r="D157" i="2" s="1"/>
  <c r="D15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tc={86AD1C56-A0C3-4DBC-973C-FE4E40862067}</author>
    <author>tc={B0C035BC-4549-4D73-A30F-385127BCA8D1}</author>
    <author>tc={FE3DBED2-54B3-4CDB-B880-59957DFEC184}</author>
  </authors>
  <commentList>
    <comment ref="B2" authorId="0" shapeId="0" xr:uid="{86AD1C56-A0C3-4DBC-973C-FE4E40862067}">
      <text>
        <t xml:space="preserve">[Threaded comment]
Your version of Excel allows you to read this threaded comment; however, any edits to it will get removed if the file is opened in a newer version of Excel. Learn more: https://go.microsoft.com/fwlink/?linkid=870924
Comment:
    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
      </text>
    </comment>
    <comment ref="C3" authorId="1" shapeId="0" xr:uid="{B0C035BC-4549-4D73-A30F-385127BCA8D1}">
      <text>
        <t xml:space="preserve">[Threaded comment]
Your version of Excel allows you to read this threaded comment; however, any edits to it will get removed if the file is opened in a newer version of Excel. Learn more: https://go.microsoft.com/fwlink/?linkid=870924
Comment:
    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
      </text>
    </comment>
    <comment ref="C4" authorId="2" shapeId="0" xr:uid="{FE3DBED2-54B3-4CDB-B880-59957DFEC184}">
      <text>
        <t xml:space="preserve">[Threaded comment]
Your version of Excel allows you to read this threaded comment; however, any edits to it will get removed if the file is opened in a newer version of Excel. Learn more: https://go.microsoft.com/fwlink/?linkid=870924
Comment:
    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7"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7"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8"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8"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20"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20"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<sst xmlns="http://schemas.openxmlformats.org/spreadsheetml/2006/main" count="503" uniqueCount="449">
  <si>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</si>
  <si>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</si>
  <si>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</si>
  <si>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</si>
  <si>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</si>
  <si>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</si>
  <si>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</si>
  <si>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</si>
  <si>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</si>
  <si>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</si>
  <si>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</si>
  <si>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</si>
  <si>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</si>
  <si>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</si>
  <si>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</si>
  <si>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</si>
  <si>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</si>
  <si>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</si>
  <si>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</si>
  <si>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</si>
  <si>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</si>
  <si>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</si>
  <si>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</si>
  <si>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</si>
  <si>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</si>
  <si>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</si>
  <si>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</si>
  <si>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</si>
  <si>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</si>
  <si>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</si>
  <si>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</si>
  <si>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</si>
  <si>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</si>
  <si>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</si>
  <si>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</si>
  <si>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</si>
  <si>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</si>
  <si>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</si>
  <si>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</si>
  <si>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</si>
  <si>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</si>
  <si>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</si>
  <si>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</si>
  <si>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</si>
  <si>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</si>
  <si>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</si>
  <si>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</si>
  <si>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</si>
  <si>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</si>
  <si>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</si>
  <si>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</si>
  <si>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</si>
  <si>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</si>
  <si>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</si>
  <si>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</si>
  <si>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</si>
  <si>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</si>
  <si>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</si>
  <si>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</si>
  <si>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</si>
  <si>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</si>
  <si>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</si>
  <si>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</si>
  <si>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</si>
  <si>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</si>
  <si>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</si>
  <si>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</si>
  <si>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</si>
  <si>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</si>
  <si>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</si>
  <si>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</si>
  <si>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</si>
  <si>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</si>
  <si>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</si>
  <si>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</si>
  <si>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</si>
  <si>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</si>
  <si>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</si>
  <si>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</si>
  <si>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</si>
  <si>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</si>
  <si>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</si>
  <si>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</si>
  <si>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</si>
  <si>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</si>
  <si>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</si>
  <si>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</si>
  <si>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</si>
  <si>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</si>
  <si>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</si>
  <si>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</si>
  <si>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</si>
  <si>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</si>
  <si>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</si>
  <si>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</si>
  <si>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</si>
  <si>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</si>
  <si>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</si>
  <si>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</si>
  <si>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</si>
  <si>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</si>
  <si>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</si>
  <si>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</si>
  <si>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</si>
  <si>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</si>
  <si>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</si>
  <si>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</si>
  <si>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</si>
  <si>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</si>
  <si>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</si>
  <si>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</si>
  <si>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</si>
  <si>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</si>
  <si>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</si>
  <si>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</si>
  <si>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</si>
  <si>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</si>
  <si>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</si>
  <si>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</si>
  <si>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</si>
  <si>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</si>
  <si>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</si>
  <si>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</si>
  <si>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</si>
  <si>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</si>
  <si>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</si>
  <si>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</si>
  <si>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</si>
  <si>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</si>
  <si>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</si>
  <si>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</si>
  <si>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</si>
  <si>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</si>
  <si>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</si>
  <si>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</si>
  <si>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</si>
  <si>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</si>
  <si>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</si>
  <si>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</si>
  <si>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</si>
  <si>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</si>
  <si>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</si>
  <si>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</si>
  <si>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</si>
  <si>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</si>
  <si>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</si>
  <si>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</si>
  <si>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</si>
  <si>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</si>
  <si>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</si>
  <si>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</si>
  <si>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</si>
  <si>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</si>
  <si>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</si>
  <si>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</si>
  <si>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</si>
  <si>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</si>
  <si>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</si>
  <si>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</si>
  <si>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</si>
  <si>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</si>
  <si>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</si>
  <si>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</si>
  <si>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</si>
  <si>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</si>
  <si>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</si>
  <si>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</si>
  <si>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</si>
  <si>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</si>
  <si>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</si>
  <si>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</si>
  <si>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</si>
  <si>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</si>
  <si>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</si>
  <si>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</si>
  <si>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</si>
  <si>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</si>
  <si>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</si>
  <si>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</si>
  <si>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</si>
  <si>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</si>
  <si>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</si>
  <si>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</si>
  <si>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</si>
  <si>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</si>
  <si>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</si>
  <si>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</si>
  <si>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</si>
  <si>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</si>
  <si>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</si>
  <si>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</si>
  <si>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</si>
  <si>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</si>
  <si>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</si>
  <si>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</si>
  <si>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</si>
  <si>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</si>
  <si>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</si>
  <si>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</si>
  <si>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</si>
  <si>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</si>
  <si>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</si>
  <si>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</si>
  <si>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</si>
  <si>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</si>
  <si>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</si>
  <si>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</si>
  <si>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</si>
  <si>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</si>
  <si>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</si>
  <si>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</si>
  <si>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</si>
  <si>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</si>
  <si>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</si>
  <si>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</si>
  <si>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</si>
  <si>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</si>
  <si>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</si>
  <si>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</si>
  <si>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</si>
  <si>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</si>
  <si>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</si>
  <si>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</si>
  <si>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</si>
  <si>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</si>
  <si>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</si>
  <si>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</si>
  <si>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</si>
  <si>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</si>
  <si>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</si>
  <si>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</si>
  <si>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</si>
  <si>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</si>
  <si>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</si>
  <si>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</si>
  <si>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Worldwide Sales</t>
  </si>
  <si>
    <t xml:space="preserve">Due To: </t>
  </si>
  <si>
    <t>Price and Product Mix</t>
  </si>
  <si>
    <t>Volume</t>
  </si>
  <si>
    <t>Currency</t>
  </si>
  <si>
    <t>Portfolio/Other</t>
  </si>
  <si>
    <t>COGS</t>
  </si>
  <si>
    <t>R&amp;D</t>
  </si>
  <si>
    <t>Interest Expense</t>
  </si>
  <si>
    <t>Seed operating EBITDA</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</si>
  <si>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</si>
  <si>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</si>
  <si>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</si>
  <si>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</si>
  <si>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</si>
  <si>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</si>
  <si>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</si>
  <si>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</si>
  <si>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</si>
  <si>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</si>
  <si>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</si>
  <si>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</si>
  <si>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</si>
  <si>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</si>
  <si>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</si>
  <si>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</si>
  <si>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</si>
  <si>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</si>
  <si>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</si>
  <si>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</si>
  <si>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</si>
  <si>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</si>
  <si>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</si>
  <si>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</si>
  <si>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</si>
  <si>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</si>
  <si>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</si>
  <si>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</si>
  <si>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</si>
  <si>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</si>
  <si>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</si>
  <si>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</si>
  <si>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</si>
  <si>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</si>
  <si>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</si>
  <si>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</si>
  <si>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</si>
  <si>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</si>
  <si>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</si>
  <si>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</si>
  <si>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</si>
  <si>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</si>
  <si>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</si>
  <si>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</si>
  <si>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</si>
  <si>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</si>
  <si>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</si>
  <si>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</si>
  <si>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</si>
  <si>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</si>
  <si>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</si>
  <si>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</si>
  <si>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</si>
  <si>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</si>
  <si>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</si>
  <si>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</si>
  <si>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</si>
  <si>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</si>
  <si>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</si>
  <si>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</si>
  <si>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</si>
  <si>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</si>
  <si>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</si>
  <si>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</si>
  <si>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</si>
  <si>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</si>
  <si>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</si>
  <si>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</si>
  <si>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</si>
  <si>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</si>
  <si>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</si>
  <si>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</si>
  <si>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</si>
  <si>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</si>
  <si>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</si>
  <si>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</si>
  <si>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</si>
  <si>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</si>
  <si>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</si>
  <si>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</si>
  <si>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</si>
  <si>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</si>
  <si>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</si>
  <si>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</si>
  <si>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</si>
  <si>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</si>
  <si>
    <t>Adjust FCF</t>
  </si>
  <si>
    <t>Risks</t>
  </si>
  <si>
    <t>Seeds sales by type</t>
  </si>
  <si>
    <t>Seed sales % change YoY</t>
  </si>
  <si>
    <t>Corn sales % change YoY</t>
  </si>
  <si>
    <t>Soybean sales % change YoY</t>
  </si>
  <si>
    <t>Other oilseed sales % change YoY</t>
  </si>
  <si>
    <t>Other seed sales % change YoY</t>
  </si>
  <si>
    <t>Other seed sales</t>
  </si>
  <si>
    <t>Other oilseeds sales</t>
  </si>
  <si>
    <t>Seed operating EBITDA % Change YoY</t>
  </si>
  <si>
    <t>Worldwide seed sales % change YoY</t>
  </si>
  <si>
    <t>Worldwide seed sales</t>
  </si>
  <si>
    <t>Crop protection sales by type</t>
  </si>
  <si>
    <t>Worldwide crop protection sales % change YoY</t>
  </si>
  <si>
    <t>Herbicides sales</t>
  </si>
  <si>
    <t>Insecticides sales</t>
  </si>
  <si>
    <t>Fungicides sales</t>
  </si>
  <si>
    <t>Other crop protection sales</t>
  </si>
  <si>
    <t>North America crop protection sales</t>
  </si>
  <si>
    <t>EMEA crop protection sales</t>
  </si>
  <si>
    <t>Latin America crop protection sales</t>
  </si>
  <si>
    <t>Asia Pacific crop protection sales</t>
  </si>
  <si>
    <t>Worldwide crop protection sales</t>
  </si>
  <si>
    <t>North America crop protection sales % change YoY</t>
  </si>
  <si>
    <t>EMEA crop protection sales % change YoY</t>
  </si>
  <si>
    <t>Latin America crop protection sales % change YoY</t>
  </si>
  <si>
    <t>Asia Pacific crop protection sales % change YoY</t>
  </si>
  <si>
    <t>Crop protection operating EBITDA % Change YoY</t>
  </si>
  <si>
    <t>Crop protection EBITDA</t>
  </si>
  <si>
    <t>North America seed sales</t>
  </si>
  <si>
    <t>EMEA seed sales</t>
  </si>
  <si>
    <t>Latin America seed sales</t>
  </si>
  <si>
    <t>Asia Pacific seed sales</t>
  </si>
  <si>
    <t>Corn seed sales</t>
  </si>
  <si>
    <t>Soybean seed sales</t>
  </si>
  <si>
    <t>North America seed sales % change YoY</t>
  </si>
  <si>
    <t>EMEA seed sales % change YoY</t>
  </si>
  <si>
    <t>Latin America seed sales % change YoY</t>
  </si>
  <si>
    <t>Asia Pacific seed sales % change YoY</t>
  </si>
  <si>
    <t>Crop Protection sales % change YoY</t>
  </si>
  <si>
    <t>Herbicide sales % change YoY</t>
  </si>
  <si>
    <t>Insecticide sales % change YoY</t>
  </si>
  <si>
    <t>Fungicide sales % change YoY</t>
  </si>
  <si>
    <t>Other crop protection sales % change YoY</t>
  </si>
  <si>
    <t>North America Sales</t>
  </si>
  <si>
    <t>EMEA Sales</t>
  </si>
  <si>
    <t>Latin America Sales</t>
  </si>
  <si>
    <t>Asia Pacific Sales</t>
  </si>
  <si>
    <t>Finished Products</t>
  </si>
  <si>
    <t>Semi-finished products</t>
  </si>
  <si>
    <t>Raw materials and supplies</t>
  </si>
  <si>
    <t>Land</t>
  </si>
  <si>
    <t>Buildings</t>
  </si>
  <si>
    <t>Machinery and equipment</t>
  </si>
  <si>
    <t>Construction in progress</t>
  </si>
  <si>
    <t>Accum depr</t>
  </si>
  <si>
    <t>Germplasm Gross</t>
  </si>
  <si>
    <t>Germplasm Net</t>
  </si>
  <si>
    <t>Customer-related Gross</t>
  </si>
  <si>
    <t>Customer-related Net</t>
  </si>
  <si>
    <t>Developed tech Gross</t>
  </si>
  <si>
    <t>Developed tech Net</t>
  </si>
  <si>
    <t>Trademarks/trade names Gross</t>
  </si>
  <si>
    <t>Trademarks/trade names Net</t>
  </si>
  <si>
    <t>Other Intangibles Gross</t>
  </si>
  <si>
    <t>Other Intangibles Net</t>
  </si>
  <si>
    <t>Lorsban Lawsuits</t>
  </si>
  <si>
    <t>As of December 31, 2023, there were pending personal injury lawsuits filed and additional asserted claims against the former Dow Agrosciences LLC, alleging injuries related to chlorpyrifos exposure, the active ingredient in Lorsban®, an insecticide used by commercial farms for field fruit, nut and vegetable crops. Corteva ended its production of Lorsban® in 2020. Chlorpyrifos products are restricted-use pesticides, which are not available for purchase or use by the general public, and may only be sold to, and used by, certified applicators or someone under the certified applicator's direct supervision. These lawsuits do not relate to Dursban®, a residential type chlorpyrifos product that was authorized for indoor purposes, which was discontinued over two decades ago prior to the Merger and Corteva’s formation and Separation. Claimants allege personal injury, including autism, developmental delays and/or decreased neurologic function, resulting from farm worker exposure and bystander drift and in utero exposure to chlorpyrifos. Certain claimants have also put forth remediation claims due to alleged property contamination from chlorpyrifos. As of December 31, 2023, an accrual has been established for the estimated resolution of certain claims.</t>
  </si>
  <si>
    <t>FTC</t>
  </si>
  <si>
    <t>On May 26, 2020, Corteva received a subpoena from the Federal Trade Commission (“FTC”) directing it to submit documents pertaining to its crop protection products generally, as well as business plans, rebate programs, offers, pricing and marketing materials specifically related to its acetochlor, oxamyl, rimsulfuron and other related products in order to determine whether Corteva engaged in unfair methods of competition through anticompetitive conduct. Corteva has fully cooperated with all requests related to this subpoena. On September 29, 2022, the FTC, along with ten state attorneys general in California, Colorado, Illinois, Indiana, Iowa, Minnesota, Nebraska, Oregon, Wisconsin, and Texas, filed a lawsuit against Corteva and another competitor alleging the parties engaged in unfair methods of competition, unlawful conditioning of payments, unreasonably restrained trade, and have an unlawful monopoly (the “FTC lawsuit”). In December 2022, attorneys general in Tennessee and Washington joined the FTC lawsuit and the Arkansas state attorney general filed a separate lawsuit against Corteva and another competitor based on the allegations set forth in the FTC lawsuit. Several proposed private class action lawsuits were also filed in federal court alleging anticompetitive conduct based on the allegations set forth in the FTC lawsuit. In February 2023, most of these private lawsuits were centralized into a multi-district litigation in the U.S. District Court for the Middle District of North Carolina. Corteva expects to continue a meritorious defense of its business practices</t>
  </si>
  <si>
    <t>Bayer Dispute</t>
  </si>
  <si>
    <t>In August 2022, Bayer filed a breach of contract/declaratory judgment lawsuit in Delaware state court against Corteva relating to an agrobacterium crosslicense agreement and E3® soybeans. Bayer alleges that Corteva practiced two Bayer patents in developing E3® soybeans, and therefore, is entitled to royalties pursuant to the terms of the cross-license agreement. In April 2023, Corteva's motion to dismiss the complaint on the basis that, under the terms of the cross-license agreement and the law, E3® soybeans cannot infringe expired patents was denied. At that time the court also denied Bayer’s motion to dismiss our invalidity counterclaim. The trial date is expected to be set for mid-2025. Litigation related to legacy EIDP businesses unrelated to Corteva’s current businesses For purposes of this report, the term PFOA means collectively perfluorooctanoic acid and its salts, including the ammonium salt and does not distinguish between the two forms, and PFAS, including PFOA, PFOS (perfluorooctanesulfonic acid), GenX and other perfluorinated chemicals and compounds ("PFCs"). EIDP is a party to various legal proceedings relating to the use of PFOA by its former Performance Chemicals segment for which potential liabilities would be subject to the cost sharing arrangement under the MOU as long as it remains effective.</t>
  </si>
  <si>
    <t>Leach Settlement and Ohio MDL Settlement</t>
  </si>
  <si>
    <t>EIDP has residual liabilities under its 2004 settlement of a West Virginia state court class action, Leach v. EIDP, which alleged that PFOA from EIDP’s former Washington Works facility had contaminated area drinking water supplies and affected the health of area residents. The settlement class has about 80,000 members. In addition to relief that was provided to class members years ago, the settlement requires EIDP to continue providing PFOA water treatment to six area water districts and private well users and to fund, through an escrow account, up to $235 million for a medical monitoring program for eligible class members. As of December 31, 2023, approximately $2 million had been disbursed from the account since its establishment in 2012 and the remaining balance is approximately $1 million. The Leach settlement permits class members to pursue personal injury claims for six health conditions (and no others) that an expert panel appointed under the settlement reported in 2012 had a “probable link” (as defined in the settlement) with PFOA: pregnancy-induced hypertension, including preeclampsia; kidney cancer; testicular cancer; thyroid disease; ulcerative colitis; and diagnosed high cholesterol. After the panel reported its findings, approximately 3,550 personal injury lawsuits were filed in federal and state courts in Ohio and West Virginia and consolidated in multi-district litigation in the U.S. District Court for the Southern District of Ohio (“Ohio MDL”). The Ohio MDL was settled in early 2017 for approximately $670 million in cash, with Chemours and EIDP (without indemnification from Chemours) each paying half.</t>
  </si>
  <si>
    <t>Post-MDL Settlement PFOA Personal Injury Claims</t>
  </si>
  <si>
    <t>The 2017 Ohio MDL settlement did not resolve claims of plaintiffs who did not have claims in the Ohio MDL or whose claims are based on diseases first diagnosed after February 11, 2017. The first was a consolidated trial of two cases; the first, a kidney cancer case, which resulted in a hung jury, while the second, Travis and Julie Abbott v. E. I. du Pont de Nemours and Company (the “Abbott Case”), a testicular cancer case, resulted in a jury verdict of $40 million in compensatory damages and $10 million for loss of consortium, plus interest. The loss of consortium award was subsequently reduced to $250,000 in accordance with state law limitations. Following entry of the judgment by the court, EIDP filed post-trial motions to reduce the verdict, and to appeal the verdict on the basis of procedural and substantive legal errors made by the trial court. After the denial of the company’s petition seeking review by the U.S. Supreme Court, the judgement, inclusive of interest, was paid on November 30, 2023, with EIDP's share being approximately $6 million. In January 2021, Chemours, DuPont and Corteva agreed to settle the remaining approximately 95 matters, as well as unfiled matters, remaining in the Ohio MDL, with the exception of the Abbott Case, for $83 million, with Chemours contributing $29 million to the settlement, and DuPont and Corteva contributing $27 million each. The company paid $27 million during the year ended December 31, 2021. As agreed to in the settlement, the plaintiffs' counsel filed a motion to dissolve the MDL. In August 2022, further ruling on the motion to dissolve the Ohio MDL was delayed by the district court pending the outcome of the Abbott Case by the U.S. Sixth Circuit Court of Appeals. As of December 31, 2023, 33 plaintiffs purporting to be Leach class members have filed personal injury cases, which are expected to proceed in the Ohio MDL.</t>
  </si>
  <si>
    <t>Other PFOA Matters</t>
  </si>
  <si>
    <t>EIDP is a party to other PFOA lawsuits involving claims for property damage, medical monitoring and personal injury. Defense costs and any future liabilities that may arise out of these lawsuits are subject to the MOU and the cost sharing arrangement disclosed above. Under the MOU, fraudulent conveyance claims associated with these matters are not qualified expenses, unless Corteva, Inc. and EIDP would prevail on the merits of these claims. EIDP did not make firefighting foams, PFOS, or PFOS products. While EIDP made surfactants and intermediaries that some manufacturers used in making foams, which may have contained PFOA as an unintended byproduct or an impurity, EIDP’s products were not formulated with PFOA, nor was PFOA an ingredient of these products. EIDP has never made or sold PFOA as a commercial product. In March 2023, the U.S. Environmental Protection Agency ("EPA") published proposed rules establishing a maximum contaminate level of four parts per trillion for PFOA in drinking water. If such rules are adopted, a legal mandate with respect to acceptable PFOA levels in drinking water would be established.</t>
  </si>
  <si>
    <t>Aqueous Firefighting Foams</t>
  </si>
  <si>
    <t>Approximately 6,200 cases have been filed against 3M and other defendants, including EIDP and Chemours, and some including Corteva and DuPont, alleging PFOS or PFOA environmental contamination and/or personal injury from the use of aqueous firefighting foams. The vast majority of these cases have been transferred to a multi-district litigation proceeding in federal district court in South Carolina (“SC MDL”). Approximately 4,800 of the cases in the SC MDL were filed on behalf of firefighters who allege personal injuries (primarily prostate, kidney and testicular cancer) as a result of exposure to aqueous firefighting foams (“AFFF”). Most of these recent cases assert claims that the EIDP and Chemours separation constituted a fraudulent conveyance. Discovery is expected to take place in the first half of 2024 for potential bellwether cases. On June 1, 2023, approximately 700 AFFF cases filed relating to U.S. public water systems were included as part of the Nationwide Water District Settlement (as defined below). Additionally, in December 2023, a class action was filed in Canada against 3M and other defendants, including EIDP and Chemours, alleging PFOS and PFOA environmental contamination and personal injury from use of AFFF.</t>
  </si>
  <si>
    <t>Nationwide Water District Settlement</t>
  </si>
  <si>
    <t>On June 1, 2023, Corteva, EIDP, Inc., DuPont, and Chemours (collectively, the “settling companies”) entered into a binding agreement in principle to comprehensively resolve all drinking water claims related to PFAS of a defined class of U.S. public water systems that serve the vast majority of the United States population, including, but not limited to the AFFF claims in the SC MDL. The federal district court in South Carolina (the “SC Court”) granted preliminary approval of the class settlement on August 22, 2023 (the “Nationwide Water District Settlement”). PFAS, as defined in the settlement, includes PFOA and HFPO-DA, among a broad range of fluorinated organic substances. Under the Nationwide Water District Settlement, in September 2023 the settling companies established a settlement fund (the “Water District Settlement Fund”) and collectively contributed $1.185 billion with Chemours contributing 50 percent, and DuPont and Corteva collectively contributing the remaining 50 percent pursuant to the terms of the Letter Agreement. The settling companies utilized the balance in the MOU Escrow Account, along with amounts previously expected to be contributed to the MOU Escrow Account in 2023, among other sources, to make their respective contributions to the Water District Settlement Fund. In exchange for the payment to the Water District Settlement Fund, the settling companies will receive a complete release of the claims described below from the Class (as defined below). The class represented by the Nationwide Water District Settlement is composed of all Public Water Systems, as defined in 42 U.S.C. § 300f, with a current detection of PFAS or that are currently required to monitor for PFAS under the Environmental Protection Agency’s Fifth Unregulated Contaminant Monitoring Rule (“UCMR 5”) or other applicable federal or state law (the “Class”). Approximately 88 percent of the U.S. is served by systems required to test under UCMR 5. The Class does not include water systems owned and operated by a State or the United States government; small systems that have not detected the presence of PFAS and are not currently required to monitor for it under federal or state requirements; and, unless they otherwise request to be included, water systems in the lower Cape Fear River Basin of North Carolina. The Nationwide Water District Settlement addresses the timing and logistics of the settlement payment and conditions under which the settlement might not proceed, including a walk-away right that enables the settling companies to terminate the settlement if more than a confidential, agreed number of class members opt out. A fairness hearing ahead of final approval of the settlement took place on December 14, 2023. As part of the final approval process, the SC Court will establish a timetable for notice to class members, for hearings on approval, and for class members to opt out of the settlement. A courtappointed claims administrator, under the oversight of a court-appointed special master, will be responsible for the management, allocation and distribution of the Water District Settlement Fund. Class counsel, subject to the settling companies’ consent, will nominate the persons who, if approved by the SC Court, will serve as claims administrator and special master. The total number of requests for exclusion (“opt-outs”) remains under review by the Notice Administrator. It is expected that approximately 1,000 water districts may have opted-out of the settlement while most public water districts (approximately 93 percent of the Class) remain in the class settlement. The deadline for water districts to withdraw their request for exclusion is March 1, 2024 and opt-outs remain subject to a court review process for compliance with other settlement terms. The company continues to support this Nationwide Water District Settlement and final approval by the SC Court is expected to occur in the first quarter of 2024. The Nationwide Water District Settlement was entered into solely by way of compromise and settlement and is not in any way an admission of liability or fault by Corteva or EIDP. As of December 31, 2023, an accrual has been established for this settlement. If a settlement does not receive final approval, and plaintiffs elect to pursue their claims in court, the settling companies will continue to assert their strong legal defenses in pending litigation.</t>
  </si>
  <si>
    <t>New Jersey</t>
  </si>
  <si>
    <t>In late March of 2019, the New Jersey State Attorney General filed four lawsuits against EIDP, Chemours, and others alleging that operations at and discharges from former EIDP sites in New Jersey (Chambers Works, Pompton Lakes, Parlin and Repauno) damaged the State’s natural resources. Two of these lawsuits (those involving the Chambers Works and Parlin sites) allege contamination from PFAS. The Ridgewood Water District in New Jersey filed suit in the first quarter 2019 against EIDP, Chemours, and others alleging losses related to the investigation, remediation and monitoring of polyfluorinated surfactants, including PFOA, in water supplies. DuPont and Corteva were subsequently added as defendants to these lawsuits. These lawsuits include claims under the New Jersey Industrial Site Recovery Act (“ISRA”) and for fraudulent conveyance. Beginning in April 2023, the lawsuits have been stayed subject to a court appointed mediation. EIDP and Chemours are also defendants in two lawsuits by a private water utility provider in New Jersey and New York alleging damages from PFAS releases into the environment, that impacted water sources that the utilities use to provide water, as well as products liability, negligence, nuisance, and trespass claims. The court dismissed the New York plaintiff's trespass claims and limited plaintiffs’ nuisance claims to abatement damages.</t>
  </si>
  <si>
    <t>Ohio</t>
  </si>
  <si>
    <t>EIDP is a defendant in two lawsuits, including an action by the State of Ohio based on alleged damage to natural resources. The natural resources damage claim was settled in December 2023 for $110 million and is pending final approval under Ohio's judicial consent order process. If approved, Corteva’s share of the settlement under the MOU will be approximately $16 million. The third lawsuit, a putative nationwide class action ("the Hardwick Class Action") brought on behalf of anyone who has detectable levels of PFAS in their blood serum seeks declaratory and injunctive relief, including the establishment of a “PFAS Science Panel.” In March 2022, the trial court certified a class covering anyone subject to Ohio laws having minimal levels of PFOA plus at least one other PFAS in their blood. In December 2023, the Sixth Circuit Court of Appeals dismissed the Hardwick Class Action due to lack of standing by Mr. Hardwick. The plaintiff's petition for an en banc review of the dismissal was denied in January 2024.</t>
  </si>
  <si>
    <t>New York</t>
  </si>
  <si>
    <t>EIDP is a defendant in about 45 lawsuits, including a putative class action (the "Baker Class Action"), brought by persons who live in and around Hoosick Falls, New York. These lawsuits assert claims for medical monitoring, property damage and personal injury based on alleged PFOA releases from manufacturing facilities owned and operated by co-defendants in Hoosick Falls. The lawsuits allege that EIDP and others supplied materials used at these facilities resulting in PFOA air and water contamination. A court approved settlement was reached between the plaintiffs and the other codefendants regarding the Baker Class Action case. In September 2022, the class certification of the Baker Class Action was granted, with the court certifying three separate classes consisting of a private well property damage class, a medical monitoring class and a nuisance class. EIDP will challenge the certification, and continue to defend itself on the merits of the case, while seeking an out of court resolution. With the settlement of approximately 30 of the personal injury lawsuits, an accrual was established for this matter as of December 31, 2023. EIDP is also one of more than 10 defendants in a lawsuit brought by the Town of East Hampton, New York alleging PFOA and PFOS contamination of the town’s well water. Additionally, EIDP along with Chemours and others, have been named defendants in complaints filed by 20 water districts in Nassau County, New York alleging that the drinking water they provide to customers is contaminated with PFAS and seeking reimbursement for clean-up costs. The water district complaints also include allegations of fraudulent transfer.</t>
  </si>
  <si>
    <t>Other Natural Resource Damage Cases</t>
  </si>
  <si>
    <t>In addition to the natural resource cases in New Jersey and New York, 24 states and 3 U.S. territories, have filed lawsuits against EIDP, Chemours, and others, claiming, among other things, PFC (including PFOA) contamination of groundwater and drinking water. Certain cases also name DuPont and Corteva as defendants and include claims of fraudulent conveyance. The complaints seek reimbursement for past and future costs to investigate and remediate the alleged contamination and compensation for the loss of value and use of the state’s natural resources. Due to overlapping AFFF allegations, virtually all of these cases have been transferred, or are pending transfer to the SC MDL. These cases are largely in the discovery phase. While the recent mediation of the natural resource case in North Carolina concluded without resolution, discussions continue between the parties to seek a resolution. Mediation for cases in New Jersey are ongoing. On July 13, 2021, Chemours, DuPont, EIDP and Corteva entered into a settlement agreement with the State of Delaware reflecting the companies' and the State's agreement to settle and fully resolve claims alleged against the companies regarding their historical Delaware operations, manufacturing, use and disposal of all chemical compounds, including PFAS. Under the settlement, if the companies, individually or jointly, within 8 years of the settlement, enter into a proportionally similar agreement to settle or resolve claims of another state for PFAS-related natural resource damages, for an amount greater than $50 million, the companies shall make a supplemental payment directly to the Natural Resources and Sustainability Trust (the “NRS Trust”) in an amount equal to such other states’ recovery in excess of $50 million ("Supplemental Payment"). Supplemental Payment(s), if any, will not exceed $25 million in the aggregate. All amounts paid by the companies under the settlement are subject to the MOU and the Corteva Separation Agreement. Due to the settlement of natural resource damages claims with the State of Ohio, the one-time Supplemental Payment will be triggered when the settlement is approved under the Ohio judicial consent order process, with Corteva’s share under the MOU being approximately $4 million. Under the settlement, if the state sues other parties and those parties seek contribution from the companies, the companies will have protection from contribution up to the amounts previously paid under the settlement agreement. The companies will also receive a credit up to the amount of the payment if the state seeks natural resource damage claims against the companies outside the scope of the settlement’s release of claims.</t>
  </si>
  <si>
    <t>Netherlands</t>
  </si>
  <si>
    <t>In April 2021, four municipalities in The Netherlands filed complaints alleging contamination of land and groundwater resulting from the emission of PFOA and GenX by Corteva, DuPont and Chemours. The municipalities seek to recover costs incurred due to the alleged emissions, including damages for investigation costs, construction project delays, depreciation of land, soil remediation, liabilities to contractors, and attorneys’ fees. In September 2023, the court entered a second interlocutory judgment, ruling, inter alia, that defendants were liable to the municipalities for PFOA emissions during a certain time period, and the removal costs of deposited emissions on the municipalities land infringes their property rights by an objective standard. While the parties continue to seek a resolution to these matters, a separate hearing related to damages is expected to be scheduled for the first half of 2024. Additionally, the Office of Public
Prosecutor in The Netherlands opened a criminal investigation against certain Dutch subsidiaries of Chemours and Historical DuPont, as well as each subsidiary's directors, alleging unlawful PFOA and GenX emissions from Chemours' Dordrecht facility.</t>
  </si>
  <si>
    <t>Carpet Mill Cases</t>
  </si>
  <si>
    <t>The city of Rome, GA and Centre, Alabama water district alleged defendants, including EIDP, Chemours, other chemical suppliers and large carpet mills, discharged PFAS in their industrial wastewater, and that this wastewater after treatment, resulted in PFAS contamination of drinking water supplies. The city of Rome sought damages for the cost of the installation of a water treatment system capable of removing PFCs from the water, injunctive relief requiring the defendants to clean up the contamination in the river ways, and punitive damages. Additionally, the city of Rome sent a demand to EIDP asserting damages for the construction of a new utilities wastewater treatment system and upgrades to the city's water treatment system, along with future monitoring costs. The City of Rome case has been settled and an accrual was established as of December 31, 2023. The Centre Alabama water district carpet case has been stayed by the SC MDL. Numerous carpet manufacturers, their alleged suppliers and former suppliers, including EIDP and Chemours, and certain municipal or utility defendants are also subject to several lawsuits in Georgia and Alabama, alleging negligence, nuisance and trespass related to the release of PFOA, and requesting injunctive relief related to PFOA contamination.</t>
  </si>
  <si>
    <t>Fayetteville Work Facility, North Carolina</t>
  </si>
  <si>
    <t>Prior to the separation of Chemours, EIDP introduced GenX as a polymerization processing aid and a replacement for PFOA at the Fayetteville Works facility in Bladen County, North Carolina. The facility is now owned and operated by Chemours, which continues to manufacture and use GenX. In June 2022, the EPA issued a final health advisory for drinking water related to GenX. In July 2022, Chemours filed a petition in federal court for review of the EPA's GenX compounds health advisory. At December 31, 2023, several actions are pending in federal court against Chemours and EIDP relating to PFC discharges from the Fayetteville Works facility. One of these is a consolidated putative class action that asserts claims for medical monitoring and property damage on behalf of putative classes of property owners and residents in areas near or who draw drinking water from the Cape Fear River. Another action is a consolidated action brought by various North Carolina water authorities, including the Cape Fear Public Utility Authority (“CFPUA”) and Brunswick County, that seek actual and punitive damages as well as injunctive relief. In a state court action approximately 100 private property owners near the Fayetteville Works facility filed a complaint against Chemours and EIDP in May 2020. The plaintiffs seek compensatory and punitive damages for their claims of private nuisance, trespass, negligence and property damage allegedly caused by release of certain PFCs. In March 2023, CFPUA filed a Delaware Chancery Court action claiming the spin-off of Chemours and the Dow and historical DuPont merger were unlawful and should be voided, so CFPUA is not precluded from recovering amounts its entitled in its pending litigation. EIDP filed a motion to dismiss the Delaware Chancery Court action based upon failure to state a claim under Delaware law in June 2023, along with a counterclaim in October 2023. CFPUA’s motion to stay the case was granted in January 2024. Generally, site-related expenses related to GenX claims are subject to the cost sharing arrangements as defined in the MOU.</t>
  </si>
  <si>
    <t>Inari Disputes</t>
  </si>
  <si>
    <t>On September 27, 2023, Corteva filed a lawsuit in Delaware federal court against Inari Agriculture, Inc. and Inari Agriculture. N.V. (collectively “Inari”) asserting claims of Plant Variety Protection infringement, indirect patent infringement, breach of contract, and civil conversion. Corteva’s lawsuit alleges Inari illegally obtained various varieties of seed technologies from a seed depository and illegally transported them abroad for the purpose of performing gene editing on the technologies and then filing a patent for such technologies. In December 2023, Inari filed a motion to dismiss the complaint.</t>
  </si>
  <si>
    <t>Current</t>
  </si>
  <si>
    <t>Seed D&amp;A</t>
  </si>
  <si>
    <t>Seed Assets</t>
  </si>
  <si>
    <t>Seed Investments in nonconsolidated affiliates</t>
  </si>
  <si>
    <t>Seed D&amp;A % Change YoY</t>
  </si>
  <si>
    <t>Seed Assets % Change YoY</t>
  </si>
  <si>
    <t>Seed Investments in nonconsolidated affiliates % Change YoY</t>
  </si>
  <si>
    <t>Crop Protect Investments in nonconsolidated affiliates</t>
  </si>
  <si>
    <t>Crop Protect Investments in nonconsolidated affiliates % Change YoY</t>
  </si>
  <si>
    <t>Crop Protect Assets % Change YoY</t>
  </si>
  <si>
    <t>Crop Protect Assets</t>
  </si>
  <si>
    <t>Crop Protect D&amp;A % Change YoY</t>
  </si>
  <si>
    <t>Crop Protect D&amp;A</t>
  </si>
  <si>
    <t>Crop Protect Purchase of PPE % Change YoY</t>
  </si>
  <si>
    <t>Crop Protect Purchase of PPE</t>
  </si>
  <si>
    <t>Seed Purchase of PPE</t>
  </si>
  <si>
    <t>Seed Purchase of PPE % Change YoY</t>
  </si>
  <si>
    <t>Intangibles Assets Gross</t>
  </si>
  <si>
    <t>Intangibles Assets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</si>
</sst>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0">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
      <sz val="9"/>
      <color indexed="8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4" fontId="1" fillId="0" borderId="0" xfId="0" applyNumberFormat="1" applyFont="1"/>
    <xf numFmtId="0" fontId="0" fillId="2" borderId="0" xfId="0" applyFill="1"/>
    <xf numFmtId="3" fontId="0" fillId="2" borderId="0" xfId="0" applyNumberFormat="1" applyFill="1"/>
    <xf numFmtId="165" fontId="1" fillId="2" borderId="0" xfId="0" applyNumberFormat="1" applyFont="1" applyFill="1"/>
    <xf numFmtId="0" fontId="1" fillId="2" borderId="0" xfId="0" applyFont="1" applyFill="1"/>
    <xf numFmtId="3" fontId="1" fillId="2" borderId="0" xfId="0" applyNumberFormat="1" applyFont="1" applyFill="1"/>
    <xf numFmtId="0" fontId="0" fillId="3" borderId="0" xfId="0" applyFill="1"/>
    <xf numFmtId="3" fontId="0" fillId="3" borderId="0" xfId="0" applyNumberFormat="1" applyFill="1"/>
    <xf numFmtId="165" fontId="1" fillId="3" borderId="0" xfId="0" applyNumberFormat="1" applyFont="1" applyFill="1"/>
    <xf numFmtId="0" fontId="1" fillId="3" borderId="0" xfId="0" applyFont="1" applyFill="1"/>
    <xf numFmtId="3" fontId="1" fillId="3" borderId="0" xfId="0" applyNumberFormat="1" applyFont="1" applyFill="1"/>
    <xf numFmtId="1" fontId="1" fillId="0" borderId="0" xfId="0" applyNumberFormat="1" applyFont="1"/>
    <xf numFmtId="165" fontId="1" fillId="0" borderId="0" xfId="0" applyNumberFormat="1" applyFont="1"/>
    <xf numFmtId="165" fontId="0" fillId="0" borderId="0" xfId="0" applyNumberFormat="1"/>
    <xf numFmtId="0" fontId="4" fillId="3" borderId="0" xfId="0" applyFont="1" applyFill="1"/>
    <xf numFmtId="165" fontId="0" fillId="3" borderId="0" xfId="0" applyNumberFormat="1" applyFill="1"/>
    <xf numFmtId="10" fontId="1" fillId="2" borderId="0" xfId="0" applyNumberFormat="1" applyFont="1" applyFill="1"/>
    <xf numFmtId="0" fontId="7" fillId="2" borderId="0" xfId="0" applyFont="1" applyFill="1"/>
    <xf numFmtId="4" fontId="1" fillId="2" borderId="0" xfId="0" applyNumberFormat="1" applyFont="1" applyFill="1"/>
    <xf numFmtId="3" fontId="0" fillId="2" borderId="0" xfId="0" applyNumberFormat="1" applyFont="1" applyFill="1"/>
    <xf numFmtId="0" fontId="0" fillId="0" borderId="0" xfId="0" applyAlignment="1"/>
    <xf numFmtId="3" fontId="0" fillId="3"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25</xdr:row>
      <xdr:rowOff>1</xdr:rowOff>
    </xdr:from>
    <xdr:to>
      <xdr:col>8</xdr:col>
      <xdr:colOff>470647</xdr:colOff>
      <xdr:row>30</xdr:row>
      <xdr:rowOff>1592</xdr:rowOff>
    </xdr:to>
    <xdr:pic>
      <xdr:nvPicPr>
        <xdr:cNvPr id="3" name="Picture 2">
          <a:extLst>
            <a:ext uri="{FF2B5EF4-FFF2-40B4-BE49-F238E27FC236}">
              <a16:creationId xmlns:a16="http://schemas.microsoft.com/office/drawing/2014/main" id="{8E342C69-DA43-1BB8-C5F0-0A27FED02AC0}"/>
            </a:ext>
          </a:extLst>
        </xdr:cNvPr>
        <xdr:cNvPicPr>
          <a:picLocks noChangeAspect="1"/>
        </xdr:cNvPicPr>
      </xdr:nvPicPr>
      <xdr:blipFill>
        <a:blip xmlns:r="http://schemas.openxmlformats.org/officeDocument/2006/relationships" r:embed="rId1"/>
        <a:stretch>
          <a:fillRect/>
        </a:stretch>
      </xdr:blipFill>
      <xdr:spPr>
        <a:xfrm>
          <a:off x="612588" y="4669119"/>
          <a:ext cx="4758765" cy="935414"/>
        </a:xfrm>
        <a:prstGeom prst="rect">
          <a:avLst/>
        </a:prstGeom>
      </xdr:spPr>
    </xdr:pic>
    <xdr:clientData/>
  </xdr:twoCellAnchor>
  <xdr:twoCellAnchor editAs="oneCell">
    <xdr:from>
      <xdr:col>1</xdr:col>
      <xdr:colOff>0</xdr:colOff>
      <xdr:row>30</xdr:row>
      <xdr:rowOff>0</xdr:rowOff>
    </xdr:from>
    <xdr:to>
      <xdr:col>6</xdr:col>
      <xdr:colOff>366059</xdr:colOff>
      <xdr:row>36</xdr:row>
      <xdr:rowOff>150173</xdr:rowOff>
    </xdr:to>
    <xdr:pic>
      <xdr:nvPicPr>
        <xdr:cNvPr id="4" name="Picture 3">
          <a:extLst>
            <a:ext uri="{FF2B5EF4-FFF2-40B4-BE49-F238E27FC236}">
              <a16:creationId xmlns:a16="http://schemas.microsoft.com/office/drawing/2014/main" id="{A856DC3E-DD19-4330-962D-DB30F3EBB0F4}"/>
            </a:ext>
          </a:extLst>
        </xdr:cNvPr>
        <xdr:cNvPicPr>
          <a:picLocks noChangeAspect="1"/>
        </xdr:cNvPicPr>
      </xdr:nvPicPr>
      <xdr:blipFill>
        <a:blip xmlns:r="http://schemas.openxmlformats.org/officeDocument/2006/relationships" r:embed="rId2"/>
        <a:stretch>
          <a:fillRect/>
        </a:stretch>
      </xdr:blipFill>
      <xdr:spPr>
        <a:xfrm>
          <a:off x="612588" y="5602941"/>
          <a:ext cx="3429000" cy="1270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0</xdr:row>
      <xdr:rowOff>76200</xdr:rowOff>
    </xdr:from>
    <xdr:to>
      <xdr:col>4</xdr:col>
      <xdr:colOff>27214</xdr:colOff>
      <xdr:row>251</xdr:row>
      <xdr:rowOff>81643</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a:off x="4702629" y="76200"/>
          <a:ext cx="14514" cy="4245972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3</xdr:row>
      <xdr:rowOff>0</xdr:rowOff>
    </xdr:from>
    <xdr:to>
      <xdr:col>17</xdr:col>
      <xdr:colOff>521071</xdr:colOff>
      <xdr:row>7</xdr:row>
      <xdr:rowOff>69891</xdr:rowOff>
    </xdr:to>
    <xdr:pic>
      <xdr:nvPicPr>
        <xdr:cNvPr id="4" name="Picture 3">
          <a:extLst>
            <a:ext uri="{FF2B5EF4-FFF2-40B4-BE49-F238E27FC236}">
              <a16:creationId xmlns:a16="http://schemas.microsoft.com/office/drawing/2014/main" id="{A8A8E03F-B959-4668-B084-3B682D736B40}"/>
            </a:ext>
          </a:extLst>
        </xdr:cNvPr>
        <xdr:cNvPicPr>
          <a:picLocks noChangeAspect="1"/>
        </xdr:cNvPicPr>
      </xdr:nvPicPr>
      <xdr:blipFill>
        <a:blip xmlns:r="http://schemas.openxmlformats.org/officeDocument/2006/relationships" r:embed="rId1"/>
        <a:stretch>
          <a:fillRect/>
        </a:stretch>
      </xdr:blipFill>
      <xdr:spPr>
        <a:xfrm>
          <a:off x="3657600" y="552450"/>
          <a:ext cx="7226671" cy="806491"/>
        </a:xfrm>
        <a:prstGeom prst="rect">
          <a:avLst/>
        </a:prstGeom>
      </xdr:spPr>
    </xdr:pic>
    <xdr:clientData/>
  </xdr:twoCellAnchor>
  <xdr:twoCellAnchor editAs="oneCell">
    <xdr:from>
      <xdr:col>6</xdr:col>
      <xdr:colOff>0</xdr:colOff>
      <xdr:row>8</xdr:row>
      <xdr:rowOff>0</xdr:rowOff>
    </xdr:from>
    <xdr:to>
      <xdr:col>17</xdr:col>
      <xdr:colOff>552823</xdr:colOff>
      <xdr:row>20</xdr:row>
      <xdr:rowOff>38100</xdr:rowOff>
    </xdr:to>
    <xdr:pic>
      <xdr:nvPicPr>
        <xdr:cNvPr id="7" name="Picture 6">
          <a:extLst>
            <a:ext uri="{FF2B5EF4-FFF2-40B4-BE49-F238E27FC236}">
              <a16:creationId xmlns:a16="http://schemas.microsoft.com/office/drawing/2014/main" id="{94E92114-5966-46BB-8227-CCBE91F4DFA2}"/>
            </a:ext>
          </a:extLst>
        </xdr:cNvPr>
        <xdr:cNvPicPr>
          <a:picLocks noChangeAspect="1"/>
        </xdr:cNvPicPr>
      </xdr:nvPicPr>
      <xdr:blipFill rotWithShape="1">
        <a:blip xmlns:r="http://schemas.openxmlformats.org/officeDocument/2006/relationships" r:embed="rId2"/>
        <a:srcRect b="65599"/>
        <a:stretch/>
      </xdr:blipFill>
      <xdr:spPr>
        <a:xfrm>
          <a:off x="3657600" y="1473200"/>
          <a:ext cx="7258423" cy="2247900"/>
        </a:xfrm>
        <a:prstGeom prst="rect">
          <a:avLst/>
        </a:prstGeom>
      </xdr:spPr>
    </xdr:pic>
    <xdr:clientData/>
  </xdr:twoCellAnchor>
  <xdr:twoCellAnchor editAs="oneCell">
    <xdr:from>
      <xdr:col>6</xdr:col>
      <xdr:colOff>0</xdr:colOff>
      <xdr:row>21</xdr:row>
      <xdr:rowOff>0</xdr:rowOff>
    </xdr:from>
    <xdr:to>
      <xdr:col>17</xdr:col>
      <xdr:colOff>552823</xdr:colOff>
      <xdr:row>28</xdr:row>
      <xdr:rowOff>19386</xdr:rowOff>
    </xdr:to>
    <xdr:pic>
      <xdr:nvPicPr>
        <xdr:cNvPr id="8" name="Picture 7">
          <a:extLst>
            <a:ext uri="{FF2B5EF4-FFF2-40B4-BE49-F238E27FC236}">
              <a16:creationId xmlns:a16="http://schemas.microsoft.com/office/drawing/2014/main" id="{13AA1885-F105-410D-838E-63DB4E179FCD}"/>
            </a:ext>
          </a:extLst>
        </xdr:cNvPr>
        <xdr:cNvPicPr>
          <a:picLocks noChangeAspect="1"/>
        </xdr:cNvPicPr>
      </xdr:nvPicPr>
      <xdr:blipFill rotWithShape="1">
        <a:blip xmlns:r="http://schemas.openxmlformats.org/officeDocument/2006/relationships" r:embed="rId2"/>
        <a:srcRect t="79976"/>
        <a:stretch/>
      </xdr:blipFill>
      <xdr:spPr>
        <a:xfrm>
          <a:off x="3657600" y="3867150"/>
          <a:ext cx="7258423" cy="1308436"/>
        </a:xfrm>
        <a:prstGeom prst="rect">
          <a:avLst/>
        </a:prstGeom>
      </xdr:spPr>
    </xdr:pic>
    <xdr:clientData/>
  </xdr:twoCellAnchor>
  <xdr:twoCellAnchor editAs="oneCell">
    <xdr:from>
      <xdr:col>6</xdr:col>
      <xdr:colOff>0</xdr:colOff>
      <xdr:row>29</xdr:row>
      <xdr:rowOff>0</xdr:rowOff>
    </xdr:from>
    <xdr:to>
      <xdr:col>17</xdr:col>
      <xdr:colOff>502020</xdr:colOff>
      <xdr:row>31</xdr:row>
      <xdr:rowOff>152427</xdr:rowOff>
    </xdr:to>
    <xdr:pic>
      <xdr:nvPicPr>
        <xdr:cNvPr id="9" name="Picture 8">
          <a:extLst>
            <a:ext uri="{FF2B5EF4-FFF2-40B4-BE49-F238E27FC236}">
              <a16:creationId xmlns:a16="http://schemas.microsoft.com/office/drawing/2014/main" id="{E92956A7-7CB6-49F7-A4E2-18FDF0CA7454}"/>
            </a:ext>
          </a:extLst>
        </xdr:cNvPr>
        <xdr:cNvPicPr>
          <a:picLocks noChangeAspect="1"/>
        </xdr:cNvPicPr>
      </xdr:nvPicPr>
      <xdr:blipFill>
        <a:blip xmlns:r="http://schemas.openxmlformats.org/officeDocument/2006/relationships" r:embed="rId3"/>
        <a:stretch>
          <a:fillRect/>
        </a:stretch>
      </xdr:blipFill>
      <xdr:spPr>
        <a:xfrm>
          <a:off x="3657600" y="5340350"/>
          <a:ext cx="7207620" cy="520727"/>
        </a:xfrm>
        <a:prstGeom prst="rect">
          <a:avLst/>
        </a:prstGeom>
      </xdr:spPr>
    </xdr:pic>
    <xdr:clientData/>
  </xdr:twoCellAnchor>
  <xdr:twoCellAnchor editAs="oneCell">
    <xdr:from>
      <xdr:col>1</xdr:col>
      <xdr:colOff>0</xdr:colOff>
      <xdr:row>32</xdr:row>
      <xdr:rowOff>0</xdr:rowOff>
    </xdr:from>
    <xdr:to>
      <xdr:col>13</xdr:col>
      <xdr:colOff>216287</xdr:colOff>
      <xdr:row>64</xdr:row>
      <xdr:rowOff>76507</xdr:rowOff>
    </xdr:to>
    <xdr:pic>
      <xdr:nvPicPr>
        <xdr:cNvPr id="10" name="Picture 9">
          <a:extLst>
            <a:ext uri="{FF2B5EF4-FFF2-40B4-BE49-F238E27FC236}">
              <a16:creationId xmlns:a16="http://schemas.microsoft.com/office/drawing/2014/main" id="{38F791C7-2A41-22A3-712B-B0A9531E7C0A}"/>
            </a:ext>
          </a:extLst>
        </xdr:cNvPr>
        <xdr:cNvPicPr>
          <a:picLocks noChangeAspect="1"/>
        </xdr:cNvPicPr>
      </xdr:nvPicPr>
      <xdr:blipFill>
        <a:blip xmlns:r="http://schemas.openxmlformats.org/officeDocument/2006/relationships" r:embed="rId4"/>
        <a:stretch>
          <a:fillRect/>
        </a:stretch>
      </xdr:blipFill>
      <xdr:spPr>
        <a:xfrm>
          <a:off x="609600" y="5892800"/>
          <a:ext cx="7531487" cy="59693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12</xdr:col>
      <xdr:colOff>502020</xdr:colOff>
      <xdr:row>34</xdr:row>
      <xdr:rowOff>101861</xdr:rowOff>
    </xdr:to>
    <xdr:pic>
      <xdr:nvPicPr>
        <xdr:cNvPr id="4" name="Picture 3">
          <a:extLst>
            <a:ext uri="{FF2B5EF4-FFF2-40B4-BE49-F238E27FC236}">
              <a16:creationId xmlns:a16="http://schemas.microsoft.com/office/drawing/2014/main" id="{38D90068-CC04-47DC-98E7-AA6564FCDE03}"/>
            </a:ext>
          </a:extLst>
        </xdr:cNvPr>
        <xdr:cNvPicPr>
          <a:picLocks noChangeAspect="1"/>
        </xdr:cNvPicPr>
      </xdr:nvPicPr>
      <xdr:blipFill>
        <a:blip xmlns:r="http://schemas.openxmlformats.org/officeDocument/2006/relationships" r:embed="rId1"/>
        <a:stretch>
          <a:fillRect/>
        </a:stretch>
      </xdr:blipFill>
      <xdr:spPr>
        <a:xfrm>
          <a:off x="609600" y="1289050"/>
          <a:ext cx="7207620" cy="5073911"/>
        </a:xfrm>
        <a:prstGeom prst="rect">
          <a:avLst/>
        </a:prstGeom>
      </xdr:spPr>
    </xdr:pic>
    <xdr:clientData/>
  </xdr:twoCellAnchor>
  <xdr:twoCellAnchor editAs="oneCell">
    <xdr:from>
      <xdr:col>1</xdr:col>
      <xdr:colOff>0</xdr:colOff>
      <xdr:row>36</xdr:row>
      <xdr:rowOff>0</xdr:rowOff>
    </xdr:from>
    <xdr:to>
      <xdr:col>13</xdr:col>
      <xdr:colOff>82930</xdr:colOff>
      <xdr:row>62</xdr:row>
      <xdr:rowOff>19297</xdr:rowOff>
    </xdr:to>
    <xdr:pic>
      <xdr:nvPicPr>
        <xdr:cNvPr id="5" name="Picture 4">
          <a:extLst>
            <a:ext uri="{FF2B5EF4-FFF2-40B4-BE49-F238E27FC236}">
              <a16:creationId xmlns:a16="http://schemas.microsoft.com/office/drawing/2014/main" id="{2890D976-15AC-FAF6-95B0-EE185F0DA4AE}"/>
            </a:ext>
          </a:extLst>
        </xdr:cNvPr>
        <xdr:cNvPicPr>
          <a:picLocks noChangeAspect="1"/>
        </xdr:cNvPicPr>
      </xdr:nvPicPr>
      <xdr:blipFill>
        <a:blip xmlns:r="http://schemas.openxmlformats.org/officeDocument/2006/relationships" r:embed="rId2"/>
        <a:stretch>
          <a:fillRect/>
        </a:stretch>
      </xdr:blipFill>
      <xdr:spPr>
        <a:xfrm>
          <a:off x="609600" y="6629400"/>
          <a:ext cx="7398130" cy="48071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5-01-25T22:34:04.40" personId="{96B94962-3352-4CD0-9600-990C74CCBDE4}" id="{86AD1C56-A0C3-4DBC-973C-FE4E40862067}">
    <text xml:space="preserve">Corteva’s reportable segments reflects the manner in which its chief operating decision maker ("CODM") allocates resources and assesses performance, which is at the operating segment level (seed and crop protection). For purposes of allocating resources to the segments and assessing segment performance, segment operating EBITDA is the primary measure used by Corteva’s CODM. The company defines segment operating EBITDA as earnings (loss) (i.e., income (loss) from continuing operations before income taxes) before interest, depreciation, amortization, corporate expenses, non-operating (benefits) costs, foreign exchange gains (losses), and net unrealized gain or loss from mark-to-market activity for certain foreign currency derivative instruments that do not qualify for hedge accounting, excluding the impact of significant items. Non-operating (benefits) costs consists of non-operating pension and other post-employment benefit (OPEB) credits (costs), tax indemnification adjustments, environmental remediation and legal costs associated with legacy EIDP businesses and sites, and the 2021 officer indemnification payment. Tax indemnification adjustments relate to changes in indemnification balances, as a result of the application of the terms of the Tax Matters Agreement, between Corteva and Dow and/or DuPont that are recorded by the company as pre-tax income or expense. Net unrealized gain or loss from mark-to-market activity for certain foreign currency derivative instruments that do not qualify for hedge accounting represents the non-cash net gain (loss) from changes in fair value of certain undesignated foreign currency derivative contracts. Upon settlement, which is within the same calendar year of execution of the contract, the realized gain (loss) from the changes in fair value of the non-qualified foreign currency derivative contracts will be reported in the respective segment results to reflect the economic effects of the foreign currency derivative contracts without the resulting unrealized mark to fair value volatility. </text>
  </threadedComment>
  <threadedComment ref="C3" dT="2025-01-25T22:34:35.98" personId="{96B94962-3352-4CD0-9600-990C74CCBDE4}" id="{B0C035BC-4549-4D73-A30F-385127BCA8D1}">
    <text xml:space="preserve">The company’s seed segment is a global leader in developing and supplying advanced germplasm and traits that produce optimum yield for farms around the world. The segment is a leader in many of the company’s key seed markets, including North America corn and soybeans, Europe corn and sunflower, as well as Brazil, India, South Africa and Argentina corn. The segment offers trait technologies that improve resistance to weather, disease, insects and enhance food and nutritional characteristics, herbicides used to control weeds, and digital solutions that assist farmer decision-making to help maximize yield and profitability. </text>
  </threadedComment>
  <threadedComment ref="C4" dT="2025-01-25T22:34:51.16" personId="{96B94962-3352-4CD0-9600-990C74CCBDE4}" id="{FE3DBED2-54B3-4CDB-B880-59957DFEC184}">
    <text xml:space="preserve">The crop protection segment serves the global agricultural input industry with products that protect against weeds, insects and other pests, and disease, and that improve overall crop health both above and below ground via nitrogen management and seed-applied technologies. The segment offers crop protection solutions and digital solutions that provide farmers the tools they need to improve productivity and profitability, and help keep fields free of weeds, insects and diseases. The segment is a leader in global herbicides, insecticides, nitrogen stabilizers, pasture and range management herbicides and biologicals. </text>
  </threadedComment>
</ThreadedComments>
</file>

<file path=xl/threadedComments/threadedComment2.xml><?xml version="1.0" encoding="utf-8"?>
<ThreadedComments xmlns="http://schemas.microsoft.com/office/spreadsheetml/2018/threadedcomments" xmlns:x="http://schemas.openxmlformats.org/spreadsheetml/2006/main">
  <threadedComment ref="C17"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7"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8"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8"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20" dT="2025-01-23T04:12:35.38" personId="{96B94962-3352-4CD0-9600-990C74CCBDE4}" id="{037E3C55-28FE-4865-BE0F-2C6C8F0BF827}">
    <text xml:space="preserve">The portfolio impact was driven by a divestiture in Asia Pacific. </text>
  </threadedComment>
  <threadedComment ref="D20"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4"/>
  <sheetViews>
    <sheetView zoomScale="85" zoomScaleNormal="85" workbookViewId="0">
      <selection activeCell="C40" sqref="C40"/>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c r="N5" s="10">
        <f>+SUM(model!D162:D163)</f>
        <v>2742</v>
      </c>
    </row>
    <row r="6" spans="2:15">
      <c r="B6" s="7" t="s">
        <v>245</v>
      </c>
      <c r="M6" t="s">
        <v>4</v>
      </c>
      <c r="N6" s="10">
        <f>+D143+model!D184</f>
        <v>2291</v>
      </c>
    </row>
    <row r="7" spans="2:15">
      <c r="M7" t="s">
        <v>5</v>
      </c>
      <c r="N7" s="10">
        <f>+N4-N5+N6</f>
        <v>42511.685429999998</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2">
      <c r="B18" s="5" t="s">
        <v>12</v>
      </c>
    </row>
    <row r="19" spans="2:2">
      <c r="B19" t="s">
        <v>10</v>
      </c>
    </row>
    <row r="22" spans="2:2">
      <c r="B22" s="1" t="s">
        <v>229</v>
      </c>
    </row>
    <row r="24" spans="2:2">
      <c r="B24" s="5" t="s">
        <v>233</v>
      </c>
    </row>
    <row r="39" spans="2:9">
      <c r="B39" s="5" t="s">
        <v>203</v>
      </c>
    </row>
    <row r="40" spans="2:9">
      <c r="B40">
        <v>1</v>
      </c>
      <c r="C40" t="s">
        <v>204</v>
      </c>
    </row>
    <row r="41" spans="2:9">
      <c r="B41">
        <v>2</v>
      </c>
      <c r="C41" t="s">
        <v>205</v>
      </c>
    </row>
    <row r="42" spans="2:9" ht="14.5" customHeight="1">
      <c r="B42">
        <v>3</v>
      </c>
      <c r="C42" s="8" t="s">
        <v>206</v>
      </c>
      <c r="D42" s="8"/>
      <c r="E42" s="8"/>
      <c r="F42" s="8"/>
      <c r="G42" s="8"/>
      <c r="H42" s="8"/>
      <c r="I42" s="8"/>
    </row>
    <row r="43" spans="2:9">
      <c r="C43" s="8"/>
      <c r="D43" s="8" t="s">
        <v>207</v>
      </c>
      <c r="E43" s="8"/>
      <c r="F43" s="8"/>
      <c r="G43" s="8"/>
      <c r="H43" s="8"/>
      <c r="I43" s="8"/>
    </row>
    <row r="44" spans="2:9">
      <c r="B44">
        <v>4</v>
      </c>
      <c r="C44" t="s">
        <v>208</v>
      </c>
      <c r="D44" s="8"/>
      <c r="E44" s="8"/>
      <c r="F44" s="8"/>
      <c r="G44" s="8"/>
      <c r="H44" s="8"/>
      <c r="I44" s="8"/>
    </row>
    <row r="45" spans="2:9">
      <c r="B45">
        <v>5</v>
      </c>
      <c r="C45" t="s">
        <v>209</v>
      </c>
      <c r="D45" s="8"/>
      <c r="E45" s="8"/>
      <c r="F45" s="8"/>
      <c r="G45" s="8"/>
      <c r="H45" s="8"/>
      <c r="I45" s="8"/>
    </row>
    <row r="46" spans="2:9">
      <c r="B46">
        <v>6</v>
      </c>
      <c r="C46" t="s">
        <v>210</v>
      </c>
    </row>
    <row r="47" spans="2:9">
      <c r="B47">
        <v>7</v>
      </c>
      <c r="C47" t="s">
        <v>211</v>
      </c>
    </row>
    <row r="48" spans="2:9">
      <c r="D48" t="s">
        <v>212</v>
      </c>
    </row>
    <row r="49" spans="2:4">
      <c r="B49">
        <v>8</v>
      </c>
      <c r="C49" t="s">
        <v>213</v>
      </c>
    </row>
    <row r="50" spans="2:4">
      <c r="B50">
        <v>9</v>
      </c>
      <c r="C50" t="s">
        <v>214</v>
      </c>
    </row>
    <row r="51" spans="2:4">
      <c r="D51" t="s">
        <v>215</v>
      </c>
    </row>
    <row r="52" spans="2:4">
      <c r="B52" s="5" t="s">
        <v>216</v>
      </c>
    </row>
    <row r="53" spans="2:4">
      <c r="B53">
        <v>1</v>
      </c>
      <c r="C53" t="s">
        <v>217</v>
      </c>
    </row>
    <row r="54" spans="2:4">
      <c r="B54">
        <v>2</v>
      </c>
      <c r="C54" t="s">
        <v>218</v>
      </c>
    </row>
    <row r="55" spans="2:4">
      <c r="B55">
        <v>3</v>
      </c>
      <c r="C55" t="s">
        <v>219</v>
      </c>
    </row>
    <row r="56" spans="2:4">
      <c r="B56">
        <v>4</v>
      </c>
      <c r="C56" t="s">
        <v>220</v>
      </c>
    </row>
    <row r="57" spans="2:4">
      <c r="B57">
        <v>5</v>
      </c>
      <c r="C57" t="s">
        <v>221</v>
      </c>
    </row>
    <row r="58" spans="2:4">
      <c r="B58">
        <v>6</v>
      </c>
      <c r="C58" t="s">
        <v>222</v>
      </c>
    </row>
    <row r="59" spans="2:4">
      <c r="B59">
        <v>7</v>
      </c>
      <c r="C59" t="s">
        <v>223</v>
      </c>
    </row>
    <row r="60" spans="2:4">
      <c r="B60">
        <v>8</v>
      </c>
      <c r="C60" t="s">
        <v>224</v>
      </c>
    </row>
    <row r="61" spans="2:4">
      <c r="B61">
        <v>9</v>
      </c>
      <c r="C61" t="s">
        <v>225</v>
      </c>
    </row>
    <row r="62" spans="2:4">
      <c r="B62">
        <v>10</v>
      </c>
      <c r="C62" t="s">
        <v>226</v>
      </c>
    </row>
    <row r="63" spans="2:4">
      <c r="B63">
        <v>11</v>
      </c>
      <c r="C63" t="s">
        <v>227</v>
      </c>
    </row>
    <row r="64" spans="2:4">
      <c r="B64">
        <v>12</v>
      </c>
      <c r="C64" t="s">
        <v>228</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 ref="B22" location="IP!A1" display="IP Risks" xr:uid="{EC544574-E92A-4CA5-8F31-4E8C464C0213}"/>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62615-914A-41B7-983E-EA31E9B3D84B}">
  <dimension ref="A1:H21"/>
  <sheetViews>
    <sheetView workbookViewId="0"/>
  </sheetViews>
  <sheetFormatPr defaultRowHeight="14.5"/>
  <sheetData>
    <row r="1" spans="1:8">
      <c r="A1" s="1" t="s">
        <v>6</v>
      </c>
    </row>
    <row r="2" spans="1:8">
      <c r="B2" s="5" t="s">
        <v>188</v>
      </c>
      <c r="C2" s="5" t="s">
        <v>192</v>
      </c>
      <c r="D2" s="5" t="s">
        <v>194</v>
      </c>
      <c r="E2" s="5" t="s">
        <v>189</v>
      </c>
      <c r="F2" s="5" t="s">
        <v>190</v>
      </c>
      <c r="G2" s="5"/>
      <c r="H2" s="5" t="s">
        <v>191</v>
      </c>
    </row>
    <row r="3" spans="1:8">
      <c r="B3" t="s">
        <v>94</v>
      </c>
    </row>
    <row r="4" spans="1:8">
      <c r="B4" t="s">
        <v>95</v>
      </c>
    </row>
    <row r="5" spans="1:8">
      <c r="B5" t="s">
        <v>96</v>
      </c>
    </row>
    <row r="6" spans="1:8">
      <c r="B6" t="s">
        <v>97</v>
      </c>
    </row>
    <row r="7" spans="1:8">
      <c r="B7" t="s">
        <v>98</v>
      </c>
    </row>
    <row r="8" spans="1:8">
      <c r="B8" t="s">
        <v>99</v>
      </c>
    </row>
    <row r="9" spans="1:8">
      <c r="B9" t="s">
        <v>100</v>
      </c>
    </row>
    <row r="10" spans="1:8">
      <c r="B10" t="s">
        <v>101</v>
      </c>
    </row>
    <row r="11" spans="1:8">
      <c r="B11" t="s">
        <v>102</v>
      </c>
    </row>
    <row r="12" spans="1:8">
      <c r="B12" t="s">
        <v>103</v>
      </c>
    </row>
    <row r="13" spans="1:8">
      <c r="B13" t="s">
        <v>104</v>
      </c>
    </row>
    <row r="14" spans="1:8">
      <c r="B14" t="s">
        <v>105</v>
      </c>
    </row>
    <row r="15" spans="1:8">
      <c r="B15" t="s">
        <v>106</v>
      </c>
    </row>
    <row r="16" spans="1:8">
      <c r="B16" t="s">
        <v>107</v>
      </c>
    </row>
    <row r="17" spans="2:2">
      <c r="B17" t="s">
        <v>108</v>
      </c>
    </row>
    <row r="18" spans="2:2">
      <c r="B18" t="s">
        <v>109</v>
      </c>
    </row>
    <row r="19" spans="2:2">
      <c r="B19" t="s">
        <v>110</v>
      </c>
    </row>
    <row r="20" spans="2:2">
      <c r="B20" t="s">
        <v>111</v>
      </c>
    </row>
    <row r="21" spans="2:2">
      <c r="B21" t="s">
        <v>112</v>
      </c>
    </row>
  </sheetData>
  <hyperlinks>
    <hyperlink ref="A1" location="main!A1" display="main" xr:uid="{ABD99F71-15C4-4DA1-961C-3FEE0348358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C6"/>
  <sheetViews>
    <sheetView topLeftCell="A31" workbookViewId="0">
      <selection activeCell="B72" sqref="B72"/>
    </sheetView>
  </sheetViews>
  <sheetFormatPr defaultRowHeight="14.5"/>
  <sheetData>
    <row r="1" spans="1:3">
      <c r="A1" s="1" t="s">
        <v>6</v>
      </c>
    </row>
    <row r="3" spans="1:3">
      <c r="B3" s="5" t="s">
        <v>332</v>
      </c>
    </row>
    <row r="4" spans="1:3">
      <c r="B4">
        <v>1</v>
      </c>
      <c r="C4" t="s">
        <v>230</v>
      </c>
    </row>
    <row r="5" spans="1:3">
      <c r="B5">
        <v>2</v>
      </c>
      <c r="C5" t="s">
        <v>231</v>
      </c>
    </row>
    <row r="6" spans="1:3">
      <c r="B6">
        <v>3</v>
      </c>
      <c r="C6" t="s">
        <v>232</v>
      </c>
    </row>
  </sheetData>
  <hyperlinks>
    <hyperlink ref="A1" location="main!A1" display="main" xr:uid="{E93CB30D-1812-4DED-8196-8225AA02AD0A}"/>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222"/>
  <sheetViews>
    <sheetView tabSelected="1" topLeftCell="A151" zoomScale="70" zoomScaleNormal="70" workbookViewId="0">
      <pane xSplit="1" topLeftCell="B1" activePane="topRight" state="frozen"/>
      <selection pane="topRight" activeCell="C185" sqref="C185"/>
    </sheetView>
  </sheetViews>
  <sheetFormatPr defaultRowHeight="14.5"/>
  <cols>
    <col min="1" max="1" width="59.54296875" bestFit="1" customWidth="1"/>
    <col min="2" max="2" width="6.36328125" bestFit="1" customWidth="1"/>
    <col min="3" max="3" width="9.81640625" bestFit="1" customWidth="1"/>
    <col min="4" max="4" width="7.26953125" bestFit="1" customWidth="1"/>
    <col min="5" max="5" width="7.453125" bestFit="1" customWidth="1"/>
  </cols>
  <sheetData>
    <row r="1" spans="1:5">
      <c r="A1" s="1" t="s">
        <v>6</v>
      </c>
      <c r="B1" s="1"/>
      <c r="C1" s="2"/>
    </row>
    <row r="2" spans="1:5">
      <c r="A2" t="s">
        <v>7</v>
      </c>
      <c r="C2" s="2"/>
    </row>
    <row r="3" spans="1:5">
      <c r="C3" s="2"/>
    </row>
    <row r="4" spans="1:5" s="3" customFormat="1">
      <c r="A4" s="3" t="s">
        <v>8</v>
      </c>
      <c r="B4" s="3">
        <v>2021</v>
      </c>
      <c r="C4" s="4">
        <v>2022</v>
      </c>
      <c r="D4" s="3">
        <v>2023</v>
      </c>
      <c r="E4" s="3">
        <v>2024</v>
      </c>
    </row>
    <row r="5" spans="1:5" s="22" customFormat="1">
      <c r="A5" s="22" t="s">
        <v>235</v>
      </c>
      <c r="B5" s="23">
        <f>+SUM(B6:B9)</f>
        <v>15655</v>
      </c>
      <c r="C5" s="23">
        <f t="shared" ref="C5:D5" si="0">+SUM(C6:C9)</f>
        <v>17455</v>
      </c>
      <c r="D5" s="23">
        <f t="shared" si="0"/>
        <v>17226</v>
      </c>
    </row>
    <row r="6" spans="1:5" s="22" customFormat="1">
      <c r="A6" s="22" t="s">
        <v>376</v>
      </c>
      <c r="B6" s="23">
        <f>+B47+B83</f>
        <v>7536</v>
      </c>
      <c r="C6" s="23">
        <f t="shared" ref="C6:D6" si="1">+C47+C83</f>
        <v>8294</v>
      </c>
      <c r="D6" s="23">
        <f t="shared" si="1"/>
        <v>8590</v>
      </c>
    </row>
    <row r="7" spans="1:5" s="22" customFormat="1">
      <c r="A7" s="22" t="s">
        <v>377</v>
      </c>
      <c r="B7" s="23">
        <f t="shared" ref="B7:D7" si="2">+B48+B84</f>
        <v>3123</v>
      </c>
      <c r="C7" s="23">
        <f t="shared" si="2"/>
        <v>3256</v>
      </c>
      <c r="D7" s="23">
        <f t="shared" si="2"/>
        <v>3367</v>
      </c>
    </row>
    <row r="8" spans="1:5" s="22" customFormat="1">
      <c r="A8" s="22" t="s">
        <v>378</v>
      </c>
      <c r="B8" s="23">
        <f t="shared" ref="B8:D8" si="3">+B49+B85</f>
        <v>3545</v>
      </c>
      <c r="C8" s="23">
        <f t="shared" si="3"/>
        <v>4445</v>
      </c>
      <c r="D8" s="23">
        <f t="shared" si="3"/>
        <v>3906</v>
      </c>
    </row>
    <row r="9" spans="1:5" s="22" customFormat="1">
      <c r="A9" s="22" t="s">
        <v>379</v>
      </c>
      <c r="B9" s="23">
        <f t="shared" ref="B9:D9" si="4">+B50+B86</f>
        <v>1451</v>
      </c>
      <c r="C9" s="23">
        <f t="shared" si="4"/>
        <v>1460</v>
      </c>
      <c r="D9" s="23">
        <f t="shared" si="4"/>
        <v>1363</v>
      </c>
    </row>
    <row r="10" spans="1:5" s="22" customFormat="1">
      <c r="C10" s="27"/>
    </row>
    <row r="11" spans="1:5" s="19" customFormat="1">
      <c r="A11" s="22" t="s">
        <v>342</v>
      </c>
      <c r="B11" s="21"/>
      <c r="C11" s="21">
        <f>+(C5-B5)/B5</f>
        <v>0.11497923985946981</v>
      </c>
      <c r="D11" s="21">
        <f>+(D5-C5)/C5</f>
        <v>-1.3119450014322544E-2</v>
      </c>
      <c r="E11" s="21">
        <f>+(E5-D5)/D5</f>
        <v>-1</v>
      </c>
    </row>
    <row r="12" spans="1:5" s="19" customFormat="1">
      <c r="A12" s="22" t="s">
        <v>367</v>
      </c>
      <c r="B12" s="21"/>
      <c r="C12" s="21">
        <f t="shared" ref="C12:E12" si="5">+(C6-B6)/B6</f>
        <v>0.10058386411889597</v>
      </c>
      <c r="D12" s="21">
        <f t="shared" si="5"/>
        <v>3.5688449481552927E-2</v>
      </c>
      <c r="E12" s="21">
        <f t="shared" si="5"/>
        <v>-1</v>
      </c>
    </row>
    <row r="13" spans="1:5" s="19" customFormat="1">
      <c r="A13" s="22" t="s">
        <v>368</v>
      </c>
      <c r="B13" s="21"/>
      <c r="C13" s="21">
        <f t="shared" ref="C13:E13" si="6">+(C7-B7)/B7</f>
        <v>4.2587255843739992E-2</v>
      </c>
      <c r="D13" s="21">
        <f t="shared" si="6"/>
        <v>3.4090909090909088E-2</v>
      </c>
      <c r="E13" s="21">
        <f t="shared" si="6"/>
        <v>-1</v>
      </c>
    </row>
    <row r="14" spans="1:5" s="19" customFormat="1">
      <c r="A14" s="22" t="s">
        <v>369</v>
      </c>
      <c r="B14" s="21"/>
      <c r="C14" s="21">
        <f t="shared" ref="C14:E14" si="7">+(C8-B8)/B8</f>
        <v>0.25387870239774329</v>
      </c>
      <c r="D14" s="21">
        <f t="shared" si="7"/>
        <v>-0.12125984251968504</v>
      </c>
      <c r="E14" s="21">
        <f t="shared" si="7"/>
        <v>-1</v>
      </c>
    </row>
    <row r="15" spans="1:5" s="19" customFormat="1">
      <c r="A15" s="22" t="s">
        <v>370</v>
      </c>
      <c r="B15" s="21"/>
      <c r="C15" s="21">
        <f t="shared" ref="C15:E15" si="8">+(C9-B9)/B9</f>
        <v>6.202618883528601E-3</v>
      </c>
      <c r="D15" s="21">
        <f t="shared" si="8"/>
        <v>-6.6438356164383566E-2</v>
      </c>
      <c r="E15" s="21">
        <f t="shared" si="8"/>
        <v>-1</v>
      </c>
    </row>
    <row r="16" spans="1:5" s="19" customFormat="1">
      <c r="A16" s="22" t="s">
        <v>236</v>
      </c>
    </row>
    <row r="17" spans="1:5" s="19" customFormat="1">
      <c r="A17" s="19" t="s">
        <v>237</v>
      </c>
      <c r="C17" s="28">
        <v>0.1</v>
      </c>
      <c r="D17" s="28">
        <v>7.0000000000000007E-2</v>
      </c>
    </row>
    <row r="18" spans="1:5" s="19" customFormat="1">
      <c r="A18" s="19" t="s">
        <v>238</v>
      </c>
      <c r="C18" s="28">
        <v>0.05</v>
      </c>
      <c r="D18" s="28">
        <v>-0.1</v>
      </c>
    </row>
    <row r="19" spans="1:5" s="19" customFormat="1">
      <c r="A19" s="19" t="s">
        <v>239</v>
      </c>
      <c r="C19" s="28">
        <v>-0.03</v>
      </c>
      <c r="D19" s="28">
        <v>-0.01</v>
      </c>
    </row>
    <row r="20" spans="1:5" s="19" customFormat="1">
      <c r="A20" s="19" t="s">
        <v>240</v>
      </c>
      <c r="C20" s="28">
        <v>-0.01</v>
      </c>
      <c r="D20" s="28">
        <v>0.03</v>
      </c>
    </row>
    <row r="21" spans="1:5">
      <c r="C21" s="26"/>
      <c r="D21" s="26"/>
    </row>
    <row r="22" spans="1:5" s="3" customFormat="1">
      <c r="B22" s="3">
        <f>+B4</f>
        <v>2021</v>
      </c>
      <c r="C22" s="3">
        <f t="shared" ref="C22:E22" si="9">+C4</f>
        <v>2022</v>
      </c>
      <c r="D22" s="3">
        <f t="shared" si="9"/>
        <v>2023</v>
      </c>
      <c r="E22" s="3">
        <f t="shared" si="9"/>
        <v>2024</v>
      </c>
    </row>
    <row r="23" spans="1:5" s="15" customFormat="1">
      <c r="A23" s="14" t="s">
        <v>244</v>
      </c>
      <c r="B23" s="15">
        <v>1512</v>
      </c>
      <c r="C23" s="15">
        <v>1656</v>
      </c>
      <c r="D23" s="15">
        <v>2117</v>
      </c>
    </row>
    <row r="24" spans="1:5" s="18" customFormat="1">
      <c r="A24" s="17" t="s">
        <v>341</v>
      </c>
      <c r="C24" s="16">
        <f>+(C23-B23)/B23</f>
        <v>9.5238095238095233E-2</v>
      </c>
      <c r="D24" s="16">
        <f>+(D23-C23)/C23</f>
        <v>0.27838164251207731</v>
      </c>
    </row>
    <row r="25" spans="1:5" s="32" customFormat="1">
      <c r="A25" s="32" t="s">
        <v>431</v>
      </c>
      <c r="B25" s="32">
        <v>866</v>
      </c>
      <c r="C25" s="32">
        <v>839</v>
      </c>
      <c r="D25" s="32">
        <v>814</v>
      </c>
    </row>
    <row r="26" spans="1:5" s="18" customFormat="1">
      <c r="A26" s="17" t="s">
        <v>434</v>
      </c>
      <c r="C26" s="16">
        <f>+(C25-B25)/B25</f>
        <v>-3.117782909930716E-2</v>
      </c>
      <c r="D26" s="16">
        <f>+(D25-C25)/C25</f>
        <v>-2.9797377830750895E-2</v>
      </c>
    </row>
    <row r="27" spans="1:5" s="32" customFormat="1">
      <c r="A27" s="32" t="s">
        <v>432</v>
      </c>
      <c r="B27" s="32">
        <v>23270</v>
      </c>
      <c r="C27" s="32">
        <v>22952</v>
      </c>
      <c r="D27" s="32">
        <v>22732</v>
      </c>
    </row>
    <row r="28" spans="1:5" s="18" customFormat="1">
      <c r="A28" s="17" t="s">
        <v>435</v>
      </c>
      <c r="C28" s="16">
        <f>+(C27-B27)/B27</f>
        <v>-1.3665663944993554E-2</v>
      </c>
      <c r="D28" s="16">
        <f>+(D27-C27)/C27</f>
        <v>-9.5852213314743806E-3</v>
      </c>
    </row>
    <row r="29" spans="1:5" s="32" customFormat="1">
      <c r="A29" s="32" t="s">
        <v>433</v>
      </c>
      <c r="B29" s="32">
        <v>29</v>
      </c>
      <c r="C29" s="32">
        <v>35</v>
      </c>
      <c r="D29" s="32">
        <v>39</v>
      </c>
    </row>
    <row r="30" spans="1:5" s="18" customFormat="1">
      <c r="A30" s="17" t="s">
        <v>436</v>
      </c>
      <c r="C30" s="16">
        <f>+(C29-B29)/B29</f>
        <v>0.20689655172413793</v>
      </c>
      <c r="D30" s="16">
        <f>+(D29-C29)/C29</f>
        <v>0.11428571428571428</v>
      </c>
    </row>
    <row r="31" spans="1:5" s="32" customFormat="1">
      <c r="A31" s="32" t="s">
        <v>445</v>
      </c>
      <c r="B31" s="32">
        <v>237</v>
      </c>
      <c r="C31" s="32">
        <v>225</v>
      </c>
      <c r="D31" s="32">
        <v>332</v>
      </c>
    </row>
    <row r="32" spans="1:5" s="18" customFormat="1">
      <c r="A32" s="17" t="s">
        <v>446</v>
      </c>
      <c r="C32" s="16">
        <f>+(C31-B31)/B31</f>
        <v>-5.0632911392405063E-2</v>
      </c>
      <c r="D32" s="16">
        <f>+(D31-C31)/C31</f>
        <v>0.47555555555555556</v>
      </c>
    </row>
    <row r="33" spans="1:5" s="15" customFormat="1">
      <c r="A33" s="14"/>
    </row>
    <row r="34" spans="1:5" s="14" customFormat="1">
      <c r="A34" s="17" t="s">
        <v>333</v>
      </c>
      <c r="B34" s="18">
        <f>+SUM(B35:B38)</f>
        <v>8402</v>
      </c>
      <c r="C34" s="18">
        <f t="shared" ref="C34:E34" si="10">+SUM(C35:C38)</f>
        <v>8979</v>
      </c>
      <c r="D34" s="18">
        <f t="shared" si="10"/>
        <v>9472</v>
      </c>
      <c r="E34" s="18">
        <f t="shared" si="10"/>
        <v>0</v>
      </c>
    </row>
    <row r="35" spans="1:5" s="14" customFormat="1">
      <c r="A35" s="14" t="s">
        <v>365</v>
      </c>
      <c r="B35" s="15">
        <v>5618</v>
      </c>
      <c r="C35" s="15">
        <v>5955</v>
      </c>
      <c r="D35" s="15">
        <v>6447</v>
      </c>
      <c r="E35" s="15"/>
    </row>
    <row r="36" spans="1:5" s="14" customFormat="1">
      <c r="A36" s="14" t="s">
        <v>366</v>
      </c>
      <c r="B36" s="15">
        <v>1568</v>
      </c>
      <c r="C36" s="15">
        <v>1810</v>
      </c>
      <c r="D36" s="15">
        <v>1858</v>
      </c>
      <c r="E36" s="15"/>
    </row>
    <row r="37" spans="1:5" s="14" customFormat="1">
      <c r="A37" s="14" t="s">
        <v>340</v>
      </c>
      <c r="B37" s="15">
        <v>752</v>
      </c>
      <c r="C37" s="15">
        <v>714</v>
      </c>
      <c r="D37" s="15">
        <v>708</v>
      </c>
      <c r="E37" s="15"/>
    </row>
    <row r="38" spans="1:5" s="14" customFormat="1">
      <c r="A38" s="14" t="s">
        <v>339</v>
      </c>
      <c r="B38" s="15">
        <v>464</v>
      </c>
      <c r="C38" s="15">
        <v>500</v>
      </c>
      <c r="D38" s="15">
        <v>459</v>
      </c>
      <c r="E38" s="15"/>
    </row>
    <row r="39" spans="1:5" s="14" customFormat="1">
      <c r="A39" s="17"/>
      <c r="B39" s="17"/>
      <c r="C39" s="16"/>
      <c r="D39" s="16"/>
    </row>
    <row r="40" spans="1:5" s="17" customFormat="1">
      <c r="A40" s="17" t="s">
        <v>334</v>
      </c>
      <c r="B40" s="16"/>
      <c r="C40" s="16">
        <f>+(C34-B34)/B34</f>
        <v>6.867412520828374E-2</v>
      </c>
      <c r="D40" s="16">
        <f>+(D34-C34)/C34</f>
        <v>5.4905891524668668E-2</v>
      </c>
      <c r="E40" s="16">
        <f>+(E34-D34)/D34</f>
        <v>-1</v>
      </c>
    </row>
    <row r="41" spans="1:5" s="17" customFormat="1">
      <c r="A41" s="17" t="s">
        <v>335</v>
      </c>
      <c r="B41" s="16"/>
      <c r="C41" s="16">
        <f t="shared" ref="C41:D44" si="11">+(C35-B35)/B35</f>
        <v>5.9985760056959769E-2</v>
      </c>
      <c r="D41" s="16">
        <f t="shared" si="11"/>
        <v>8.2619647355163722E-2</v>
      </c>
      <c r="E41" s="16">
        <f t="shared" ref="E41" si="12">+(E35-D35)/D35</f>
        <v>-1</v>
      </c>
    </row>
    <row r="42" spans="1:5" s="17" customFormat="1">
      <c r="A42" s="17" t="s">
        <v>336</v>
      </c>
      <c r="B42" s="16"/>
      <c r="C42" s="16">
        <f t="shared" si="11"/>
        <v>0.15433673469387754</v>
      </c>
      <c r="D42" s="16">
        <f t="shared" si="11"/>
        <v>2.6519337016574586E-2</v>
      </c>
      <c r="E42" s="16">
        <f t="shared" ref="E42" si="13">+(E36-D36)/D36</f>
        <v>-1</v>
      </c>
    </row>
    <row r="43" spans="1:5" s="17" customFormat="1">
      <c r="A43" s="17" t="s">
        <v>337</v>
      </c>
      <c r="B43" s="16"/>
      <c r="C43" s="16">
        <f t="shared" si="11"/>
        <v>-5.0531914893617018E-2</v>
      </c>
      <c r="D43" s="16">
        <f t="shared" si="11"/>
        <v>-8.4033613445378148E-3</v>
      </c>
      <c r="E43" s="16">
        <f t="shared" ref="E43" si="14">+(E37-D37)/D37</f>
        <v>-1</v>
      </c>
    </row>
    <row r="44" spans="1:5" s="17" customFormat="1">
      <c r="A44" s="17" t="s">
        <v>338</v>
      </c>
      <c r="B44" s="16"/>
      <c r="C44" s="16">
        <f t="shared" si="11"/>
        <v>7.7586206896551727E-2</v>
      </c>
      <c r="D44" s="16">
        <f t="shared" si="11"/>
        <v>-8.2000000000000003E-2</v>
      </c>
      <c r="E44" s="16">
        <f t="shared" ref="E44" si="15">+(E38-D38)/D38</f>
        <v>-1</v>
      </c>
    </row>
    <row r="45" spans="1:5" s="14" customFormat="1">
      <c r="A45" s="17"/>
      <c r="B45" s="17"/>
      <c r="C45" s="16"/>
      <c r="D45" s="16"/>
    </row>
    <row r="46" spans="1:5" s="15" customFormat="1">
      <c r="A46" s="18" t="s">
        <v>343</v>
      </c>
      <c r="B46" s="18">
        <f>+SUM(B47:B50)</f>
        <v>8402</v>
      </c>
      <c r="C46" s="18">
        <f t="shared" ref="C46:E46" si="16">+SUM(C47:C50)</f>
        <v>8979</v>
      </c>
      <c r="D46" s="18">
        <f t="shared" si="16"/>
        <v>9472</v>
      </c>
      <c r="E46" s="18">
        <f t="shared" si="16"/>
        <v>0</v>
      </c>
    </row>
    <row r="47" spans="1:5" s="15" customFormat="1">
      <c r="A47" s="15" t="s">
        <v>361</v>
      </c>
      <c r="B47" s="15">
        <v>5004</v>
      </c>
      <c r="C47" s="15">
        <v>5178</v>
      </c>
      <c r="D47" s="15">
        <v>5768</v>
      </c>
    </row>
    <row r="48" spans="1:5" s="15" customFormat="1">
      <c r="A48" s="15" t="s">
        <v>362</v>
      </c>
      <c r="B48" s="15">
        <v>1599</v>
      </c>
      <c r="C48" s="15">
        <v>1609</v>
      </c>
      <c r="D48" s="15">
        <v>1622</v>
      </c>
    </row>
    <row r="49" spans="1:5" s="15" customFormat="1">
      <c r="A49" s="15" t="s">
        <v>363</v>
      </c>
      <c r="B49" s="15">
        <v>1420</v>
      </c>
      <c r="C49" s="15">
        <v>1758</v>
      </c>
      <c r="D49" s="15">
        <v>1637</v>
      </c>
    </row>
    <row r="50" spans="1:5" s="15" customFormat="1">
      <c r="A50" s="15" t="s">
        <v>364</v>
      </c>
      <c r="B50" s="15">
        <v>379</v>
      </c>
      <c r="C50" s="15">
        <v>434</v>
      </c>
      <c r="D50" s="15">
        <v>445</v>
      </c>
    </row>
    <row r="51" spans="1:5" s="14" customFormat="1">
      <c r="A51" s="17"/>
      <c r="B51" s="17"/>
      <c r="C51" s="16"/>
      <c r="D51" s="16"/>
    </row>
    <row r="52" spans="1:5" s="14" customFormat="1">
      <c r="A52" s="17" t="s">
        <v>342</v>
      </c>
      <c r="B52" s="16"/>
      <c r="C52" s="16">
        <f>+(C46-B46)/B46</f>
        <v>6.867412520828374E-2</v>
      </c>
      <c r="D52" s="16">
        <f>+(D46-C46)/C46</f>
        <v>5.4905891524668668E-2</v>
      </c>
      <c r="E52" s="16">
        <f>+(E46-D46)/D46</f>
        <v>-1</v>
      </c>
    </row>
    <row r="53" spans="1:5" s="14" customFormat="1">
      <c r="A53" s="17" t="s">
        <v>367</v>
      </c>
      <c r="B53" s="16"/>
      <c r="C53" s="16">
        <f t="shared" ref="C53:E56" si="17">+(C47-B47)/B47</f>
        <v>3.4772182254196642E-2</v>
      </c>
      <c r="D53" s="16">
        <f t="shared" si="17"/>
        <v>0.11394360757049053</v>
      </c>
      <c r="E53" s="16">
        <f t="shared" si="17"/>
        <v>-1</v>
      </c>
    </row>
    <row r="54" spans="1:5" s="14" customFormat="1">
      <c r="A54" s="17" t="s">
        <v>368</v>
      </c>
      <c r="B54" s="16"/>
      <c r="C54" s="16">
        <f t="shared" ref="C54:D54" si="18">+(C48-B48)/B48</f>
        <v>6.2539086929330832E-3</v>
      </c>
      <c r="D54" s="16">
        <f t="shared" si="18"/>
        <v>8.0795525170913613E-3</v>
      </c>
      <c r="E54" s="16">
        <f t="shared" si="17"/>
        <v>-1</v>
      </c>
    </row>
    <row r="55" spans="1:5" s="14" customFormat="1">
      <c r="A55" s="17" t="s">
        <v>369</v>
      </c>
      <c r="B55" s="16"/>
      <c r="C55" s="16">
        <f t="shared" ref="C55:D55" si="19">+(C49-B49)/B49</f>
        <v>0.2380281690140845</v>
      </c>
      <c r="D55" s="16">
        <f t="shared" si="19"/>
        <v>-6.882821387940842E-2</v>
      </c>
      <c r="E55" s="16">
        <f t="shared" si="17"/>
        <v>-1</v>
      </c>
    </row>
    <row r="56" spans="1:5" s="14" customFormat="1">
      <c r="A56" s="17" t="s">
        <v>370</v>
      </c>
      <c r="B56" s="16"/>
      <c r="C56" s="16">
        <f t="shared" ref="C56:D56" si="20">+(C50-B50)/B50</f>
        <v>0.14511873350923482</v>
      </c>
      <c r="D56" s="16">
        <f t="shared" si="20"/>
        <v>2.5345622119815669E-2</v>
      </c>
      <c r="E56" s="16">
        <f t="shared" si="17"/>
        <v>-1</v>
      </c>
    </row>
    <row r="57" spans="1:5">
      <c r="A57" s="3"/>
      <c r="B57" s="25"/>
      <c r="C57" s="25"/>
      <c r="D57" s="25"/>
      <c r="E57" s="25"/>
    </row>
    <row r="58" spans="1:5" s="24" customFormat="1">
      <c r="B58" s="24">
        <f>+B22</f>
        <v>2021</v>
      </c>
      <c r="C58" s="24">
        <f>+C22</f>
        <v>2022</v>
      </c>
      <c r="D58" s="24">
        <f>+D22</f>
        <v>2023</v>
      </c>
      <c r="E58" s="24">
        <f>+E22</f>
        <v>2024</v>
      </c>
    </row>
    <row r="59" spans="1:5" s="19" customFormat="1">
      <c r="A59" s="19" t="s">
        <v>360</v>
      </c>
      <c r="B59" s="20">
        <v>1202</v>
      </c>
      <c r="C59" s="20">
        <v>1684</v>
      </c>
      <c r="D59" s="20">
        <v>1374</v>
      </c>
    </row>
    <row r="60" spans="1:5" s="23" customFormat="1">
      <c r="A60" s="22" t="s">
        <v>359</v>
      </c>
      <c r="C60" s="21">
        <f>+(C59-B59)/B59</f>
        <v>0.40099833610648916</v>
      </c>
      <c r="D60" s="21">
        <f>+(D59-C59)/C59</f>
        <v>-0.18408551068883611</v>
      </c>
    </row>
    <row r="61" spans="1:5" s="34" customFormat="1">
      <c r="A61" s="34" t="s">
        <v>442</v>
      </c>
      <c r="B61" s="34">
        <v>377</v>
      </c>
      <c r="C61" s="34">
        <v>384</v>
      </c>
      <c r="D61" s="34">
        <v>397</v>
      </c>
    </row>
    <row r="62" spans="1:5" s="23" customFormat="1">
      <c r="A62" s="22" t="s">
        <v>441</v>
      </c>
      <c r="C62" s="21">
        <f>+(C61-B61)/B61</f>
        <v>1.8567639257294429E-2</v>
      </c>
      <c r="D62" s="21">
        <f>+(D61-C61)/C61</f>
        <v>3.3854166666666664E-2</v>
      </c>
    </row>
    <row r="63" spans="1:5" s="34" customFormat="1">
      <c r="A63" s="34" t="s">
        <v>440</v>
      </c>
      <c r="B63" s="34">
        <v>12428</v>
      </c>
      <c r="C63" s="34">
        <v>14097</v>
      </c>
      <c r="D63" s="34">
        <v>15004</v>
      </c>
    </row>
    <row r="64" spans="1:5" s="23" customFormat="1">
      <c r="A64" s="22" t="s">
        <v>439</v>
      </c>
      <c r="C64" s="21">
        <f>+(C63-B63)/B63</f>
        <v>0.13429353073704539</v>
      </c>
      <c r="D64" s="21">
        <f>+(D63-C63)/C63</f>
        <v>6.4339930481662769E-2</v>
      </c>
    </row>
    <row r="65" spans="1:5" s="34" customFormat="1">
      <c r="A65" s="34" t="s">
        <v>437</v>
      </c>
      <c r="B65" s="34">
        <v>47</v>
      </c>
      <c r="C65" s="34">
        <v>67</v>
      </c>
      <c r="D65" s="34">
        <v>76</v>
      </c>
    </row>
    <row r="66" spans="1:5" s="23" customFormat="1">
      <c r="A66" s="22" t="s">
        <v>438</v>
      </c>
      <c r="C66" s="21">
        <f>+(C65-B65)/B65</f>
        <v>0.42553191489361702</v>
      </c>
      <c r="D66" s="21">
        <f>+(D65-C65)/C65</f>
        <v>0.13432835820895522</v>
      </c>
    </row>
    <row r="67" spans="1:5" s="34" customFormat="1">
      <c r="A67" s="34" t="s">
        <v>444</v>
      </c>
      <c r="B67" s="34">
        <v>336</v>
      </c>
      <c r="C67" s="34">
        <v>380</v>
      </c>
      <c r="D67" s="34">
        <v>263</v>
      </c>
    </row>
    <row r="68" spans="1:5" s="23" customFormat="1">
      <c r="A68" s="22" t="s">
        <v>443</v>
      </c>
      <c r="C68" s="21">
        <f>+(C67-B67)/B67</f>
        <v>0.13095238095238096</v>
      </c>
      <c r="D68" s="21">
        <f>+(D67-C67)/C67</f>
        <v>-0.30789473684210528</v>
      </c>
    </row>
    <row r="69" spans="1:5" s="20" customFormat="1">
      <c r="A69" s="19"/>
    </row>
    <row r="70" spans="1:5" s="19" customFormat="1">
      <c r="A70" s="22" t="s">
        <v>344</v>
      </c>
      <c r="B70" s="23">
        <f>+SUM(B71:B74)</f>
        <v>7253</v>
      </c>
      <c r="C70" s="23">
        <f t="shared" ref="C70" si="21">+SUM(C71:C74)</f>
        <v>8476</v>
      </c>
      <c r="D70" s="23">
        <f t="shared" ref="D70" si="22">+SUM(D71:D74)</f>
        <v>7754</v>
      </c>
      <c r="E70" s="23">
        <f t="shared" ref="E70" si="23">+SUM(E71:E74)</f>
        <v>0</v>
      </c>
    </row>
    <row r="71" spans="1:5" s="19" customFormat="1">
      <c r="A71" s="19" t="s">
        <v>346</v>
      </c>
      <c r="B71" s="20">
        <v>3815</v>
      </c>
      <c r="C71" s="20">
        <v>4591</v>
      </c>
      <c r="D71" s="20">
        <v>4034</v>
      </c>
      <c r="E71" s="20"/>
    </row>
    <row r="72" spans="1:5" s="19" customFormat="1">
      <c r="A72" s="19" t="s">
        <v>347</v>
      </c>
      <c r="B72" s="20">
        <v>1730</v>
      </c>
      <c r="C72" s="20">
        <v>1831</v>
      </c>
      <c r="D72" s="20">
        <v>1598</v>
      </c>
      <c r="E72" s="20"/>
    </row>
    <row r="73" spans="1:5" s="19" customFormat="1">
      <c r="A73" s="19" t="s">
        <v>348</v>
      </c>
      <c r="B73" s="20">
        <v>1310</v>
      </c>
      <c r="C73" s="20">
        <v>1450</v>
      </c>
      <c r="D73" s="20">
        <v>1112</v>
      </c>
      <c r="E73" s="20"/>
    </row>
    <row r="74" spans="1:5" s="19" customFormat="1">
      <c r="A74" s="19" t="s">
        <v>349</v>
      </c>
      <c r="B74" s="20">
        <v>398</v>
      </c>
      <c r="C74" s="20">
        <v>604</v>
      </c>
      <c r="D74" s="20">
        <v>1010</v>
      </c>
      <c r="E74" s="20"/>
    </row>
    <row r="75" spans="1:5" s="19" customFormat="1">
      <c r="A75" s="22"/>
      <c r="B75" s="22"/>
      <c r="C75" s="21"/>
      <c r="D75" s="21"/>
    </row>
    <row r="76" spans="1:5" s="22" customFormat="1">
      <c r="A76" s="22" t="s">
        <v>371</v>
      </c>
      <c r="B76" s="21"/>
      <c r="C76" s="21">
        <f>+(C70-B70)/B70</f>
        <v>0.16861988142837447</v>
      </c>
      <c r="D76" s="21">
        <f>+(D70-C70)/C70</f>
        <v>-8.5181689476167999E-2</v>
      </c>
      <c r="E76" s="21">
        <f>+(E70-D70)/D70</f>
        <v>-1</v>
      </c>
    </row>
    <row r="77" spans="1:5" s="22" customFormat="1">
      <c r="A77" s="22" t="s">
        <v>372</v>
      </c>
      <c r="B77" s="21"/>
      <c r="C77" s="21">
        <f t="shared" ref="C77:E80" si="24">+(C71-B71)/B71</f>
        <v>0.20340760157273918</v>
      </c>
      <c r="D77" s="21">
        <f t="shared" si="24"/>
        <v>-0.12132433021128294</v>
      </c>
      <c r="E77" s="21">
        <f t="shared" si="24"/>
        <v>-1</v>
      </c>
    </row>
    <row r="78" spans="1:5" s="22" customFormat="1">
      <c r="A78" s="22" t="s">
        <v>373</v>
      </c>
      <c r="B78" s="21"/>
      <c r="C78" s="21">
        <f t="shared" ref="C78:D78" si="25">+(C72-B72)/B72</f>
        <v>5.8381502890173409E-2</v>
      </c>
      <c r="D78" s="21">
        <f t="shared" si="25"/>
        <v>-0.12725286728563626</v>
      </c>
      <c r="E78" s="21">
        <f t="shared" si="24"/>
        <v>-1</v>
      </c>
    </row>
    <row r="79" spans="1:5" s="22" customFormat="1">
      <c r="A79" s="22" t="s">
        <v>374</v>
      </c>
      <c r="B79" s="21"/>
      <c r="C79" s="21">
        <f t="shared" ref="C79:D79" si="26">+(C73-B73)/B73</f>
        <v>0.10687022900763359</v>
      </c>
      <c r="D79" s="21">
        <f t="shared" si="26"/>
        <v>-0.23310344827586207</v>
      </c>
      <c r="E79" s="21">
        <f t="shared" si="24"/>
        <v>-1</v>
      </c>
    </row>
    <row r="80" spans="1:5" s="22" customFormat="1">
      <c r="A80" s="22" t="s">
        <v>375</v>
      </c>
      <c r="B80" s="21"/>
      <c r="C80" s="21">
        <f t="shared" ref="C80:D80" si="27">+(C74-B74)/B74</f>
        <v>0.51758793969849248</v>
      </c>
      <c r="D80" s="21">
        <f t="shared" si="27"/>
        <v>0.67218543046357615</v>
      </c>
      <c r="E80" s="21">
        <f t="shared" si="24"/>
        <v>-1</v>
      </c>
    </row>
    <row r="81" spans="1:5" s="19" customFormat="1">
      <c r="A81" s="22"/>
      <c r="B81" s="22"/>
      <c r="C81" s="21"/>
      <c r="D81" s="21"/>
    </row>
    <row r="82" spans="1:5" s="20" customFormat="1">
      <c r="A82" s="23" t="s">
        <v>354</v>
      </c>
      <c r="B82" s="23">
        <f>+SUM(B83:B86)</f>
        <v>7253</v>
      </c>
      <c r="C82" s="23">
        <f t="shared" ref="C82" si="28">+SUM(C83:C86)</f>
        <v>8476</v>
      </c>
      <c r="D82" s="23">
        <f t="shared" ref="D82" si="29">+SUM(D83:D86)</f>
        <v>7754</v>
      </c>
      <c r="E82" s="23">
        <f t="shared" ref="E82" si="30">+SUM(E83:E86)</f>
        <v>0</v>
      </c>
    </row>
    <row r="83" spans="1:5" s="20" customFormat="1">
      <c r="A83" s="20" t="s">
        <v>350</v>
      </c>
      <c r="B83" s="20">
        <v>2532</v>
      </c>
      <c r="C83" s="20">
        <v>3116</v>
      </c>
      <c r="D83" s="20">
        <v>2822</v>
      </c>
    </row>
    <row r="84" spans="1:5" s="20" customFormat="1">
      <c r="A84" s="20" t="s">
        <v>351</v>
      </c>
      <c r="B84" s="20">
        <v>1524</v>
      </c>
      <c r="C84" s="20">
        <v>1647</v>
      </c>
      <c r="D84" s="20">
        <v>1745</v>
      </c>
    </row>
    <row r="85" spans="1:5" s="20" customFormat="1">
      <c r="A85" s="20" t="s">
        <v>352</v>
      </c>
      <c r="B85" s="20">
        <v>2125</v>
      </c>
      <c r="C85" s="20">
        <v>2687</v>
      </c>
      <c r="D85" s="20">
        <v>2269</v>
      </c>
    </row>
    <row r="86" spans="1:5" s="20" customFormat="1">
      <c r="A86" s="20" t="s">
        <v>353</v>
      </c>
      <c r="B86" s="20">
        <v>1072</v>
      </c>
      <c r="C86" s="20">
        <v>1026</v>
      </c>
      <c r="D86" s="20">
        <v>918</v>
      </c>
    </row>
    <row r="87" spans="1:5" s="19" customFormat="1">
      <c r="A87" s="22"/>
      <c r="B87" s="22"/>
      <c r="C87" s="21"/>
      <c r="D87" s="21"/>
    </row>
    <row r="88" spans="1:5" s="19" customFormat="1">
      <c r="A88" s="22" t="s">
        <v>345</v>
      </c>
      <c r="B88" s="21"/>
      <c r="C88" s="21">
        <f>+(C82-B82)/B82</f>
        <v>0.16861988142837447</v>
      </c>
      <c r="D88" s="21">
        <f>+(D82-C82)/C82</f>
        <v>-8.5181689476167999E-2</v>
      </c>
      <c r="E88" s="21">
        <f>+(E82-D82)/D82</f>
        <v>-1</v>
      </c>
    </row>
    <row r="89" spans="1:5" s="19" customFormat="1">
      <c r="A89" s="22" t="s">
        <v>355</v>
      </c>
      <c r="B89" s="21"/>
      <c r="C89" s="21">
        <f t="shared" ref="C89:E89" si="31">+(C83-B83)/B83</f>
        <v>0.23064770932069512</v>
      </c>
      <c r="D89" s="21">
        <f t="shared" si="31"/>
        <v>-9.4351732991014126E-2</v>
      </c>
      <c r="E89" s="21">
        <f t="shared" si="31"/>
        <v>-1</v>
      </c>
    </row>
    <row r="90" spans="1:5" s="19" customFormat="1">
      <c r="A90" s="22" t="s">
        <v>356</v>
      </c>
      <c r="B90" s="21"/>
      <c r="C90" s="21">
        <f t="shared" ref="C90:E90" si="32">+(C84-B84)/B84</f>
        <v>8.070866141732283E-2</v>
      </c>
      <c r="D90" s="21">
        <f t="shared" si="32"/>
        <v>5.9502125075895571E-2</v>
      </c>
      <c r="E90" s="21">
        <f t="shared" si="32"/>
        <v>-1</v>
      </c>
    </row>
    <row r="91" spans="1:5" s="19" customFormat="1">
      <c r="A91" s="22" t="s">
        <v>357</v>
      </c>
      <c r="B91" s="21"/>
      <c r="C91" s="21">
        <f t="shared" ref="C91:E91" si="33">+(C85-B85)/B85</f>
        <v>0.26447058823529412</v>
      </c>
      <c r="D91" s="21">
        <f t="shared" si="33"/>
        <v>-0.15556382582806103</v>
      </c>
      <c r="E91" s="21">
        <f t="shared" si="33"/>
        <v>-1</v>
      </c>
    </row>
    <row r="92" spans="1:5" s="19" customFormat="1">
      <c r="A92" s="22" t="s">
        <v>358</v>
      </c>
      <c r="B92" s="21"/>
      <c r="C92" s="21">
        <f t="shared" ref="C92:E92" si="34">+(C86-B86)/B86</f>
        <v>-4.2910447761194029E-2</v>
      </c>
      <c r="D92" s="21">
        <f t="shared" si="34"/>
        <v>-0.10526315789473684</v>
      </c>
      <c r="E92" s="21">
        <f t="shared" si="34"/>
        <v>-1</v>
      </c>
    </row>
    <row r="93" spans="1:5">
      <c r="B93" s="10"/>
      <c r="C93" s="10"/>
      <c r="D93" s="10"/>
    </row>
    <row r="94" spans="1:5" s="3" customFormat="1">
      <c r="B94" s="3">
        <f>B4</f>
        <v>2021</v>
      </c>
      <c r="C94" s="3">
        <f>C4</f>
        <v>2022</v>
      </c>
      <c r="D94" s="3">
        <f>D4</f>
        <v>2023</v>
      </c>
      <c r="E94" s="3">
        <f>E4</f>
        <v>2024</v>
      </c>
    </row>
    <row r="95" spans="1:5" s="17" customFormat="1">
      <c r="A95" s="17" t="s">
        <v>248</v>
      </c>
      <c r="B95" s="29"/>
      <c r="C95" s="29">
        <f t="shared" ref="C95:D95" si="35">(C96-B96)/B96</f>
        <v>0.11497923985946981</v>
      </c>
      <c r="D95" s="29">
        <f t="shared" si="35"/>
        <v>-1.3119450014322544E-2</v>
      </c>
      <c r="E95" s="29">
        <f>(E96-D96)/D96</f>
        <v>1.8808777429467086E-2</v>
      </c>
    </row>
    <row r="96" spans="1:5" s="14" customFormat="1">
      <c r="A96" s="14" t="s">
        <v>247</v>
      </c>
      <c r="B96" s="15">
        <v>15655</v>
      </c>
      <c r="C96" s="15">
        <v>17455</v>
      </c>
      <c r="D96" s="15">
        <v>17226</v>
      </c>
      <c r="E96" s="15">
        <f>+AVERAGE(17400,17700)</f>
        <v>17550</v>
      </c>
    </row>
    <row r="97" spans="1:5" s="14" customFormat="1">
      <c r="A97" s="14" t="s">
        <v>241</v>
      </c>
      <c r="B97" s="15">
        <v>9220</v>
      </c>
      <c r="C97" s="15">
        <v>10436</v>
      </c>
      <c r="D97" s="15">
        <v>9920</v>
      </c>
      <c r="E97" s="15"/>
    </row>
    <row r="98" spans="1:5" s="17" customFormat="1">
      <c r="A98" s="17" t="s">
        <v>246</v>
      </c>
      <c r="B98" s="18">
        <f t="shared" ref="B98:C98" si="36">+B96-B97</f>
        <v>6435</v>
      </c>
      <c r="C98" s="18">
        <f t="shared" si="36"/>
        <v>7019</v>
      </c>
      <c r="D98" s="18">
        <f>+D96-D97</f>
        <v>7306</v>
      </c>
      <c r="E98" s="18">
        <f t="shared" ref="E98" si="37">+E96-E97</f>
        <v>17550</v>
      </c>
    </row>
    <row r="99" spans="1:5" s="14" customFormat="1">
      <c r="A99" s="14" t="s">
        <v>242</v>
      </c>
      <c r="B99" s="14">
        <v>1187</v>
      </c>
      <c r="C99" s="14">
        <v>1216</v>
      </c>
      <c r="D99" s="14">
        <v>1337</v>
      </c>
    </row>
    <row r="100" spans="1:5" s="14" customFormat="1">
      <c r="A100" s="14" t="s">
        <v>249</v>
      </c>
      <c r="B100" s="14">
        <v>3209</v>
      </c>
      <c r="C100" s="14">
        <v>3173</v>
      </c>
      <c r="D100" s="14">
        <v>3176</v>
      </c>
    </row>
    <row r="101" spans="1:5" s="14" customFormat="1">
      <c r="A101" s="14" t="s">
        <v>250</v>
      </c>
      <c r="B101" s="14">
        <v>722</v>
      </c>
      <c r="C101" s="14">
        <v>702</v>
      </c>
      <c r="D101" s="14">
        <v>683</v>
      </c>
    </row>
    <row r="102" spans="1:5" s="14" customFormat="1">
      <c r="A102" s="14" t="s">
        <v>251</v>
      </c>
      <c r="B102" s="14">
        <v>289</v>
      </c>
      <c r="C102" s="14">
        <v>363</v>
      </c>
      <c r="D102" s="14">
        <v>336</v>
      </c>
    </row>
    <row r="103" spans="1:5" s="30" customFormat="1">
      <c r="A103" s="30" t="s">
        <v>254</v>
      </c>
      <c r="B103" s="30">
        <v>1348</v>
      </c>
      <c r="C103" s="30">
        <v>-60</v>
      </c>
      <c r="D103" s="30">
        <v>-448</v>
      </c>
    </row>
    <row r="104" spans="1:5" s="14" customFormat="1">
      <c r="A104" s="14" t="s">
        <v>243</v>
      </c>
      <c r="B104" s="14">
        <v>30</v>
      </c>
      <c r="C104" s="14">
        <v>79</v>
      </c>
      <c r="D104" s="14">
        <v>233</v>
      </c>
    </row>
    <row r="105" spans="1:5" s="17" customFormat="1">
      <c r="A105" s="17" t="s">
        <v>252</v>
      </c>
      <c r="B105" s="17">
        <f>+B99+B100+B101+B102+B104</f>
        <v>5437</v>
      </c>
      <c r="C105" s="17">
        <f t="shared" ref="C105:E105" si="38">+C99+C100+C101+C102+C104</f>
        <v>5533</v>
      </c>
      <c r="D105" s="17">
        <f t="shared" si="38"/>
        <v>5765</v>
      </c>
      <c r="E105" s="17">
        <f t="shared" si="38"/>
        <v>0</v>
      </c>
    </row>
    <row r="106" spans="1:5" s="17" customFormat="1">
      <c r="A106" s="17" t="s">
        <v>256</v>
      </c>
      <c r="B106" s="18">
        <f>+B98+B103-B105</f>
        <v>2346</v>
      </c>
      <c r="C106" s="18">
        <f t="shared" ref="C106:E106" si="39">+C98+C103-C105</f>
        <v>1426</v>
      </c>
      <c r="D106" s="18">
        <f t="shared" si="39"/>
        <v>1093</v>
      </c>
      <c r="E106" s="18">
        <f t="shared" si="39"/>
        <v>17550</v>
      </c>
    </row>
    <row r="107" spans="1:5" s="14" customFormat="1">
      <c r="A107" s="14" t="s">
        <v>255</v>
      </c>
      <c r="B107" s="14">
        <v>524</v>
      </c>
      <c r="C107" s="14">
        <v>210</v>
      </c>
      <c r="D107" s="14">
        <v>152</v>
      </c>
    </row>
    <row r="108" spans="1:5" s="17" customFormat="1">
      <c r="A108" s="17" t="s">
        <v>253</v>
      </c>
      <c r="B108" s="18">
        <f>+B106-B107</f>
        <v>1822</v>
      </c>
      <c r="C108" s="18">
        <f t="shared" ref="C108:D108" si="40">+C106-C107</f>
        <v>1216</v>
      </c>
      <c r="D108" s="18">
        <f t="shared" si="40"/>
        <v>941</v>
      </c>
      <c r="E108" s="18">
        <f>+E106-E107</f>
        <v>17550</v>
      </c>
    </row>
    <row r="109" spans="1:5" s="14" customFormat="1">
      <c r="A109" s="14" t="s">
        <v>257</v>
      </c>
      <c r="B109" s="14">
        <v>-53</v>
      </c>
      <c r="C109" s="14">
        <v>-58</v>
      </c>
      <c r="D109" s="14">
        <v>-194</v>
      </c>
    </row>
    <row r="110" spans="1:5" s="17" customFormat="1">
      <c r="A110" s="17" t="s">
        <v>258</v>
      </c>
      <c r="B110" s="18">
        <f>+B108+B109</f>
        <v>1769</v>
      </c>
      <c r="C110" s="18">
        <f t="shared" ref="C110:E110" si="41">+C108+C109</f>
        <v>1158</v>
      </c>
      <c r="D110" s="18">
        <f t="shared" si="41"/>
        <v>747</v>
      </c>
      <c r="E110" s="18">
        <f t="shared" si="41"/>
        <v>17550</v>
      </c>
    </row>
    <row r="111" spans="1:5" s="14" customFormat="1">
      <c r="A111" s="14" t="s">
        <v>262</v>
      </c>
      <c r="B111" s="15">
        <v>10</v>
      </c>
      <c r="C111" s="15">
        <v>11</v>
      </c>
      <c r="D111" s="15">
        <v>12</v>
      </c>
      <c r="E111" s="15"/>
    </row>
    <row r="112" spans="1:5" s="17" customFormat="1">
      <c r="A112" s="17" t="s">
        <v>259</v>
      </c>
      <c r="B112" s="18">
        <f>+B110-B111</f>
        <v>1759</v>
      </c>
      <c r="C112" s="18">
        <f t="shared" ref="C112:E112" si="42">+C110-C111</f>
        <v>1147</v>
      </c>
      <c r="D112" s="18">
        <f t="shared" si="42"/>
        <v>735</v>
      </c>
      <c r="E112" s="18">
        <f t="shared" si="42"/>
        <v>17550</v>
      </c>
    </row>
    <row r="113" spans="1:5" s="17" customFormat="1">
      <c r="A113" s="17" t="s">
        <v>260</v>
      </c>
      <c r="B113" s="17">
        <f>+B101</f>
        <v>722</v>
      </c>
      <c r="C113" s="17">
        <f t="shared" ref="C113:E113" si="43">+C101</f>
        <v>702</v>
      </c>
      <c r="D113" s="17">
        <f t="shared" si="43"/>
        <v>683</v>
      </c>
      <c r="E113" s="17">
        <f t="shared" si="43"/>
        <v>0</v>
      </c>
    </row>
    <row r="114" spans="1:5" s="17" customFormat="1">
      <c r="A114" s="17" t="s">
        <v>261</v>
      </c>
      <c r="B114" s="18">
        <f>+B112+B113</f>
        <v>2481</v>
      </c>
      <c r="C114" s="18">
        <f t="shared" ref="C114:E114" si="44">+C112+C113</f>
        <v>1849</v>
      </c>
      <c r="D114" s="18">
        <f t="shared" si="44"/>
        <v>1418</v>
      </c>
      <c r="E114" s="18">
        <f t="shared" si="44"/>
        <v>17550</v>
      </c>
    </row>
    <row r="115" spans="1:5" s="14" customFormat="1"/>
    <row r="116" spans="1:5" s="14" customFormat="1">
      <c r="A116" s="14" t="s">
        <v>263</v>
      </c>
      <c r="B116" s="15">
        <v>741.6</v>
      </c>
      <c r="C116" s="15">
        <v>724.5</v>
      </c>
      <c r="D116" s="15">
        <v>711.9</v>
      </c>
      <c r="E116" s="15"/>
    </row>
    <row r="117" spans="1:5" s="17" customFormat="1">
      <c r="A117" s="17" t="s">
        <v>264</v>
      </c>
      <c r="B117" s="31">
        <f>+B112/B116</f>
        <v>2.3718985976267528</v>
      </c>
      <c r="C117" s="31">
        <f>+C112/C116</f>
        <v>1.583160800552105</v>
      </c>
      <c r="D117" s="31">
        <f>+D112/D116</f>
        <v>1.0324483775811211</v>
      </c>
    </row>
    <row r="118" spans="1:5" s="3" customFormat="1">
      <c r="B118" s="13"/>
      <c r="C118" s="13"/>
      <c r="D118" s="13"/>
    </row>
    <row r="119" spans="1:5" s="3" customFormat="1">
      <c r="B119" s="3">
        <f>+B94</f>
        <v>2021</v>
      </c>
      <c r="C119" s="3">
        <f>+C94</f>
        <v>2022</v>
      </c>
      <c r="D119" s="3">
        <f>+D94</f>
        <v>2023</v>
      </c>
      <c r="E119" s="3">
        <f>+E94</f>
        <v>2024</v>
      </c>
    </row>
    <row r="120" spans="1:5" s="22" customFormat="1">
      <c r="A120" s="22" t="s">
        <v>261</v>
      </c>
      <c r="B120" s="23">
        <f>+B114</f>
        <v>2481</v>
      </c>
      <c r="C120" s="23">
        <f>+C114</f>
        <v>1849</v>
      </c>
      <c r="D120" s="23">
        <f>+D114</f>
        <v>1418</v>
      </c>
      <c r="E120" s="23">
        <f>+E114</f>
        <v>17550</v>
      </c>
    </row>
    <row r="121" spans="1:5" s="20" customFormat="1">
      <c r="A121" s="20" t="s">
        <v>265</v>
      </c>
      <c r="B121" s="20">
        <v>1769</v>
      </c>
      <c r="C121" s="20">
        <v>1158</v>
      </c>
      <c r="D121" s="20">
        <v>747</v>
      </c>
    </row>
    <row r="122" spans="1:5" s="20" customFormat="1">
      <c r="A122" s="20" t="s">
        <v>257</v>
      </c>
      <c r="B122" s="20">
        <v>53</v>
      </c>
      <c r="C122" s="20">
        <v>58</v>
      </c>
      <c r="D122" s="20">
        <v>194</v>
      </c>
    </row>
    <row r="123" spans="1:5" s="20" customFormat="1">
      <c r="A123" s="20" t="s">
        <v>266</v>
      </c>
      <c r="B123" s="20">
        <v>1243</v>
      </c>
      <c r="C123" s="20">
        <v>1223</v>
      </c>
      <c r="D123" s="20">
        <v>1211</v>
      </c>
    </row>
    <row r="124" spans="1:5" s="20" customFormat="1">
      <c r="A124" s="20" t="s">
        <v>267</v>
      </c>
      <c r="B124" s="20">
        <v>199</v>
      </c>
      <c r="C124" s="20">
        <v>-288</v>
      </c>
      <c r="D124" s="20">
        <v>-438</v>
      </c>
    </row>
    <row r="125" spans="1:5" s="20" customFormat="1">
      <c r="A125" s="20" t="s">
        <v>272</v>
      </c>
      <c r="B125" s="20">
        <v>-1292</v>
      </c>
      <c r="C125" s="20">
        <v>-142</v>
      </c>
      <c r="D125" s="20">
        <v>138</v>
      </c>
    </row>
    <row r="126" spans="1:5" s="20" customFormat="1">
      <c r="A126" s="20" t="s">
        <v>271</v>
      </c>
      <c r="B126" s="20">
        <v>-247</v>
      </c>
      <c r="C126" s="20">
        <v>-182</v>
      </c>
      <c r="D126" s="20">
        <v>-149</v>
      </c>
    </row>
    <row r="127" spans="1:5" s="20" customFormat="1">
      <c r="A127" s="20" t="s">
        <v>268</v>
      </c>
      <c r="B127" s="20">
        <v>-21</v>
      </c>
      <c r="C127" s="20">
        <v>-18</v>
      </c>
      <c r="D127" s="20">
        <v>-22</v>
      </c>
    </row>
    <row r="128" spans="1:5" s="20" customFormat="1">
      <c r="A128" s="20" t="s">
        <v>269</v>
      </c>
      <c r="B128" s="20">
        <v>289</v>
      </c>
      <c r="C128" s="20">
        <v>363</v>
      </c>
      <c r="D128" s="20">
        <v>336</v>
      </c>
    </row>
    <row r="129" spans="1:5" s="20" customFormat="1">
      <c r="A129" s="20" t="s">
        <v>78</v>
      </c>
      <c r="B129" s="20">
        <v>154</v>
      </c>
      <c r="C129" s="20">
        <v>305</v>
      </c>
      <c r="D129" s="20">
        <v>578</v>
      </c>
    </row>
    <row r="130" spans="1:5" s="20" customFormat="1">
      <c r="A130" s="20" t="s">
        <v>270</v>
      </c>
      <c r="B130" s="20">
        <f>-113-442+526+574+57</f>
        <v>602</v>
      </c>
      <c r="C130" s="20">
        <f>-993-1715+807+194+142</f>
        <v>-1565</v>
      </c>
      <c r="D130" s="20">
        <f>358+57-663-11-527</f>
        <v>-786</v>
      </c>
    </row>
    <row r="131" spans="1:5" s="23" customFormat="1">
      <c r="A131" s="23" t="s">
        <v>273</v>
      </c>
      <c r="B131" s="23">
        <f t="shared" ref="B131:C131" si="45">+SUM(B121:B130)</f>
        <v>2749</v>
      </c>
      <c r="C131" s="23">
        <f t="shared" si="45"/>
        <v>912</v>
      </c>
      <c r="D131" s="23">
        <f>+SUM(D121:D130)</f>
        <v>1809</v>
      </c>
      <c r="E131" s="23">
        <f t="shared" ref="E131" si="46">+SUM(E121:E130)</f>
        <v>0</v>
      </c>
    </row>
    <row r="132" spans="1:5" s="23" customFormat="1">
      <c r="A132" s="23" t="s">
        <v>293</v>
      </c>
      <c r="B132" s="23">
        <v>-42</v>
      </c>
      <c r="C132" s="23">
        <v>-40</v>
      </c>
      <c r="D132" s="23">
        <v>-40</v>
      </c>
    </row>
    <row r="133" spans="1:5" s="23" customFormat="1">
      <c r="A133" s="23" t="s">
        <v>294</v>
      </c>
      <c r="B133" s="23">
        <f>+B131+B132</f>
        <v>2707</v>
      </c>
      <c r="C133" s="23">
        <f t="shared" ref="C133:E133" si="47">+C131+C132</f>
        <v>872</v>
      </c>
      <c r="D133" s="23">
        <f t="shared" si="47"/>
        <v>1769</v>
      </c>
      <c r="E133" s="23">
        <f t="shared" si="47"/>
        <v>0</v>
      </c>
    </row>
    <row r="134" spans="1:5" s="23" customFormat="1"/>
    <row r="135" spans="1:5" s="20" customFormat="1">
      <c r="A135" s="20" t="s">
        <v>274</v>
      </c>
      <c r="B135" s="20">
        <v>-573</v>
      </c>
      <c r="C135" s="20">
        <v>-605</v>
      </c>
      <c r="D135" s="20">
        <v>-595</v>
      </c>
    </row>
    <row r="136" spans="1:5" s="20" customFormat="1">
      <c r="A136" s="20" t="s">
        <v>275</v>
      </c>
      <c r="B136" s="20">
        <v>75</v>
      </c>
      <c r="C136" s="20">
        <v>73</v>
      </c>
      <c r="D136" s="20">
        <v>57</v>
      </c>
    </row>
    <row r="137" spans="1:5" s="20" customFormat="1">
      <c r="A137" s="20" t="s">
        <v>276</v>
      </c>
      <c r="B137" s="20">
        <f>0+0</f>
        <v>0</v>
      </c>
      <c r="C137" s="20">
        <f>0-36</f>
        <v>-36</v>
      </c>
      <c r="D137" s="20">
        <v>-1456</v>
      </c>
    </row>
    <row r="138" spans="1:5" s="20" customFormat="1">
      <c r="A138" s="20" t="s">
        <v>277</v>
      </c>
      <c r="B138" s="20">
        <v>-4</v>
      </c>
      <c r="C138" s="20">
        <v>-12</v>
      </c>
      <c r="D138" s="20">
        <v>-32</v>
      </c>
    </row>
    <row r="139" spans="1:5" s="20" customFormat="1">
      <c r="A139" s="20" t="s">
        <v>278</v>
      </c>
      <c r="B139" s="20">
        <v>-204</v>
      </c>
      <c r="C139" s="20">
        <v>-344</v>
      </c>
      <c r="D139" s="20">
        <v>-148</v>
      </c>
    </row>
    <row r="140" spans="1:5" s="20" customFormat="1">
      <c r="A140" s="20" t="s">
        <v>279</v>
      </c>
      <c r="B140" s="20">
        <v>345</v>
      </c>
      <c r="C140" s="20">
        <v>295</v>
      </c>
      <c r="D140" s="20">
        <v>147</v>
      </c>
    </row>
    <row r="141" spans="1:5" s="20" customFormat="1">
      <c r="A141" s="20" t="s">
        <v>280</v>
      </c>
      <c r="B141" s="20">
        <v>0</v>
      </c>
      <c r="C141" s="20">
        <v>0</v>
      </c>
      <c r="D141" s="20">
        <v>42</v>
      </c>
    </row>
    <row r="142" spans="1:5" s="20" customFormat="1">
      <c r="A142" s="20" t="s">
        <v>281</v>
      </c>
      <c r="B142" s="20">
        <v>-1</v>
      </c>
      <c r="C142" s="20">
        <v>-3</v>
      </c>
      <c r="D142" s="20">
        <v>-2</v>
      </c>
    </row>
    <row r="143" spans="1:5" s="23" customFormat="1">
      <c r="A143" s="23" t="s">
        <v>282</v>
      </c>
      <c r="B143" s="23">
        <f>+SUM(B135:B142)</f>
        <v>-362</v>
      </c>
      <c r="C143" s="23">
        <f t="shared" ref="C143:E143" si="48">+SUM(C135:C142)</f>
        <v>-632</v>
      </c>
      <c r="D143" s="23">
        <f t="shared" si="48"/>
        <v>-1987</v>
      </c>
      <c r="E143" s="23">
        <f t="shared" si="48"/>
        <v>0</v>
      </c>
    </row>
    <row r="144" spans="1:5" s="20" customFormat="1"/>
    <row r="145" spans="1:5" s="20" customFormat="1">
      <c r="A145" s="20" t="s">
        <v>283</v>
      </c>
      <c r="B145" s="20">
        <v>13</v>
      </c>
      <c r="C145" s="20">
        <v>-13</v>
      </c>
      <c r="D145" s="20">
        <v>-6</v>
      </c>
    </row>
    <row r="146" spans="1:5" s="20" customFormat="1">
      <c r="A146" s="20" t="s">
        <v>284</v>
      </c>
      <c r="B146" s="20">
        <v>419</v>
      </c>
      <c r="C146" s="20">
        <v>1358</v>
      </c>
      <c r="D146" s="20">
        <v>3429</v>
      </c>
    </row>
    <row r="147" spans="1:5" s="20" customFormat="1">
      <c r="A147" s="20" t="s">
        <v>285</v>
      </c>
      <c r="B147" s="20">
        <v>-421</v>
      </c>
      <c r="C147" s="20">
        <v>-1140</v>
      </c>
      <c r="D147" s="20">
        <v>-2309</v>
      </c>
    </row>
    <row r="148" spans="1:5" s="20" customFormat="1">
      <c r="A148" s="20" t="s">
        <v>286</v>
      </c>
      <c r="B148" s="20">
        <v>-950</v>
      </c>
      <c r="C148" s="20">
        <v>-1000</v>
      </c>
      <c r="D148" s="20">
        <v>-756</v>
      </c>
    </row>
    <row r="149" spans="1:5" s="20" customFormat="1">
      <c r="A149" s="20" t="s">
        <v>287</v>
      </c>
      <c r="B149" s="20">
        <v>100</v>
      </c>
      <c r="C149" s="20">
        <v>88</v>
      </c>
      <c r="D149" s="20">
        <v>31</v>
      </c>
    </row>
    <row r="150" spans="1:5" s="20" customFormat="1">
      <c r="A150" s="20" t="s">
        <v>288</v>
      </c>
      <c r="B150" s="20">
        <v>-397</v>
      </c>
      <c r="C150" s="20">
        <v>-418</v>
      </c>
      <c r="D150" s="20">
        <v>-439</v>
      </c>
    </row>
    <row r="151" spans="1:5" s="20" customFormat="1">
      <c r="A151" s="20" t="s">
        <v>78</v>
      </c>
      <c r="B151" s="20">
        <v>-30</v>
      </c>
      <c r="C151" s="20">
        <v>-55</v>
      </c>
      <c r="D151" s="20">
        <v>-49</v>
      </c>
    </row>
    <row r="152" spans="1:5" s="23" customFormat="1">
      <c r="A152" s="23" t="s">
        <v>289</v>
      </c>
      <c r="B152" s="23">
        <f>+SUM(B145:B151)</f>
        <v>-1266</v>
      </c>
      <c r="C152" s="23">
        <f t="shared" ref="C152:E152" si="49">+SUM(C145:C151)</f>
        <v>-1180</v>
      </c>
      <c r="D152" s="23">
        <f t="shared" si="49"/>
        <v>-99</v>
      </c>
      <c r="E152" s="23">
        <f t="shared" si="49"/>
        <v>0</v>
      </c>
    </row>
    <row r="153" spans="1:5" s="23" customFormat="1"/>
    <row r="154" spans="1:5" s="23" customFormat="1">
      <c r="A154" s="23" t="s">
        <v>295</v>
      </c>
      <c r="B154" s="23">
        <f t="shared" ref="B154:C154" si="50">+B152+B143+B133</f>
        <v>1079</v>
      </c>
      <c r="C154" s="23">
        <f t="shared" si="50"/>
        <v>-940</v>
      </c>
      <c r="D154" s="23">
        <f>+D152+D143+D133</f>
        <v>-317</v>
      </c>
      <c r="E154" s="23">
        <f t="shared" ref="E154" si="51">+E152+E143+E133</f>
        <v>0</v>
      </c>
    </row>
    <row r="155" spans="1:5" s="23" customFormat="1">
      <c r="A155" s="23" t="s">
        <v>331</v>
      </c>
      <c r="B155" s="23">
        <f>B120</f>
        <v>2481</v>
      </c>
      <c r="C155" s="23">
        <f t="shared" ref="C155:E155" si="52">C120</f>
        <v>1849</v>
      </c>
      <c r="D155" s="23">
        <f t="shared" si="52"/>
        <v>1418</v>
      </c>
      <c r="E155" s="23">
        <f t="shared" si="52"/>
        <v>17550</v>
      </c>
    </row>
    <row r="156" spans="1:5" s="20" customFormat="1">
      <c r="A156" s="20" t="s">
        <v>290</v>
      </c>
      <c r="B156" s="20">
        <v>-136</v>
      </c>
      <c r="C156" s="20">
        <v>-278</v>
      </c>
      <c r="D156" s="20">
        <v>-143</v>
      </c>
    </row>
    <row r="157" spans="1:5" s="23" customFormat="1">
      <c r="A157" s="23" t="s">
        <v>296</v>
      </c>
      <c r="B157" s="23">
        <f t="shared" ref="B157:C157" si="53">+B155+B156</f>
        <v>2345</v>
      </c>
      <c r="C157" s="23">
        <f t="shared" si="53"/>
        <v>1571</v>
      </c>
      <c r="D157" s="23">
        <f>+D155+D156</f>
        <v>1275</v>
      </c>
    </row>
    <row r="158" spans="1:5" s="20" customFormat="1">
      <c r="A158" s="20" t="s">
        <v>291</v>
      </c>
      <c r="B158" s="20">
        <v>3873</v>
      </c>
      <c r="C158" s="20">
        <v>4836</v>
      </c>
      <c r="D158" s="20">
        <v>3618</v>
      </c>
    </row>
    <row r="159" spans="1:5" s="23" customFormat="1">
      <c r="A159" s="23" t="s">
        <v>292</v>
      </c>
      <c r="B159" s="23">
        <f t="shared" ref="B159:C159" si="54">+B158+B157</f>
        <v>6218</v>
      </c>
      <c r="C159" s="23">
        <f t="shared" si="54"/>
        <v>6407</v>
      </c>
      <c r="D159" s="23">
        <f>+D158+D157</f>
        <v>4893</v>
      </c>
      <c r="E159" s="23">
        <f>+E158+E157+E156+E152+E143+E131</f>
        <v>0</v>
      </c>
    </row>
    <row r="160" spans="1:5" s="12" customFormat="1"/>
    <row r="161" spans="1:5" s="3" customFormat="1">
      <c r="B161" s="3">
        <v>2021</v>
      </c>
      <c r="C161" s="3">
        <v>2022</v>
      </c>
      <c r="D161" s="3">
        <f>D94</f>
        <v>2023</v>
      </c>
      <c r="E161" s="3">
        <f>E94</f>
        <v>2024</v>
      </c>
    </row>
    <row r="162" spans="1:5" s="15" customFormat="1">
      <c r="A162" s="15" t="s">
        <v>3</v>
      </c>
      <c r="C162" s="15">
        <v>3191</v>
      </c>
      <c r="D162" s="15">
        <v>2644</v>
      </c>
    </row>
    <row r="163" spans="1:5" s="15" customFormat="1">
      <c r="A163" s="15" t="s">
        <v>297</v>
      </c>
      <c r="C163" s="15">
        <v>124</v>
      </c>
      <c r="D163" s="15">
        <v>98</v>
      </c>
    </row>
    <row r="164" spans="1:5" s="15" customFormat="1">
      <c r="A164" s="15" t="s">
        <v>298</v>
      </c>
      <c r="C164" s="15">
        <v>5701</v>
      </c>
      <c r="D164" s="15">
        <v>5488</v>
      </c>
    </row>
    <row r="165" spans="1:5" s="15" customFormat="1">
      <c r="A165" s="15" t="s">
        <v>299</v>
      </c>
      <c r="C165" s="15">
        <v>6811</v>
      </c>
      <c r="D165" s="15">
        <v>6899</v>
      </c>
    </row>
    <row r="166" spans="1:5" s="15" customFormat="1">
      <c r="A166" s="15" t="s">
        <v>78</v>
      </c>
      <c r="C166" s="15">
        <v>968</v>
      </c>
      <c r="D166" s="15">
        <v>1131</v>
      </c>
    </row>
    <row r="167" spans="1:5" s="18" customFormat="1">
      <c r="A167" s="18" t="s">
        <v>300</v>
      </c>
      <c r="B167" s="18">
        <f t="shared" ref="B167:C167" si="55">+SUM(B162:B166)</f>
        <v>0</v>
      </c>
      <c r="C167" s="18">
        <f t="shared" si="55"/>
        <v>16795</v>
      </c>
      <c r="D167" s="18">
        <f>+SUM(D162:D166)</f>
        <v>16260</v>
      </c>
      <c r="E167" s="18">
        <f t="shared" ref="E167" si="56">+SUM(E162:E166)</f>
        <v>0</v>
      </c>
    </row>
    <row r="168" spans="1:5" s="15" customFormat="1">
      <c r="A168" s="15" t="s">
        <v>301</v>
      </c>
      <c r="C168" s="15">
        <v>102</v>
      </c>
      <c r="D168" s="15">
        <v>115</v>
      </c>
    </row>
    <row r="169" spans="1:5" s="15" customFormat="1">
      <c r="A169" s="15" t="s">
        <v>302</v>
      </c>
      <c r="C169" s="15">
        <v>8551</v>
      </c>
      <c r="D169" s="15">
        <v>8956</v>
      </c>
    </row>
    <row r="170" spans="1:5" s="15" customFormat="1">
      <c r="A170" s="15" t="s">
        <v>303</v>
      </c>
      <c r="C170" s="15">
        <v>4297</v>
      </c>
      <c r="D170" s="15">
        <v>4669</v>
      </c>
    </row>
    <row r="171" spans="1:5" s="18" customFormat="1">
      <c r="A171" s="18" t="s">
        <v>304</v>
      </c>
      <c r="B171" s="18">
        <f t="shared" ref="B171:C171" si="57">+B169-B170</f>
        <v>0</v>
      </c>
      <c r="C171" s="18">
        <f t="shared" si="57"/>
        <v>4254</v>
      </c>
      <c r="D171" s="18">
        <f>+D169-D170</f>
        <v>4287</v>
      </c>
      <c r="E171" s="18">
        <f t="shared" ref="E171" si="58">+E169-E170</f>
        <v>0</v>
      </c>
    </row>
    <row r="172" spans="1:5" s="15" customFormat="1">
      <c r="A172" s="15" t="s">
        <v>305</v>
      </c>
      <c r="C172" s="15">
        <v>9962</v>
      </c>
      <c r="D172" s="15">
        <v>10605</v>
      </c>
    </row>
    <row r="173" spans="1:5" s="15" customFormat="1">
      <c r="A173" s="15" t="s">
        <v>306</v>
      </c>
      <c r="C173" s="15">
        <v>9339</v>
      </c>
      <c r="D173" s="15">
        <v>9626</v>
      </c>
    </row>
    <row r="174" spans="1:5" s="15" customFormat="1">
      <c r="A174" s="15" t="s">
        <v>317</v>
      </c>
      <c r="C174" s="15">
        <v>479</v>
      </c>
      <c r="D174" s="15">
        <v>584</v>
      </c>
    </row>
    <row r="175" spans="1:5" s="15" customFormat="1">
      <c r="A175" s="15" t="s">
        <v>307</v>
      </c>
      <c r="C175" s="15">
        <v>1687</v>
      </c>
      <c r="D175" s="15">
        <v>1519</v>
      </c>
    </row>
    <row r="176" spans="1:5" s="18" customFormat="1">
      <c r="A176" s="18" t="s">
        <v>322</v>
      </c>
      <c r="B176" s="18">
        <f t="shared" ref="B176" si="59">+SUM(B171:B175)</f>
        <v>0</v>
      </c>
      <c r="C176" s="18">
        <f>+SUM(C171:C175)</f>
        <v>25721</v>
      </c>
      <c r="D176" s="18">
        <f t="shared" ref="D176:E176" si="60">+SUM(D171:D175)</f>
        <v>26621</v>
      </c>
      <c r="E176" s="18">
        <f t="shared" si="60"/>
        <v>0</v>
      </c>
    </row>
    <row r="177" spans="1:5" s="18" customFormat="1">
      <c r="A177" s="18" t="s">
        <v>308</v>
      </c>
      <c r="B177" s="18">
        <f t="shared" ref="B177:C177" si="61">+B176+B168+B167</f>
        <v>0</v>
      </c>
      <c r="C177" s="18">
        <f t="shared" si="61"/>
        <v>42618</v>
      </c>
      <c r="D177" s="18">
        <f>+D176+D168+D167</f>
        <v>42996</v>
      </c>
      <c r="E177" s="18">
        <f t="shared" ref="E177" si="62">+E176+E168+E167</f>
        <v>0</v>
      </c>
    </row>
    <row r="178" spans="1:5" s="15" customFormat="1">
      <c r="A178" s="15" t="s">
        <v>309</v>
      </c>
      <c r="C178" s="15">
        <v>24</v>
      </c>
      <c r="D178" s="15">
        <v>198</v>
      </c>
    </row>
    <row r="179" spans="1:5" s="15" customFormat="1">
      <c r="A179" s="15" t="s">
        <v>310</v>
      </c>
      <c r="C179" s="15">
        <v>4895</v>
      </c>
      <c r="D179" s="15">
        <v>4280</v>
      </c>
    </row>
    <row r="180" spans="1:5" s="15" customFormat="1">
      <c r="A180" s="15" t="s">
        <v>311</v>
      </c>
      <c r="C180" s="15">
        <v>183</v>
      </c>
      <c r="D180" s="15">
        <v>174</v>
      </c>
    </row>
    <row r="181" spans="1:5" s="15" customFormat="1">
      <c r="A181" s="15" t="s">
        <v>312</v>
      </c>
      <c r="C181" s="15">
        <v>3388</v>
      </c>
      <c r="D181" s="15">
        <v>3406</v>
      </c>
    </row>
    <row r="182" spans="1:5" s="15" customFormat="1">
      <c r="A182" s="15" t="s">
        <v>313</v>
      </c>
      <c r="C182" s="15">
        <v>2254</v>
      </c>
      <c r="D182" s="15">
        <v>2351</v>
      </c>
    </row>
    <row r="183" spans="1:5" s="18" customFormat="1">
      <c r="A183" s="18" t="s">
        <v>314</v>
      </c>
      <c r="B183" s="18">
        <f t="shared" ref="B183:C183" si="63">+SUM(B178:B182)</f>
        <v>0</v>
      </c>
      <c r="C183" s="18">
        <f t="shared" si="63"/>
        <v>10744</v>
      </c>
      <c r="D183" s="18">
        <f>+SUM(D178:D182)</f>
        <v>10409</v>
      </c>
      <c r="E183" s="18">
        <f t="shared" ref="E183" si="64">+SUM(E178:E182)</f>
        <v>0</v>
      </c>
    </row>
    <row r="184" spans="1:5" s="15" customFormat="1">
      <c r="A184" s="15" t="s">
        <v>315</v>
      </c>
      <c r="C184" s="15">
        <v>1283</v>
      </c>
      <c r="D184" s="15">
        <v>2291</v>
      </c>
    </row>
    <row r="185" spans="1:5" s="15" customFormat="1">
      <c r="A185" s="15" t="s">
        <v>316</v>
      </c>
      <c r="C185" s="15">
        <v>1119</v>
      </c>
      <c r="D185" s="15">
        <v>899</v>
      </c>
    </row>
    <row r="186" spans="1:5" s="15" customFormat="1">
      <c r="A186" s="15" t="s">
        <v>318</v>
      </c>
      <c r="C186" s="15">
        <v>2255</v>
      </c>
      <c r="D186" s="15">
        <v>2467</v>
      </c>
    </row>
    <row r="187" spans="1:5" s="15" customFormat="1">
      <c r="A187" s="15" t="s">
        <v>319</v>
      </c>
      <c r="C187" s="15">
        <v>1676</v>
      </c>
      <c r="D187" s="15">
        <v>1651</v>
      </c>
    </row>
    <row r="188" spans="1:5" s="18" customFormat="1">
      <c r="A188" s="18" t="s">
        <v>321</v>
      </c>
      <c r="B188" s="18">
        <f t="shared" ref="B188:C188" si="65">+SUM(B183:B187)</f>
        <v>0</v>
      </c>
      <c r="C188" s="18">
        <f t="shared" si="65"/>
        <v>17077</v>
      </c>
      <c r="D188" s="18">
        <f>+SUM(D183:D187)</f>
        <v>17717</v>
      </c>
      <c r="E188" s="18">
        <f t="shared" ref="E188" si="66">+SUM(E183:E187)</f>
        <v>0</v>
      </c>
    </row>
    <row r="189" spans="1:5" s="18" customFormat="1">
      <c r="A189" s="18" t="s">
        <v>320</v>
      </c>
      <c r="B189" s="18">
        <f t="shared" ref="B189:C189" si="67">+B177-B188</f>
        <v>0</v>
      </c>
      <c r="C189" s="18">
        <f t="shared" si="67"/>
        <v>25541</v>
      </c>
      <c r="D189" s="18">
        <f>+D177-D188</f>
        <v>25279</v>
      </c>
      <c r="E189" s="18">
        <f t="shared" ref="E189" si="68">+E177-E188</f>
        <v>0</v>
      </c>
    </row>
    <row r="190" spans="1:5" s="15" customFormat="1">
      <c r="A190" s="15" t="s">
        <v>323</v>
      </c>
      <c r="C190" s="15">
        <v>7</v>
      </c>
      <c r="D190" s="15">
        <v>7</v>
      </c>
    </row>
    <row r="191" spans="1:5" s="15" customFormat="1">
      <c r="A191" s="15" t="s">
        <v>324</v>
      </c>
      <c r="C191" s="15">
        <v>27851</v>
      </c>
      <c r="D191" s="15">
        <v>27748</v>
      </c>
    </row>
    <row r="192" spans="1:5" s="15" customFormat="1">
      <c r="A192" s="15" t="s">
        <v>325</v>
      </c>
      <c r="C192" s="15">
        <v>250</v>
      </c>
      <c r="D192" s="15">
        <v>-41</v>
      </c>
    </row>
    <row r="193" spans="1:5" s="15" customFormat="1">
      <c r="A193" s="15" t="s">
        <v>326</v>
      </c>
      <c r="C193" s="15">
        <v>-2806</v>
      </c>
      <c r="D193" s="15">
        <v>-2677</v>
      </c>
    </row>
    <row r="194" spans="1:5" s="18" customFormat="1">
      <c r="A194" s="18" t="s">
        <v>327</v>
      </c>
      <c r="B194" s="18">
        <f t="shared" ref="B194:C194" si="69">+SUM(B190:B193)</f>
        <v>0</v>
      </c>
      <c r="C194" s="18">
        <f t="shared" si="69"/>
        <v>25302</v>
      </c>
      <c r="D194" s="18">
        <f>+SUM(D190:D193)</f>
        <v>25037</v>
      </c>
      <c r="E194" s="18">
        <f t="shared" ref="E194" si="70">+SUM(E190:E193)</f>
        <v>0</v>
      </c>
    </row>
    <row r="195" spans="1:5" s="15" customFormat="1">
      <c r="A195" s="15" t="s">
        <v>328</v>
      </c>
      <c r="C195" s="15">
        <v>239</v>
      </c>
      <c r="D195" s="15">
        <v>242</v>
      </c>
    </row>
    <row r="196" spans="1:5" s="18" customFormat="1">
      <c r="A196" s="18" t="s">
        <v>329</v>
      </c>
      <c r="B196" s="18">
        <f t="shared" ref="B196:C196" si="71">+B195+B194</f>
        <v>0</v>
      </c>
      <c r="C196" s="18">
        <f t="shared" si="71"/>
        <v>25541</v>
      </c>
      <c r="D196" s="18">
        <f>+D195+D194</f>
        <v>25279</v>
      </c>
      <c r="E196" s="18">
        <f t="shared" ref="E196" si="72">+E195+E194</f>
        <v>0</v>
      </c>
    </row>
    <row r="197" spans="1:5" s="18" customFormat="1">
      <c r="A197" s="18" t="s">
        <v>330</v>
      </c>
      <c r="B197" s="18">
        <f>+B196+B188</f>
        <v>0</v>
      </c>
      <c r="C197" s="18">
        <f>+C196+C188</f>
        <v>42618</v>
      </c>
      <c r="D197" s="18">
        <f>+D196+D188</f>
        <v>42996</v>
      </c>
      <c r="E197" s="18">
        <f>+E196+E188</f>
        <v>0</v>
      </c>
    </row>
    <row r="198" spans="1:5">
      <c r="B198">
        <f t="shared" ref="B198:D198" si="73">+B161</f>
        <v>2021</v>
      </c>
      <c r="C198">
        <f t="shared" si="73"/>
        <v>2022</v>
      </c>
      <c r="D198">
        <f>+D161</f>
        <v>2023</v>
      </c>
      <c r="E198">
        <f>+E161</f>
        <v>2024</v>
      </c>
    </row>
    <row r="199" spans="1:5" s="18" customFormat="1">
      <c r="A199" s="18" t="s">
        <v>299</v>
      </c>
      <c r="B199" s="18">
        <f>+SUM(B200:B202)</f>
        <v>0</v>
      </c>
      <c r="C199" s="18">
        <f t="shared" ref="C199:E199" si="74">+SUM(C200:C202)</f>
        <v>6811</v>
      </c>
      <c r="D199" s="18">
        <f t="shared" si="74"/>
        <v>6899</v>
      </c>
      <c r="E199" s="18">
        <f t="shared" si="74"/>
        <v>0</v>
      </c>
    </row>
    <row r="200" spans="1:5" s="32" customFormat="1">
      <c r="A200" s="32" t="s">
        <v>380</v>
      </c>
      <c r="C200" s="32">
        <v>3260</v>
      </c>
      <c r="D200" s="32">
        <v>3273</v>
      </c>
    </row>
    <row r="201" spans="1:5" s="32" customFormat="1">
      <c r="A201" s="32" t="s">
        <v>381</v>
      </c>
      <c r="C201" s="32">
        <v>2689</v>
      </c>
      <c r="D201" s="32">
        <v>2775</v>
      </c>
    </row>
    <row r="202" spans="1:5" s="32" customFormat="1">
      <c r="A202" s="32" t="s">
        <v>382</v>
      </c>
      <c r="C202" s="32">
        <v>862</v>
      </c>
      <c r="D202" s="32">
        <v>851</v>
      </c>
    </row>
    <row r="203" spans="1:5">
      <c r="B203">
        <f t="shared" ref="B203:E203" si="75">+B198</f>
        <v>2021</v>
      </c>
      <c r="C203">
        <f t="shared" si="75"/>
        <v>2022</v>
      </c>
      <c r="D203">
        <f t="shared" si="75"/>
        <v>2023</v>
      </c>
      <c r="E203">
        <f>+E198</f>
        <v>2024</v>
      </c>
    </row>
    <row r="204" spans="1:5" s="18" customFormat="1">
      <c r="A204" s="18" t="s">
        <v>302</v>
      </c>
      <c r="B204" s="18">
        <f>+SUM(B205:B209)</f>
        <v>0</v>
      </c>
      <c r="C204" s="18">
        <f t="shared" ref="C204:E204" si="76">+SUM(C205:C209)</f>
        <v>4254</v>
      </c>
      <c r="D204" s="18">
        <f t="shared" si="76"/>
        <v>4287</v>
      </c>
      <c r="E204" s="18">
        <f t="shared" si="76"/>
        <v>0</v>
      </c>
    </row>
    <row r="205" spans="1:5" s="15" customFormat="1">
      <c r="A205" s="32" t="s">
        <v>383</v>
      </c>
      <c r="C205" s="15">
        <v>416</v>
      </c>
      <c r="D205" s="15">
        <v>440</v>
      </c>
    </row>
    <row r="206" spans="1:5" s="15" customFormat="1">
      <c r="A206" s="32" t="s">
        <v>384</v>
      </c>
      <c r="C206" s="15">
        <v>1541</v>
      </c>
      <c r="D206" s="15">
        <v>1671</v>
      </c>
    </row>
    <row r="207" spans="1:5" s="15" customFormat="1">
      <c r="A207" s="32" t="s">
        <v>385</v>
      </c>
      <c r="C207" s="15">
        <v>6077</v>
      </c>
      <c r="D207" s="15">
        <v>6315</v>
      </c>
    </row>
    <row r="208" spans="1:5" s="15" customFormat="1">
      <c r="A208" s="32" t="s">
        <v>386</v>
      </c>
      <c r="C208" s="15">
        <v>517</v>
      </c>
      <c r="D208" s="15">
        <v>530</v>
      </c>
    </row>
    <row r="209" spans="1:5" s="15" customFormat="1">
      <c r="A209" s="32" t="s">
        <v>387</v>
      </c>
      <c r="C209" s="15">
        <v>-4297</v>
      </c>
      <c r="D209" s="15">
        <v>-4669</v>
      </c>
    </row>
    <row r="210" spans="1:5">
      <c r="B210">
        <f>+B203</f>
        <v>2021</v>
      </c>
      <c r="C210">
        <f t="shared" ref="C210:E210" si="77">+C203</f>
        <v>2022</v>
      </c>
      <c r="D210">
        <f t="shared" si="77"/>
        <v>2023</v>
      </c>
      <c r="E210">
        <f t="shared" si="77"/>
        <v>2024</v>
      </c>
    </row>
    <row r="211" spans="1:5" s="18" customFormat="1">
      <c r="A211" s="18" t="s">
        <v>447</v>
      </c>
      <c r="B211" s="18">
        <f>+B213+B215+B217+B219+B221</f>
        <v>0</v>
      </c>
      <c r="C211" s="18">
        <f>+C213+C215+C217+C219+C221</f>
        <v>12092</v>
      </c>
      <c r="D211" s="18">
        <f t="shared" ref="C211:E211" si="78">+D213+D215+D217+D219+D221</f>
        <v>13073</v>
      </c>
      <c r="E211" s="18">
        <f t="shared" si="78"/>
        <v>0</v>
      </c>
    </row>
    <row r="212" spans="1:5" s="18" customFormat="1">
      <c r="A212" s="18" t="s">
        <v>448</v>
      </c>
      <c r="B212" s="18">
        <f>+B214+B216+B218+B220+B222</f>
        <v>0</v>
      </c>
      <c r="C212" s="18">
        <f>+C214+C216+C218+C220+C222</f>
        <v>9329</v>
      </c>
      <c r="D212" s="18">
        <f t="shared" ref="C212:E212" si="79">+D214+D216+D218+D220+D222</f>
        <v>9621</v>
      </c>
      <c r="E212" s="18">
        <f t="shared" si="79"/>
        <v>0</v>
      </c>
    </row>
    <row r="213" spans="1:5" s="15" customFormat="1">
      <c r="A213" s="32" t="s">
        <v>388</v>
      </c>
      <c r="C213" s="15">
        <v>6291</v>
      </c>
      <c r="D213" s="15">
        <v>6291</v>
      </c>
    </row>
    <row r="214" spans="1:5" s="15" customFormat="1">
      <c r="A214" s="32" t="s">
        <v>389</v>
      </c>
      <c r="C214" s="15">
        <v>5465</v>
      </c>
      <c r="D214" s="15">
        <v>5210</v>
      </c>
    </row>
    <row r="215" spans="1:5" s="15" customFormat="1">
      <c r="A215" s="32" t="s">
        <v>390</v>
      </c>
      <c r="C215" s="15">
        <v>1912</v>
      </c>
      <c r="D215" s="15">
        <v>2427</v>
      </c>
    </row>
    <row r="216" spans="1:5" s="15" customFormat="1">
      <c r="A216" s="32" t="s">
        <v>391</v>
      </c>
      <c r="C216" s="15">
        <v>1327</v>
      </c>
      <c r="D216" s="15">
        <v>1693</v>
      </c>
    </row>
    <row r="217" spans="1:5" s="15" customFormat="1">
      <c r="A217" s="32" t="s">
        <v>392</v>
      </c>
      <c r="C217" s="15">
        <v>1485</v>
      </c>
      <c r="D217" s="15">
        <v>1849</v>
      </c>
    </row>
    <row r="218" spans="1:5" s="15" customFormat="1">
      <c r="A218" s="32" t="s">
        <v>393</v>
      </c>
      <c r="C218" s="15">
        <v>655</v>
      </c>
      <c r="D218" s="15">
        <v>845</v>
      </c>
    </row>
    <row r="219" spans="1:5" s="15" customFormat="1">
      <c r="A219" s="32" t="s">
        <v>394</v>
      </c>
      <c r="C219" s="15">
        <v>2009</v>
      </c>
      <c r="D219" s="15">
        <v>2111</v>
      </c>
    </row>
    <row r="220" spans="1:5" s="15" customFormat="1">
      <c r="A220" s="32" t="s">
        <v>395</v>
      </c>
      <c r="C220" s="15">
        <v>1758</v>
      </c>
      <c r="D220" s="15">
        <v>1772</v>
      </c>
    </row>
    <row r="221" spans="1:5" s="15" customFormat="1">
      <c r="A221" s="32" t="s">
        <v>396</v>
      </c>
      <c r="C221" s="15">
        <v>395</v>
      </c>
      <c r="D221" s="15">
        <v>395</v>
      </c>
    </row>
    <row r="222" spans="1:5" s="15" customFormat="1">
      <c r="A222" s="32" t="s">
        <v>397</v>
      </c>
      <c r="C222" s="15">
        <v>124</v>
      </c>
      <c r="D222" s="15">
        <v>101</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D33"/>
  <sheetViews>
    <sheetView zoomScale="85" zoomScaleNormal="85" workbookViewId="0">
      <selection activeCell="C47" sqref="C47"/>
    </sheetView>
  </sheetViews>
  <sheetFormatPr defaultRowHeight="14.5"/>
  <cols>
    <col min="2" max="2" width="7.26953125" bestFit="1" customWidth="1"/>
    <col min="3" max="3" width="45.08984375" customWidth="1"/>
  </cols>
  <sheetData>
    <row r="1" spans="1:4">
      <c r="A1" s="1" t="s">
        <v>6</v>
      </c>
    </row>
    <row r="3" spans="1:4">
      <c r="B3" t="s">
        <v>430</v>
      </c>
      <c r="C3" t="s">
        <v>398</v>
      </c>
      <c r="D3" t="s">
        <v>399</v>
      </c>
    </row>
    <row r="5" spans="1:4">
      <c r="C5" t="s">
        <v>428</v>
      </c>
      <c r="D5" t="s">
        <v>429</v>
      </c>
    </row>
    <row r="7" spans="1:4">
      <c r="B7" t="s">
        <v>430</v>
      </c>
      <c r="C7" t="s">
        <v>400</v>
      </c>
      <c r="D7" t="s">
        <v>401</v>
      </c>
    </row>
    <row r="9" spans="1:4">
      <c r="B9" t="s">
        <v>430</v>
      </c>
      <c r="C9" t="s">
        <v>402</v>
      </c>
      <c r="D9" t="s">
        <v>403</v>
      </c>
    </row>
    <row r="11" spans="1:4">
      <c r="C11" t="s">
        <v>404</v>
      </c>
      <c r="D11" t="s">
        <v>405</v>
      </c>
    </row>
    <row r="13" spans="1:4">
      <c r="C13" t="s">
        <v>406</v>
      </c>
      <c r="D13" t="s">
        <v>407</v>
      </c>
    </row>
    <row r="15" spans="1:4">
      <c r="C15" t="s">
        <v>408</v>
      </c>
      <c r="D15" t="s">
        <v>409</v>
      </c>
    </row>
    <row r="17" spans="3:4">
      <c r="C17" t="s">
        <v>410</v>
      </c>
      <c r="D17" t="s">
        <v>411</v>
      </c>
    </row>
    <row r="19" spans="3:4">
      <c r="C19" t="s">
        <v>412</v>
      </c>
      <c r="D19" t="s">
        <v>413</v>
      </c>
    </row>
    <row r="21" spans="3:4">
      <c r="C21" t="s">
        <v>414</v>
      </c>
      <c r="D21" t="s">
        <v>415</v>
      </c>
    </row>
    <row r="23" spans="3:4">
      <c r="C23" t="s">
        <v>416</v>
      </c>
      <c r="D23" t="s">
        <v>417</v>
      </c>
    </row>
    <row r="25" spans="3:4">
      <c r="C25" t="s">
        <v>418</v>
      </c>
      <c r="D25" t="s">
        <v>419</v>
      </c>
    </row>
    <row r="27" spans="3:4">
      <c r="C27" t="s">
        <v>420</v>
      </c>
      <c r="D27" t="s">
        <v>421</v>
      </c>
    </row>
    <row r="29" spans="3:4">
      <c r="C29" t="s">
        <v>422</v>
      </c>
      <c r="D29" s="33" t="s">
        <v>423</v>
      </c>
    </row>
    <row r="31" spans="3:4">
      <c r="C31" t="s">
        <v>424</v>
      </c>
      <c r="D31" t="s">
        <v>425</v>
      </c>
    </row>
    <row r="33" spans="3:4">
      <c r="C33" t="s">
        <v>426</v>
      </c>
      <c r="D33" t="s">
        <v>427</v>
      </c>
    </row>
  </sheetData>
  <hyperlinks>
    <hyperlink ref="A1" location="main!A1" display="main" xr:uid="{51A7B64E-206B-43A3-AC74-7B41F1B3F32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I34"/>
  <sheetViews>
    <sheetView workbookViewId="0">
      <selection activeCell="C28" sqref="C28"/>
    </sheetView>
  </sheetViews>
  <sheetFormatPr defaultRowHeight="14.5"/>
  <sheetData>
    <row r="1" spans="1:2">
      <c r="A1" s="1" t="s">
        <v>6</v>
      </c>
    </row>
    <row r="2" spans="1:2">
      <c r="B2" t="s">
        <v>16</v>
      </c>
    </row>
    <row r="4" spans="1:2">
      <c r="B4" s="1" t="s">
        <v>134</v>
      </c>
    </row>
    <row r="6" spans="1:2">
      <c r="B6" s="1" t="s">
        <v>93</v>
      </c>
    </row>
    <row r="8" spans="1:2">
      <c r="B8" s="1" t="s">
        <v>113</v>
      </c>
    </row>
    <row r="10" spans="1:2">
      <c r="B10" s="1" t="s">
        <v>184</v>
      </c>
    </row>
    <row r="12" spans="1:2">
      <c r="B12" s="1" t="s">
        <v>78</v>
      </c>
    </row>
    <row r="34" spans="9:9">
      <c r="I34" s="5"/>
    </row>
  </sheetData>
  <hyperlinks>
    <hyperlink ref="A1" location="main!A1" display="main" xr:uid="{7ECCAD04-ADB8-4C7E-9CEE-A8766A143CB8}"/>
    <hyperlink ref="B4" location="weedControl!A1" display="Weed Control" xr:uid="{FF4AC168-E4EE-402D-9641-C17BD36592DE}"/>
    <hyperlink ref="B6" location="insectNematode!A1" display="Insect and Nematode Management" xr:uid="{ADF3E322-7665-47C4-AE0F-A4A3574139D0}"/>
    <hyperlink ref="B8" location="diseaseMgmt!A1" display="Disease Management" xr:uid="{CCF0F74F-1FA3-47D2-932F-6949E97B110C}"/>
    <hyperlink ref="B10" location="NitrogenMgmt!A1" display="Nitrogren Management" xr:uid="{DD3ADAF7-A851-4E3E-A9FD-8DA8CDDFDE5A}"/>
    <hyperlink ref="B12" location="otherCropProtection!A1" display="Other" xr:uid="{92971CE7-448B-4AA4-B803-C443D92AB688}"/>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E941-9536-4BF6-836A-6A7710BB527F}">
  <dimension ref="A1:H3"/>
  <sheetViews>
    <sheetView workbookViewId="0">
      <selection activeCell="C32" sqref="C32"/>
    </sheetView>
  </sheetViews>
  <sheetFormatPr defaultRowHeight="14.5"/>
  <sheetData>
    <row r="1" spans="1:8">
      <c r="A1" s="1" t="s">
        <v>6</v>
      </c>
    </row>
    <row r="2" spans="1:8">
      <c r="B2" s="5" t="s">
        <v>188</v>
      </c>
      <c r="C2" s="5" t="s">
        <v>192</v>
      </c>
      <c r="D2" s="5" t="s">
        <v>194</v>
      </c>
      <c r="E2" s="5" t="s">
        <v>189</v>
      </c>
      <c r="F2" s="5" t="s">
        <v>190</v>
      </c>
      <c r="G2" s="5" t="s">
        <v>134</v>
      </c>
      <c r="H2" s="5" t="s">
        <v>191</v>
      </c>
    </row>
    <row r="3" spans="1:8">
      <c r="B3" t="s">
        <v>187</v>
      </c>
    </row>
  </sheetData>
  <hyperlinks>
    <hyperlink ref="A1" location="main!A1" display="main" xr:uid="{F8AC2186-6F74-4BB5-B3C8-2698EDA20FC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E5DFD-646A-417D-B6A0-B329C1A8B799}">
  <dimension ref="A1:H22"/>
  <sheetViews>
    <sheetView workbookViewId="0">
      <selection activeCell="C50" sqref="C50"/>
    </sheetView>
  </sheetViews>
  <sheetFormatPr defaultRowHeight="14.5"/>
  <sheetData>
    <row r="1" spans="1:8">
      <c r="A1" s="1" t="s">
        <v>6</v>
      </c>
    </row>
    <row r="2" spans="1:8">
      <c r="B2" s="5" t="s">
        <v>188</v>
      </c>
      <c r="C2" s="5" t="s">
        <v>192</v>
      </c>
      <c r="D2" s="5" t="s">
        <v>194</v>
      </c>
      <c r="E2" s="5" t="s">
        <v>189</v>
      </c>
      <c r="F2" s="5" t="s">
        <v>190</v>
      </c>
      <c r="G2" s="5" t="s">
        <v>134</v>
      </c>
      <c r="H2" s="5" t="s">
        <v>191</v>
      </c>
    </row>
    <row r="3" spans="1:8">
      <c r="B3" t="s">
        <v>114</v>
      </c>
    </row>
    <row r="4" spans="1:8">
      <c r="B4" t="s">
        <v>115</v>
      </c>
    </row>
    <row r="5" spans="1:8">
      <c r="B5" t="s">
        <v>116</v>
      </c>
    </row>
    <row r="6" spans="1:8">
      <c r="B6" t="s">
        <v>117</v>
      </c>
    </row>
    <row r="7" spans="1:8">
      <c r="B7" t="s">
        <v>118</v>
      </c>
    </row>
    <row r="8" spans="1:8">
      <c r="B8" t="s">
        <v>119</v>
      </c>
    </row>
    <row r="9" spans="1:8">
      <c r="B9" t="s">
        <v>120</v>
      </c>
    </row>
    <row r="10" spans="1:8">
      <c r="B10" t="s">
        <v>121</v>
      </c>
    </row>
    <row r="11" spans="1:8">
      <c r="B11" t="s">
        <v>122</v>
      </c>
    </row>
    <row r="12" spans="1:8">
      <c r="B12" t="s">
        <v>123</v>
      </c>
    </row>
    <row r="13" spans="1:8">
      <c r="B13" t="s">
        <v>124</v>
      </c>
    </row>
    <row r="14" spans="1:8">
      <c r="B14" t="s">
        <v>125</v>
      </c>
    </row>
    <row r="15" spans="1:8">
      <c r="B15" t="s">
        <v>126</v>
      </c>
    </row>
    <row r="16" spans="1:8">
      <c r="B16" t="s">
        <v>127</v>
      </c>
    </row>
    <row r="17" spans="2:2">
      <c r="B17" t="s">
        <v>128</v>
      </c>
    </row>
    <row r="18" spans="2:2">
      <c r="B18" t="s">
        <v>129</v>
      </c>
    </row>
    <row r="19" spans="2:2">
      <c r="B19" t="s">
        <v>130</v>
      </c>
    </row>
    <row r="20" spans="2:2">
      <c r="B20" t="s">
        <v>131</v>
      </c>
    </row>
    <row r="21" spans="2:2">
      <c r="B21" t="s">
        <v>132</v>
      </c>
    </row>
    <row r="22" spans="2:2">
      <c r="B22" t="s">
        <v>133</v>
      </c>
    </row>
  </sheetData>
  <hyperlinks>
    <hyperlink ref="A1" location="main!A1" display="main" xr:uid="{F696ACC5-8E88-4138-9D98-AC965374584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6F14C-2D87-4096-8548-86FEAC25448C}">
  <dimension ref="A1:H4"/>
  <sheetViews>
    <sheetView workbookViewId="0"/>
  </sheetViews>
  <sheetFormatPr defaultRowHeight="14.5"/>
  <sheetData>
    <row r="1" spans="1:8">
      <c r="A1" s="1" t="s">
        <v>6</v>
      </c>
    </row>
    <row r="2" spans="1:8">
      <c r="B2" s="5" t="s">
        <v>188</v>
      </c>
      <c r="C2" s="5" t="s">
        <v>192</v>
      </c>
      <c r="D2" s="5" t="s">
        <v>194</v>
      </c>
      <c r="E2" s="5" t="s">
        <v>189</v>
      </c>
      <c r="F2" s="5" t="s">
        <v>190</v>
      </c>
      <c r="G2" s="5" t="s">
        <v>134</v>
      </c>
      <c r="H2" s="5" t="s">
        <v>191</v>
      </c>
    </row>
    <row r="3" spans="1:8">
      <c r="B3" t="s">
        <v>185</v>
      </c>
    </row>
    <row r="4" spans="1:8">
      <c r="B4" t="s">
        <v>186</v>
      </c>
    </row>
  </sheetData>
  <hyperlinks>
    <hyperlink ref="A1" location="main!A1" display="main" xr:uid="{5048E1D9-EA65-4C6D-90AB-FC70DACF081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83A5D8DE-0648-4A0C-B4AF-F5893DCE04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model</vt:lpstr>
      <vt:lpstr>Litigation</vt:lpstr>
      <vt:lpstr>Seed</vt:lpstr>
      <vt:lpstr>CropProtection</vt:lpstr>
      <vt:lpstr>otherCropProtection</vt:lpstr>
      <vt:lpstr>diseaseMgmt</vt:lpstr>
      <vt:lpstr>NitrogenMgmt</vt:lpstr>
      <vt:lpstr>weedControl</vt:lpstr>
      <vt:lpstr>insectNematode</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2025-01-25T23:39:56Z</dcterms:modified>
</cp:coreProperties>
</file>