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rey\github\models\"/>
    </mc:Choice>
  </mc:AlternateContent>
  <xr:revisionPtr revIDLastSave="0" documentId="13_ncr:1_{387A3EB6-04B3-4DC3-8736-C607B133690E}" xr6:coauthVersionLast="47" xr6:coauthVersionMax="47" xr10:uidLastSave="{00000000-0000-0000-0000-000000000000}"/>
  <bookViews>
    <workbookView xWindow="4180" yWindow="4180" windowWidth="28800" windowHeight="15370" xr2:uid="{00000000-000D-0000-FFFF-FFFF00000000}"/>
  </bookViews>
  <sheets>
    <sheet name="main" sheetId="1" r:id="rId1"/>
    <sheet name="model" sheetId="7" r:id="rId2"/>
    <sheet name="parts" sheetId="5" r:id="rId3"/>
    <sheet name="notes" sheetId="6" r:id="rId4"/>
    <sheet name="Manufacturing" sheetId="3" r:id="rId5"/>
    <sheet name="ModelOLD" sheetId="2" r:id="rId6"/>
    <sheet name="IP" sheetId="4" r:id="rId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119" i="7" l="1"/>
  <c r="P118" i="7"/>
  <c r="P117" i="7"/>
  <c r="P115" i="7"/>
  <c r="P114" i="7"/>
  <c r="P112" i="7"/>
  <c r="P106" i="7"/>
  <c r="P103" i="7"/>
  <c r="P99" i="7"/>
  <c r="P92" i="7"/>
  <c r="P84" i="7"/>
  <c r="M118" i="7"/>
  <c r="M112" i="7"/>
  <c r="M114" i="7" s="1"/>
  <c r="M99" i="7"/>
  <c r="M103" i="7" s="1"/>
  <c r="M84" i="7"/>
  <c r="M72" i="7"/>
  <c r="M42" i="7"/>
  <c r="M35" i="7"/>
  <c r="M30" i="7"/>
  <c r="M74" i="7" s="1"/>
  <c r="M28" i="7"/>
  <c r="M20" i="7"/>
  <c r="L112" i="7"/>
  <c r="L114" i="7" s="1"/>
  <c r="L99" i="7"/>
  <c r="L103" i="7" s="1"/>
  <c r="L84" i="7"/>
  <c r="L72" i="7"/>
  <c r="L42" i="7"/>
  <c r="L37" i="7"/>
  <c r="L35" i="7"/>
  <c r="L30" i="7"/>
  <c r="L74" i="7" s="1"/>
  <c r="L28" i="7"/>
  <c r="L20" i="7"/>
  <c r="K112" i="7"/>
  <c r="K114" i="7" s="1"/>
  <c r="K99" i="7"/>
  <c r="K103" i="7" s="1"/>
  <c r="K84" i="7"/>
  <c r="K72" i="7"/>
  <c r="K42" i="7"/>
  <c r="K37" i="7"/>
  <c r="K35" i="7"/>
  <c r="K30" i="7"/>
  <c r="K74" i="7" s="1"/>
  <c r="K28" i="7"/>
  <c r="K20" i="7"/>
  <c r="J112" i="7"/>
  <c r="J114" i="7" s="1"/>
  <c r="J99" i="7"/>
  <c r="J103" i="7" s="1"/>
  <c r="J84" i="7"/>
  <c r="J119" i="7" s="1"/>
  <c r="J72" i="7"/>
  <c r="J42" i="7"/>
  <c r="J35" i="7"/>
  <c r="J30" i="7"/>
  <c r="J74" i="7" s="1"/>
  <c r="J28" i="7"/>
  <c r="J20" i="7"/>
  <c r="O113" i="7"/>
  <c r="O111" i="7"/>
  <c r="O110" i="7"/>
  <c r="O109" i="7"/>
  <c r="O108" i="7"/>
  <c r="O104" i="7"/>
  <c r="O102" i="7"/>
  <c r="O101" i="7"/>
  <c r="O100" i="7"/>
  <c r="O98" i="7"/>
  <c r="O97" i="7"/>
  <c r="O96" i="7"/>
  <c r="O95" i="7"/>
  <c r="O91" i="7"/>
  <c r="O90" i="7"/>
  <c r="O89" i="7"/>
  <c r="O88" i="7"/>
  <c r="O87" i="7"/>
  <c r="O86" i="7"/>
  <c r="O85" i="7"/>
  <c r="O83" i="7"/>
  <c r="O82" i="7"/>
  <c r="O81" i="7"/>
  <c r="O80" i="7"/>
  <c r="O79" i="7"/>
  <c r="O78" i="7"/>
  <c r="O77" i="7"/>
  <c r="O76" i="7"/>
  <c r="F27" i="7"/>
  <c r="F26" i="7"/>
  <c r="F25" i="7"/>
  <c r="F24" i="7"/>
  <c r="F23" i="7"/>
  <c r="F22" i="7"/>
  <c r="F19" i="7"/>
  <c r="F18" i="7"/>
  <c r="F17" i="7"/>
  <c r="F16" i="7"/>
  <c r="F15" i="7"/>
  <c r="F14" i="7"/>
  <c r="F13" i="7"/>
  <c r="F12" i="7"/>
  <c r="F11" i="7"/>
  <c r="F63" i="7"/>
  <c r="P72" i="7"/>
  <c r="O72" i="7"/>
  <c r="P28" i="7"/>
  <c r="O28" i="7"/>
  <c r="O20" i="7"/>
  <c r="P30" i="7"/>
  <c r="P74" i="7" s="1"/>
  <c r="O30" i="7"/>
  <c r="O74" i="7" s="1"/>
  <c r="O41" i="7"/>
  <c r="O39" i="7"/>
  <c r="O54" i="7"/>
  <c r="O53" i="7"/>
  <c r="O47" i="7"/>
  <c r="O46" i="7"/>
  <c r="O44" i="7"/>
  <c r="O40" i="7"/>
  <c r="O38" i="7"/>
  <c r="O36" i="7"/>
  <c r="O34" i="7"/>
  <c r="O33" i="7"/>
  <c r="O32" i="7"/>
  <c r="I63" i="7"/>
  <c r="D65" i="7"/>
  <c r="E65" i="7" s="1"/>
  <c r="F65" i="7" s="1"/>
  <c r="H71" i="7"/>
  <c r="I71" i="7" s="1"/>
  <c r="D62" i="7"/>
  <c r="E62" i="7" s="1"/>
  <c r="F62" i="7" s="1"/>
  <c r="H70" i="7"/>
  <c r="I70" i="7" s="1"/>
  <c r="H69" i="7"/>
  <c r="I69" i="7" s="1"/>
  <c r="H68" i="7"/>
  <c r="I68" i="7" s="1"/>
  <c r="H67" i="7"/>
  <c r="I67" i="7" s="1"/>
  <c r="H66" i="7"/>
  <c r="I66" i="7" s="1"/>
  <c r="H65" i="7"/>
  <c r="I65" i="7" s="1"/>
  <c r="H64" i="7"/>
  <c r="I64" i="7" s="1"/>
  <c r="H62" i="7"/>
  <c r="I62" i="7" s="1"/>
  <c r="H61" i="7"/>
  <c r="I61" i="7" s="1"/>
  <c r="H60" i="7"/>
  <c r="I60" i="7" s="1"/>
  <c r="D71" i="7"/>
  <c r="E71" i="7" s="1"/>
  <c r="F71" i="7" s="1"/>
  <c r="D70" i="7"/>
  <c r="E70" i="7" s="1"/>
  <c r="F70" i="7" s="1"/>
  <c r="D69" i="7"/>
  <c r="E69" i="7" s="1"/>
  <c r="F69" i="7" s="1"/>
  <c r="D68" i="7"/>
  <c r="E68" i="7" s="1"/>
  <c r="F68" i="7" s="1"/>
  <c r="D66" i="7"/>
  <c r="E66" i="7" s="1"/>
  <c r="F66" i="7" s="1"/>
  <c r="D67" i="7"/>
  <c r="E67" i="7" s="1"/>
  <c r="F67" i="7" s="1"/>
  <c r="D64" i="7"/>
  <c r="E64" i="7" s="1"/>
  <c r="F64" i="7" s="1"/>
  <c r="D61" i="7"/>
  <c r="E61" i="7" s="1"/>
  <c r="F61" i="7" s="1"/>
  <c r="D60" i="7"/>
  <c r="E60" i="7" s="1"/>
  <c r="F60" i="7" s="1"/>
  <c r="G72" i="7"/>
  <c r="C72" i="7"/>
  <c r="H112" i="7"/>
  <c r="H114" i="7" s="1"/>
  <c r="G112" i="7"/>
  <c r="G114" i="7" s="1"/>
  <c r="F112" i="7"/>
  <c r="F114" i="7" s="1"/>
  <c r="E112" i="7"/>
  <c r="E114" i="7" s="1"/>
  <c r="D112" i="7"/>
  <c r="D114" i="7" s="1"/>
  <c r="C112" i="7"/>
  <c r="C114" i="7" s="1"/>
  <c r="H99" i="7"/>
  <c r="H103" i="7" s="1"/>
  <c r="G99" i="7"/>
  <c r="G103" i="7" s="1"/>
  <c r="F99" i="7"/>
  <c r="F103" i="7" s="1"/>
  <c r="E99" i="7"/>
  <c r="E103" i="7" s="1"/>
  <c r="D99" i="7"/>
  <c r="D103" i="7" s="1"/>
  <c r="C99" i="7"/>
  <c r="C103" i="7" s="1"/>
  <c r="H84" i="7"/>
  <c r="G84" i="7"/>
  <c r="F84" i="7"/>
  <c r="F92" i="7" s="1"/>
  <c r="E84" i="7"/>
  <c r="D84" i="7"/>
  <c r="C84" i="7"/>
  <c r="H42" i="7"/>
  <c r="G42" i="7"/>
  <c r="F42" i="7"/>
  <c r="E42" i="7"/>
  <c r="D42" i="7"/>
  <c r="C42" i="7"/>
  <c r="H35" i="7"/>
  <c r="H37" i="7" s="1"/>
  <c r="G35" i="7"/>
  <c r="G37" i="7" s="1"/>
  <c r="F35" i="7"/>
  <c r="F37" i="7" s="1"/>
  <c r="E35" i="7"/>
  <c r="E37" i="7" s="1"/>
  <c r="D35" i="7"/>
  <c r="D37" i="7" s="1"/>
  <c r="C35" i="7"/>
  <c r="C37" i="7" s="1"/>
  <c r="H28" i="7"/>
  <c r="G28" i="7"/>
  <c r="E28" i="7"/>
  <c r="D28" i="7"/>
  <c r="C28" i="7"/>
  <c r="H20" i="7"/>
  <c r="G20" i="7"/>
  <c r="E20" i="7"/>
  <c r="D20" i="7"/>
  <c r="C20" i="7"/>
  <c r="D30" i="7"/>
  <c r="D74" i="7" s="1"/>
  <c r="C30" i="7"/>
  <c r="C74" i="7" s="1"/>
  <c r="I112" i="7"/>
  <c r="I114" i="7" s="1"/>
  <c r="H30" i="7"/>
  <c r="H74" i="7" s="1"/>
  <c r="G30" i="7"/>
  <c r="G74" i="7" s="1"/>
  <c r="F30" i="7"/>
  <c r="F74" i="7" s="1"/>
  <c r="I99" i="7"/>
  <c r="I103" i="7" s="1"/>
  <c r="I84" i="7"/>
  <c r="I92" i="7" s="1"/>
  <c r="I30" i="7"/>
  <c r="I74" i="7" s="1"/>
  <c r="E30" i="7"/>
  <c r="E74" i="7" s="1"/>
  <c r="I42" i="7"/>
  <c r="I35" i="7"/>
  <c r="I37" i="7" s="1"/>
  <c r="I28" i="7"/>
  <c r="I20" i="7"/>
  <c r="C77" i="2"/>
  <c r="C81" i="2" s="1"/>
  <c r="S81" i="2" s="1"/>
  <c r="E77" i="2"/>
  <c r="E81" i="2" s="1"/>
  <c r="E84" i="2" s="1"/>
  <c r="E85" i="2" s="1"/>
  <c r="J70" i="2"/>
  <c r="K70" i="2"/>
  <c r="E111" i="2"/>
  <c r="E88" i="2"/>
  <c r="E102" i="2" s="1"/>
  <c r="E37" i="2"/>
  <c r="E33" i="2"/>
  <c r="E34" i="2" s="1"/>
  <c r="E23" i="2"/>
  <c r="E11" i="2" s="1"/>
  <c r="C111" i="2"/>
  <c r="H87" i="2"/>
  <c r="G87" i="2"/>
  <c r="J111" i="2"/>
  <c r="H102" i="2"/>
  <c r="G102" i="2"/>
  <c r="C88" i="2"/>
  <c r="C87" i="2" s="1"/>
  <c r="J88" i="2"/>
  <c r="J87" i="2" s="1"/>
  <c r="H57" i="2"/>
  <c r="G57" i="2"/>
  <c r="Q57" i="2"/>
  <c r="P57" i="2"/>
  <c r="O57" i="2"/>
  <c r="N57" i="2"/>
  <c r="M119" i="7" l="1"/>
  <c r="L115" i="7"/>
  <c r="K115" i="7"/>
  <c r="L119" i="7"/>
  <c r="J115" i="7"/>
  <c r="K119" i="7"/>
  <c r="M115" i="7"/>
  <c r="M92" i="7"/>
  <c r="M117" i="7" s="1"/>
  <c r="J43" i="7"/>
  <c r="J45" i="7" s="1"/>
  <c r="J48" i="7" s="1"/>
  <c r="J51" i="7" s="1"/>
  <c r="M43" i="7"/>
  <c r="M45" i="7" s="1"/>
  <c r="M48" i="7" s="1"/>
  <c r="M51" i="7" s="1"/>
  <c r="L43" i="7"/>
  <c r="L45" i="7" s="1"/>
  <c r="L48" i="7" s="1"/>
  <c r="L52" i="7" s="1"/>
  <c r="K43" i="7"/>
  <c r="K45" i="7" s="1"/>
  <c r="K48" i="7" s="1"/>
  <c r="K52" i="7" s="1"/>
  <c r="J37" i="7"/>
  <c r="M37" i="7"/>
  <c r="M106" i="7"/>
  <c r="L106" i="7"/>
  <c r="L92" i="7"/>
  <c r="L117" i="7" s="1"/>
  <c r="L118" i="7"/>
  <c r="K106" i="7"/>
  <c r="K118" i="7"/>
  <c r="K92" i="7"/>
  <c r="K117" i="7" s="1"/>
  <c r="J106" i="7"/>
  <c r="J92" i="7"/>
  <c r="J117" i="7" s="1"/>
  <c r="J118" i="7"/>
  <c r="F28" i="7"/>
  <c r="O99" i="7"/>
  <c r="O103" i="7" s="1"/>
  <c r="O106" i="7" s="1"/>
  <c r="O84" i="7"/>
  <c r="O92" i="7" s="1"/>
  <c r="I106" i="7" s="1"/>
  <c r="I117" i="7"/>
  <c r="E115" i="7"/>
  <c r="O112" i="7"/>
  <c r="O114" i="7" s="1"/>
  <c r="F20" i="7"/>
  <c r="F72" i="7"/>
  <c r="P20" i="7"/>
  <c r="P42" i="7"/>
  <c r="O42" i="7"/>
  <c r="P35" i="7"/>
  <c r="P37" i="7" s="1"/>
  <c r="O35" i="7"/>
  <c r="O37" i="7" s="1"/>
  <c r="C115" i="7"/>
  <c r="I115" i="7"/>
  <c r="F115" i="7"/>
  <c r="H72" i="7"/>
  <c r="I72" i="7"/>
  <c r="E72" i="7"/>
  <c r="D72" i="7"/>
  <c r="H115" i="7"/>
  <c r="D115" i="7"/>
  <c r="G115" i="7"/>
  <c r="C43" i="7"/>
  <c r="C45" i="7" s="1"/>
  <c r="C48" i="7" s="1"/>
  <c r="C51" i="7" s="1"/>
  <c r="E43" i="7"/>
  <c r="E45" i="7" s="1"/>
  <c r="E48" i="7" s="1"/>
  <c r="F43" i="7"/>
  <c r="F45" i="7" s="1"/>
  <c r="F48" i="7" s="1"/>
  <c r="F52" i="7" s="1"/>
  <c r="G43" i="7"/>
  <c r="G45" i="7" s="1"/>
  <c r="G48" i="7" s="1"/>
  <c r="G51" i="7" s="1"/>
  <c r="H43" i="7"/>
  <c r="H45" i="7" s="1"/>
  <c r="H48" i="7" s="1"/>
  <c r="H51" i="7" s="1"/>
  <c r="D43" i="7"/>
  <c r="D45" i="7" s="1"/>
  <c r="D48" i="7" s="1"/>
  <c r="E119" i="7"/>
  <c r="C119" i="7"/>
  <c r="H118" i="7"/>
  <c r="H92" i="7"/>
  <c r="H117" i="7" s="1"/>
  <c r="D119" i="7"/>
  <c r="G118" i="7"/>
  <c r="G92" i="7"/>
  <c r="G106" i="7" s="1"/>
  <c r="C118" i="7"/>
  <c r="F106" i="7"/>
  <c r="D118" i="7"/>
  <c r="G119" i="7"/>
  <c r="F117" i="7"/>
  <c r="F118" i="7"/>
  <c r="H119" i="7"/>
  <c r="C92" i="7"/>
  <c r="C106" i="7" s="1"/>
  <c r="D92" i="7"/>
  <c r="D106" i="7" s="1"/>
  <c r="F119" i="7"/>
  <c r="E118" i="7"/>
  <c r="E92" i="7"/>
  <c r="E106" i="7" s="1"/>
  <c r="I118" i="7"/>
  <c r="I119" i="7"/>
  <c r="I43" i="7"/>
  <c r="I45" i="7" s="1"/>
  <c r="I48" i="7" s="1"/>
  <c r="E28" i="2"/>
  <c r="E35" i="2" s="1"/>
  <c r="E38" i="2" s="1"/>
  <c r="E57" i="2" s="1"/>
  <c r="E113" i="2"/>
  <c r="E114" i="2" s="1"/>
  <c r="E25" i="2"/>
  <c r="E26" i="2" s="1"/>
  <c r="E87" i="2"/>
  <c r="J102" i="2"/>
  <c r="J53" i="2"/>
  <c r="J52" i="2"/>
  <c r="J51" i="2"/>
  <c r="J50" i="2"/>
  <c r="J49" i="2"/>
  <c r="J48" i="2"/>
  <c r="J47" i="2"/>
  <c r="J46" i="2"/>
  <c r="H11" i="2"/>
  <c r="G11" i="2"/>
  <c r="J37" i="2"/>
  <c r="C37" i="2"/>
  <c r="J33" i="2"/>
  <c r="J34" i="2" s="1"/>
  <c r="C33" i="2"/>
  <c r="C34" i="2" s="1"/>
  <c r="S32" i="2"/>
  <c r="S31" i="2"/>
  <c r="K6" i="1"/>
  <c r="K5" i="1"/>
  <c r="S83" i="2"/>
  <c r="S14" i="2"/>
  <c r="S11" i="2" s="1"/>
  <c r="C84" i="2"/>
  <c r="L30" i="2"/>
  <c r="L29" i="2"/>
  <c r="L24" i="2"/>
  <c r="L22" i="2"/>
  <c r="L15" i="2"/>
  <c r="S24" i="2"/>
  <c r="S22" i="2"/>
  <c r="S15" i="2"/>
  <c r="K4" i="1"/>
  <c r="K51" i="7" l="1"/>
  <c r="M52" i="7"/>
  <c r="L51" i="7"/>
  <c r="J52" i="7"/>
  <c r="O115" i="7"/>
  <c r="O118" i="7"/>
  <c r="O119" i="7"/>
  <c r="O43" i="7"/>
  <c r="O45" i="7" s="1"/>
  <c r="O48" i="7" s="1"/>
  <c r="O51" i="7" s="1"/>
  <c r="O117" i="7"/>
  <c r="P43" i="7"/>
  <c r="P45" i="7" s="1"/>
  <c r="P48" i="7" s="1"/>
  <c r="G52" i="7"/>
  <c r="H52" i="7"/>
  <c r="F51" i="7"/>
  <c r="C52" i="7"/>
  <c r="D52" i="7"/>
  <c r="D51" i="7"/>
  <c r="H106" i="7"/>
  <c r="G117" i="7"/>
  <c r="E117" i="7"/>
  <c r="D117" i="7"/>
  <c r="E52" i="7"/>
  <c r="E51" i="7"/>
  <c r="C117" i="7"/>
  <c r="I52" i="7"/>
  <c r="I51" i="7"/>
  <c r="L25" i="2"/>
  <c r="E40" i="2"/>
  <c r="E39" i="2"/>
  <c r="J113" i="2"/>
  <c r="J114" i="2" s="1"/>
  <c r="L33" i="2"/>
  <c r="T42" i="2"/>
  <c r="S84" i="2"/>
  <c r="T2" i="2"/>
  <c r="U2" i="2" s="1"/>
  <c r="V2" i="2" s="1"/>
  <c r="W2" i="2" s="1"/>
  <c r="X2" i="2" s="1"/>
  <c r="Y2" i="2" s="1"/>
  <c r="Z2" i="2" s="1"/>
  <c r="AA2" i="2" s="1"/>
  <c r="AB2" i="2" s="1"/>
  <c r="AC2" i="2" s="1"/>
  <c r="AD2" i="2" s="1"/>
  <c r="AE2" i="2" s="1"/>
  <c r="T29" i="2"/>
  <c r="U29" i="2" s="1"/>
  <c r="T30" i="2"/>
  <c r="U30" i="2" s="1"/>
  <c r="V30" i="2" s="1"/>
  <c r="W30" i="2" s="1"/>
  <c r="X30" i="2" s="1"/>
  <c r="Y30" i="2" s="1"/>
  <c r="Z30" i="2" s="1"/>
  <c r="AA30" i="2" s="1"/>
  <c r="AB30" i="2" s="1"/>
  <c r="AC30" i="2" s="1"/>
  <c r="AD30" i="2" s="1"/>
  <c r="AE30" i="2" s="1"/>
  <c r="T15" i="2"/>
  <c r="T22" i="2"/>
  <c r="T24" i="2"/>
  <c r="S23" i="2"/>
  <c r="C85" i="2"/>
  <c r="K7" i="1"/>
  <c r="S42" i="2"/>
  <c r="C23" i="2"/>
  <c r="S30" i="2"/>
  <c r="S29" i="2"/>
  <c r="O52" i="7" l="1"/>
  <c r="P52" i="7"/>
  <c r="P51" i="7"/>
  <c r="C28" i="2"/>
  <c r="C35" i="2" s="1"/>
  <c r="C38" i="2" s="1"/>
  <c r="C11" i="2"/>
  <c r="C25" i="2"/>
  <c r="U33" i="2"/>
  <c r="V29" i="2"/>
  <c r="W29" i="2" s="1"/>
  <c r="X29" i="2" s="1"/>
  <c r="Y29" i="2" s="1"/>
  <c r="Z29" i="2" s="1"/>
  <c r="AA29" i="2" s="1"/>
  <c r="T13" i="2"/>
  <c r="L14" i="2"/>
  <c r="L45" i="2" s="1"/>
  <c r="U42" i="2"/>
  <c r="V42" i="2" s="1"/>
  <c r="W42" i="2" s="1"/>
  <c r="X42" i="2" s="1"/>
  <c r="Y42" i="2" s="1"/>
  <c r="Z42" i="2" s="1"/>
  <c r="AA42" i="2" s="1"/>
  <c r="AB42" i="2" s="1"/>
  <c r="AC42" i="2" s="1"/>
  <c r="AD42" i="2" s="1"/>
  <c r="T33" i="2"/>
  <c r="S33" i="2"/>
  <c r="C39" i="2" l="1"/>
  <c r="C57" i="2"/>
  <c r="C40" i="2"/>
  <c r="S25" i="2"/>
  <c r="S26" i="2" s="1"/>
  <c r="C26" i="2"/>
  <c r="AB29" i="2"/>
  <c r="AA33" i="2"/>
  <c r="AE42" i="2"/>
  <c r="L27" i="2"/>
  <c r="L23" i="2"/>
  <c r="S27" i="2"/>
  <c r="L34" i="2" l="1"/>
  <c r="L26" i="2"/>
  <c r="L28" i="2"/>
  <c r="L35" i="2" s="1"/>
  <c r="AC29" i="2"/>
  <c r="AB33" i="2"/>
  <c r="V33" i="2"/>
  <c r="L54" i="2" l="1"/>
  <c r="L36" i="2"/>
  <c r="L38" i="2" s="1"/>
  <c r="AC33" i="2"/>
  <c r="AD29" i="2"/>
  <c r="L44" i="2"/>
  <c r="W33" i="2"/>
  <c r="S44" i="2"/>
  <c r="L39" i="2" l="1"/>
  <c r="L57" i="2"/>
  <c r="L40" i="2"/>
  <c r="AE29" i="2"/>
  <c r="AE33" i="2" s="1"/>
  <c r="AD33" i="2"/>
  <c r="U13" i="2"/>
  <c r="C102" i="2"/>
  <c r="C113" i="2" s="1"/>
  <c r="C114" i="2" s="1"/>
  <c r="X33" i="2"/>
  <c r="S28" i="2"/>
  <c r="S35" i="2" s="1"/>
  <c r="V13" i="2" l="1"/>
  <c r="S54" i="2"/>
  <c r="Z33" i="2"/>
  <c r="Y33" i="2"/>
  <c r="S36" i="2"/>
  <c r="W13" i="2" l="1"/>
  <c r="S87" i="2"/>
  <c r="S39" i="2"/>
  <c r="X13" i="2" l="1"/>
  <c r="Y13" i="2" l="1"/>
  <c r="Z13" i="2" l="1"/>
  <c r="AA13" i="2" l="1"/>
  <c r="AB13" i="2" l="1"/>
  <c r="T27" i="2"/>
  <c r="J23" i="2"/>
  <c r="T14" i="2"/>
  <c r="J45" i="2"/>
  <c r="J28" i="2" l="1"/>
  <c r="J35" i="2" s="1"/>
  <c r="J38" i="2" s="1"/>
  <c r="J11" i="2"/>
  <c r="J25" i="2"/>
  <c r="T11" i="2"/>
  <c r="T23" i="2"/>
  <c r="AC13" i="2"/>
  <c r="J40" i="2" l="1"/>
  <c r="J57" i="2"/>
  <c r="J39" i="2"/>
  <c r="J26" i="2"/>
  <c r="J44" i="2" s="1"/>
  <c r="T25" i="2"/>
  <c r="T26" i="2" s="1"/>
  <c r="T44" i="2" s="1"/>
  <c r="AD13" i="2"/>
  <c r="U14" i="2"/>
  <c r="T28" i="2"/>
  <c r="T35" i="2" s="1"/>
  <c r="J54" i="2" l="1"/>
  <c r="U23" i="2"/>
  <c r="U26" i="2" s="1"/>
  <c r="U44" i="2" s="1"/>
  <c r="U27" i="2"/>
  <c r="AE13" i="2"/>
  <c r="V14" i="2"/>
  <c r="T36" i="2"/>
  <c r="T54" i="2"/>
  <c r="V23" i="2" l="1"/>
  <c r="V26" i="2" s="1"/>
  <c r="V44" i="2" s="1"/>
  <c r="V27" i="2"/>
  <c r="U28" i="2"/>
  <c r="U35" i="2" s="1"/>
  <c r="W14" i="2"/>
  <c r="W23" i="2" s="1"/>
  <c r="W26" i="2" s="1"/>
  <c r="T39" i="2"/>
  <c r="U54" i="2" l="1"/>
  <c r="W27" i="2"/>
  <c r="W28" i="2" s="1"/>
  <c r="W35" i="2" s="1"/>
  <c r="V28" i="2"/>
  <c r="V35" i="2" s="1"/>
  <c r="W44" i="2"/>
  <c r="X14" i="2"/>
  <c r="X23" i="2" s="1"/>
  <c r="X26" i="2" s="1"/>
  <c r="T87" i="2"/>
  <c r="V54" i="2" l="1"/>
  <c r="U36" i="2"/>
  <c r="U39" i="2" s="1"/>
  <c r="X27" i="2"/>
  <c r="X28" i="2" s="1"/>
  <c r="X35" i="2" s="1"/>
  <c r="W54" i="2"/>
  <c r="X44" i="2"/>
  <c r="Y14" i="2"/>
  <c r="Y23" i="2" s="1"/>
  <c r="Y26" i="2" s="1"/>
  <c r="Z14" i="2" l="1"/>
  <c r="Z23" i="2" s="1"/>
  <c r="Z26" i="2" s="1"/>
  <c r="Z44" i="2" s="1"/>
  <c r="U87" i="2"/>
  <c r="V36" i="2" s="1"/>
  <c r="V39" i="2" s="1"/>
  <c r="Y27" i="2"/>
  <c r="Y28" i="2" s="1"/>
  <c r="Y35" i="2" s="1"/>
  <c r="X54" i="2"/>
  <c r="Y44" i="2"/>
  <c r="Z27" i="2" l="1"/>
  <c r="Z28" i="2" s="1"/>
  <c r="Z35" i="2" s="1"/>
  <c r="V87" i="2"/>
  <c r="AA14" i="2"/>
  <c r="AA23" i="2" s="1"/>
  <c r="AA26" i="2" s="1"/>
  <c r="Y54" i="2"/>
  <c r="Z54" i="2" l="1"/>
  <c r="AA27" i="2"/>
  <c r="AA28" i="2" s="1"/>
  <c r="AA35" i="2" s="1"/>
  <c r="AA44" i="2"/>
  <c r="AB14" i="2"/>
  <c r="AB23" i="2" s="1"/>
  <c r="AB26" i="2" s="1"/>
  <c r="W36" i="2"/>
  <c r="AB44" i="2" l="1"/>
  <c r="AB27" i="2"/>
  <c r="AB28" i="2" s="1"/>
  <c r="AB35" i="2" s="1"/>
  <c r="AC14" i="2"/>
  <c r="AC23" i="2" s="1"/>
  <c r="AC26" i="2" s="1"/>
  <c r="AA54" i="2"/>
  <c r="W39" i="2"/>
  <c r="W87" i="2"/>
  <c r="AB54" i="2" l="1"/>
  <c r="AC27" i="2"/>
  <c r="AC28" i="2" s="1"/>
  <c r="AC35" i="2" s="1"/>
  <c r="AC44" i="2"/>
  <c r="AE14" i="2"/>
  <c r="AE23" i="2" s="1"/>
  <c r="AE26" i="2" s="1"/>
  <c r="AD14" i="2"/>
  <c r="AD23" i="2" s="1"/>
  <c r="AD26" i="2" s="1"/>
  <c r="AC54" i="2" l="1"/>
  <c r="AD44" i="2"/>
  <c r="AD27" i="2"/>
  <c r="AD28" i="2" s="1"/>
  <c r="AD35" i="2" s="1"/>
  <c r="AE27" i="2"/>
  <c r="AE28" i="2" s="1"/>
  <c r="AE35" i="2" s="1"/>
  <c r="AE44" i="2"/>
  <c r="X36" i="2"/>
  <c r="AE54" i="2" l="1"/>
  <c r="AD54" i="2"/>
  <c r="X39" i="2"/>
  <c r="X87" i="2"/>
  <c r="Y36" i="2" l="1"/>
  <c r="Y39" i="2" l="1"/>
  <c r="Y87" i="2"/>
  <c r="Z36" i="2" l="1"/>
  <c r="Z39" i="2" l="1"/>
  <c r="Z87" i="2"/>
  <c r="AA36" i="2" l="1"/>
  <c r="AA39" i="2" l="1"/>
  <c r="AA87" i="2"/>
  <c r="AB36" i="2" l="1"/>
  <c r="AB39" i="2" l="1"/>
  <c r="AB87" i="2"/>
  <c r="AC36" i="2" l="1"/>
  <c r="AC39" i="2" l="1"/>
  <c r="AC87" i="2"/>
  <c r="AD36" i="2" l="1"/>
  <c r="AD39" i="2" l="1"/>
  <c r="AD87" i="2"/>
  <c r="AE36" i="2" l="1"/>
  <c r="AE39" i="2" l="1"/>
  <c r="AE87" i="2"/>
  <c r="AG58" i="2" l="1"/>
  <c r="AG75" i="2" s="1"/>
</calcChain>
</file>

<file path=xl/sharedStrings.xml><?xml version="1.0" encoding="utf-8"?>
<sst xmlns="http://schemas.openxmlformats.org/spreadsheetml/2006/main" count="506" uniqueCount="268">
  <si>
    <t>Price</t>
  </si>
  <si>
    <t>Shares</t>
  </si>
  <si>
    <t>MC</t>
  </si>
  <si>
    <t>Cash</t>
  </si>
  <si>
    <t>Debt</t>
  </si>
  <si>
    <t>EV</t>
  </si>
  <si>
    <t>Main</t>
  </si>
  <si>
    <t>Gross Margin</t>
  </si>
  <si>
    <t>R&amp;D</t>
  </si>
  <si>
    <t>SG&amp;A</t>
  </si>
  <si>
    <t>Operating Expenses</t>
  </si>
  <si>
    <t>Interest Expense</t>
  </si>
  <si>
    <t>Taxes</t>
  </si>
  <si>
    <t>EPS</t>
  </si>
  <si>
    <t>Model NI</t>
  </si>
  <si>
    <t>Reported NI</t>
  </si>
  <si>
    <t>D&amp;A</t>
  </si>
  <si>
    <t>Inventory</t>
  </si>
  <si>
    <t>Non-Cash Interest</t>
  </si>
  <si>
    <t>WC</t>
  </si>
  <si>
    <t>CFFO</t>
  </si>
  <si>
    <t>PP&amp;E</t>
  </si>
  <si>
    <t>Digital Assets</t>
  </si>
  <si>
    <t>Goodwill</t>
  </si>
  <si>
    <t>Assets</t>
  </si>
  <si>
    <t>SE</t>
  </si>
  <si>
    <t>L+SE</t>
  </si>
  <si>
    <t>FX/Other</t>
  </si>
  <si>
    <t>CapEx</t>
  </si>
  <si>
    <t>FCF</t>
  </si>
  <si>
    <t>TTM FCF</t>
  </si>
  <si>
    <t>Q323</t>
  </si>
  <si>
    <t>Q423</t>
  </si>
  <si>
    <t>Revenue y/y</t>
  </si>
  <si>
    <t>California</t>
  </si>
  <si>
    <t>Model S/X</t>
  </si>
  <si>
    <t>Model 3/Y</t>
  </si>
  <si>
    <t>Shanghai</t>
  </si>
  <si>
    <t>Berlin</t>
  </si>
  <si>
    <t>Model Y</t>
  </si>
  <si>
    <t>Texas</t>
  </si>
  <si>
    <t>Cybertruck</t>
  </si>
  <si>
    <t>Nevada</t>
  </si>
  <si>
    <t>Semi</t>
  </si>
  <si>
    <t>Roadaster</t>
  </si>
  <si>
    <t>Robotaxi</t>
  </si>
  <si>
    <t>Maturity</t>
  </si>
  <si>
    <t>Discount</t>
  </si>
  <si>
    <t>NPV</t>
  </si>
  <si>
    <t>Share</t>
  </si>
  <si>
    <t>ROIC</t>
  </si>
  <si>
    <t>Net Cash</t>
  </si>
  <si>
    <t>Q224</t>
  </si>
  <si>
    <t>Q324</t>
  </si>
  <si>
    <t>Q424</t>
  </si>
  <si>
    <t>Q125</t>
  </si>
  <si>
    <t>Q225</t>
  </si>
  <si>
    <t>Q325</t>
  </si>
  <si>
    <t>Q425</t>
  </si>
  <si>
    <t>Volkswagen Revenue</t>
  </si>
  <si>
    <t>Buffalo</t>
  </si>
  <si>
    <t>Lahtrop, CA</t>
  </si>
  <si>
    <t>Production Ag</t>
  </si>
  <si>
    <r>
      <t xml:space="preserve">AGCO, </t>
    </r>
    <r>
      <rPr>
        <strike/>
        <sz val="10"/>
        <rFont val="Arial"/>
        <family val="2"/>
      </rPr>
      <t>CAT</t>
    </r>
  </si>
  <si>
    <t>Small Ag</t>
  </si>
  <si>
    <t>Turf</t>
  </si>
  <si>
    <t>Construction</t>
  </si>
  <si>
    <t>Compaction Construction</t>
  </si>
  <si>
    <t>Roadbuilding</t>
  </si>
  <si>
    <t>Forestry</t>
  </si>
  <si>
    <t>Financial Products</t>
  </si>
  <si>
    <t>Other</t>
  </si>
  <si>
    <t>Brands</t>
  </si>
  <si>
    <t>Wirtgen</t>
  </si>
  <si>
    <t>Hagie</t>
  </si>
  <si>
    <t>Bear Flag Robotics</t>
  </si>
  <si>
    <t>Monosem</t>
  </si>
  <si>
    <t>a&amp;i products</t>
  </si>
  <si>
    <t>PLA</t>
  </si>
  <si>
    <t>Mozzotti</t>
  </si>
  <si>
    <t>Blue River Technology</t>
  </si>
  <si>
    <t>Kreisel</t>
  </si>
  <si>
    <t>Harvest Profit</t>
  </si>
  <si>
    <t>Product Lines</t>
  </si>
  <si>
    <t xml:space="preserve"> </t>
  </si>
  <si>
    <t>Parts</t>
  </si>
  <si>
    <t xml:space="preserve">Net </t>
  </si>
  <si>
    <t>Total Net Sales</t>
  </si>
  <si>
    <t>Parts % of Total</t>
  </si>
  <si>
    <t>Year</t>
  </si>
  <si>
    <t>Parts Sales</t>
  </si>
  <si>
    <t>of Equipment</t>
  </si>
  <si>
    <t>Equipment Sales</t>
  </si>
  <si>
    <t>(1) Wirtgen is included starting in FY2018</t>
  </si>
  <si>
    <r>
      <t>Deere &amp; Company Net Sales of Service Parts</t>
    </r>
    <r>
      <rPr>
        <b/>
        <vertAlign val="superscript"/>
        <sz val="11"/>
        <rFont val="Calibri"/>
        <family val="2"/>
        <scheme val="minor"/>
      </rPr>
      <t>(1)</t>
    </r>
    <r>
      <rPr>
        <i/>
        <sz val="11"/>
        <rFont val="Calibri"/>
        <family val="2"/>
        <scheme val="minor"/>
      </rPr>
      <t xml:space="preserve"> (billions of dollars)</t>
    </r>
  </si>
  <si>
    <t>AGCO Revenue</t>
  </si>
  <si>
    <t>DEERE Revenue</t>
  </si>
  <si>
    <t>CNH Revenue</t>
  </si>
  <si>
    <t>CLAAS Revenue</t>
  </si>
  <si>
    <t>Kubota Revenue</t>
  </si>
  <si>
    <t>CAT Revenue</t>
  </si>
  <si>
    <t>Kuhn Revenue</t>
  </si>
  <si>
    <t>Lindsay Revenue</t>
  </si>
  <si>
    <t>Production and Precision Ag</t>
  </si>
  <si>
    <t>Compact Construction</t>
  </si>
  <si>
    <t>Product Line Revenue</t>
  </si>
  <si>
    <t>US Revenue</t>
  </si>
  <si>
    <t>Other Geographic</t>
  </si>
  <si>
    <t>Geography Revenue</t>
  </si>
  <si>
    <t>Cost of Sales</t>
  </si>
  <si>
    <t>Other Op Expense</t>
  </si>
  <si>
    <t>Total Expenses (W/ COGS)</t>
  </si>
  <si>
    <t>Operating Income (Pre-Tax)</t>
  </si>
  <si>
    <t>Adjustments for Affiliates</t>
  </si>
  <si>
    <t>Net Income Attributable to Deere and Co.</t>
  </si>
  <si>
    <t>Shares (Diluted)</t>
  </si>
  <si>
    <t>EPS (Diluted)</t>
  </si>
  <si>
    <t>*Collect this info as proxy for what is possible for growth</t>
  </si>
  <si>
    <t>Forever growth rate</t>
  </si>
  <si>
    <t>Risk level - higher = more risk</t>
  </si>
  <si>
    <t>Trade A/R</t>
  </si>
  <si>
    <t>Financing A/R</t>
  </si>
  <si>
    <t>Financing A/R Securitized</t>
  </si>
  <si>
    <t>Other A/R</t>
  </si>
  <si>
    <t>Equip on Op Lease</t>
  </si>
  <si>
    <t>Inventories</t>
  </si>
  <si>
    <t>Other Intangible Assets</t>
  </si>
  <si>
    <t>Retirement Benefits</t>
  </si>
  <si>
    <t>Deferred income taxes</t>
  </si>
  <si>
    <t>Other Assets</t>
  </si>
  <si>
    <t>Assets held for sale</t>
  </si>
  <si>
    <t>Resources:</t>
  </si>
  <si>
    <t>Investor relations</t>
  </si>
  <si>
    <t>NA</t>
  </si>
  <si>
    <t>Short-term borrowings</t>
  </si>
  <si>
    <t>Short-term securitization borrowings</t>
  </si>
  <si>
    <t>AP and Accr Exp</t>
  </si>
  <si>
    <t>Def Inc Taxes</t>
  </si>
  <si>
    <t>Long-term borrowings</t>
  </si>
  <si>
    <t>Retirement benefits and other</t>
  </si>
  <si>
    <t>Liabilities Held for Sale</t>
  </si>
  <si>
    <t>OL</t>
  </si>
  <si>
    <t>Commitments and Contingencies</t>
  </si>
  <si>
    <t>SBC (Share Based Compensation)</t>
  </si>
  <si>
    <t>Q324Cum</t>
  </si>
  <si>
    <t>Q224Cum</t>
  </si>
  <si>
    <t>Q124CUM</t>
  </si>
  <si>
    <t>Q323Cum</t>
  </si>
  <si>
    <t>Q423Cum</t>
  </si>
  <si>
    <t>Q424Cum</t>
  </si>
  <si>
    <t>Prov for Credit Loss</t>
  </si>
  <si>
    <t>Impairments</t>
  </si>
  <si>
    <t>Def Inc Tax</t>
  </si>
  <si>
    <t>Delta Rec Rel to Sales</t>
  </si>
  <si>
    <t>Delta Inv</t>
  </si>
  <si>
    <t>Delta AP</t>
  </si>
  <si>
    <t>Delta Inc Tax Pay</t>
  </si>
  <si>
    <t>Delta Retire Ben</t>
  </si>
  <si>
    <t>Net Sales</t>
  </si>
  <si>
    <t>Net Sales and Rev</t>
  </si>
  <si>
    <t>Finance and interest income</t>
  </si>
  <si>
    <t>Other income</t>
  </si>
  <si>
    <t>Total</t>
  </si>
  <si>
    <t>Product Line Total</t>
  </si>
  <si>
    <t>US</t>
  </si>
  <si>
    <t>Canada</t>
  </si>
  <si>
    <t>Western Europe</t>
  </si>
  <si>
    <t>Central Europe &amp; CIS</t>
  </si>
  <si>
    <t>Latin America</t>
  </si>
  <si>
    <t>Asia, Africa, Oceania, and Mid East</t>
  </si>
  <si>
    <t>Geographical Total</t>
  </si>
  <si>
    <t>GM</t>
  </si>
  <si>
    <t>Total Exp w/ COGS</t>
  </si>
  <si>
    <t>SGA</t>
  </si>
  <si>
    <t>Interest</t>
  </si>
  <si>
    <t>Other OpEx</t>
  </si>
  <si>
    <t xml:space="preserve">Income </t>
  </si>
  <si>
    <t>Tax</t>
  </si>
  <si>
    <t>OpInc PreTax</t>
  </si>
  <si>
    <t>NI attr to DE</t>
  </si>
  <si>
    <t>Loss affiliates</t>
  </si>
  <si>
    <t>Inc affiliates</t>
  </si>
  <si>
    <t>Per Share Data</t>
  </si>
  <si>
    <t>Basic</t>
  </si>
  <si>
    <t>Diluted</t>
  </si>
  <si>
    <t>Div Declared</t>
  </si>
  <si>
    <t>Div Paid</t>
  </si>
  <si>
    <t>Outstanding Shares</t>
  </si>
  <si>
    <t>Cash and equiv</t>
  </si>
  <si>
    <t>Securities</t>
  </si>
  <si>
    <t>Trade AR</t>
  </si>
  <si>
    <t>Finance AR</t>
  </si>
  <si>
    <t>Other AR</t>
  </si>
  <si>
    <t>Equip on OpLease</t>
  </si>
  <si>
    <t>Cur Assets</t>
  </si>
  <si>
    <t>PPE</t>
  </si>
  <si>
    <t>Intangibles</t>
  </si>
  <si>
    <t>Ret Benefits</t>
  </si>
  <si>
    <t>Def IncTax</t>
  </si>
  <si>
    <t>Assets Held for sale</t>
  </si>
  <si>
    <t>Total Assets</t>
  </si>
  <si>
    <t>Finance AR - Securitized</t>
  </si>
  <si>
    <t>Q124</t>
  </si>
  <si>
    <t>Liabilities</t>
  </si>
  <si>
    <t>Short-Term borrowings</t>
  </si>
  <si>
    <t>Short-Term securitization borrowings</t>
  </si>
  <si>
    <t>AP/Accr Exp</t>
  </si>
  <si>
    <t>LT borrowings</t>
  </si>
  <si>
    <t>Ret benefits and other</t>
  </si>
  <si>
    <t>Liabilities held for sale</t>
  </si>
  <si>
    <t>Cur Libs</t>
  </si>
  <si>
    <t>Total Libs</t>
  </si>
  <si>
    <t>Calc Equity</t>
  </si>
  <si>
    <t>Equity</t>
  </si>
  <si>
    <t>Contingencies</t>
  </si>
  <si>
    <t>Common Stock, $1 par</t>
  </si>
  <si>
    <t>Common Stock in treasury</t>
  </si>
  <si>
    <t>Ret Earnings</t>
  </si>
  <si>
    <t>Accum other inc</t>
  </si>
  <si>
    <t>Total stockholder equity</t>
  </si>
  <si>
    <t>Noncontrolling interests</t>
  </si>
  <si>
    <t>Total Equity</t>
  </si>
  <si>
    <t>Lib+Equity</t>
  </si>
  <si>
    <t>Leverage</t>
  </si>
  <si>
    <t>Liquidity</t>
  </si>
  <si>
    <t>Working Cap</t>
  </si>
  <si>
    <t>Q223</t>
  </si>
  <si>
    <t>Q123</t>
  </si>
  <si>
    <t>Other Non-cash</t>
  </si>
  <si>
    <t>Lower shipping volumes, price offset</t>
  </si>
  <si>
    <t>Small Ag &amp; Turf</t>
  </si>
  <si>
    <t>Construction and Forestry</t>
  </si>
  <si>
    <t>Sales and profit up, higher shipping volumes and price offset</t>
  </si>
  <si>
    <t>Forward Looking</t>
  </si>
  <si>
    <t>Sales Down 10-20%. Price up 1.5%.</t>
  </si>
  <si>
    <t>Sales Down 10-15%. Price up 1.0%.</t>
  </si>
  <si>
    <t>Sales down 10%. Price up 1.5%.</t>
  </si>
  <si>
    <t>US &amp; Canada, Large Ag</t>
  </si>
  <si>
    <t>Down 10-15%.</t>
  </si>
  <si>
    <t>US &amp; Canada, Small Ag &amp; Turf</t>
  </si>
  <si>
    <t>Down 5-10%.</t>
  </si>
  <si>
    <t>Europe Ag &amp; Turf</t>
  </si>
  <si>
    <t>Down 10%.</t>
  </si>
  <si>
    <t>South America Tractors &amp; Combines</t>
  </si>
  <si>
    <t>Asia</t>
  </si>
  <si>
    <t>Down moderately.</t>
  </si>
  <si>
    <t>US &amp; Canada, Construction</t>
  </si>
  <si>
    <t>US &amp; Canada, Compact Construction</t>
  </si>
  <si>
    <t>Flat to down 5%.</t>
  </si>
  <si>
    <t>Global Forestry</t>
  </si>
  <si>
    <t>Global Roadbuilding</t>
  </si>
  <si>
    <t>Flat.</t>
  </si>
  <si>
    <t>Financial Services</t>
  </si>
  <si>
    <t>Net income roughly $770.</t>
  </si>
  <si>
    <t>Dealerships</t>
  </si>
  <si>
    <t>Backlogs (Prod &amp; Prec Ag)</t>
  </si>
  <si>
    <t>Q422</t>
  </si>
  <si>
    <t>Backlogs (Small Ag &amp; Turf)</t>
  </si>
  <si>
    <t>Backlogs (All Const)</t>
  </si>
  <si>
    <t>Employees</t>
  </si>
  <si>
    <t>Production &amp; Precision Ag Sales</t>
  </si>
  <si>
    <t>xxx</t>
  </si>
  <si>
    <t>use for scripting</t>
  </si>
  <si>
    <t>q</t>
  </si>
  <si>
    <t>k</t>
  </si>
  <si>
    <t>Timeframe</t>
  </si>
  <si>
    <t>RnD</t>
  </si>
  <si>
    <t>2/13/2025: Q424 earnings release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</si>
</sst>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3" formatCode="_(* #,##0.00_);_(* \(#,##0.00\);_(* &quot;-&quot;??_);_(@_)"/>
    <numFmt numFmtId="164" formatCode="0.0%"/>
    <numFmt numFmtId="165" formatCode="_(* #,##0.0_);_(* \(#,##0.0\);_(* &quot;-&quot;?_);_(@_)"/>
  </numFmts>
  <fonts count="2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sz val="10"/>
      <color rgb="FFFF0000"/>
      <name val="Arial"/>
      <family val="2"/>
    </font>
    <font>
      <u/>
      <sz val="10"/>
      <color rgb="FFFF0000"/>
      <name val="Arial"/>
      <family val="2"/>
    </font>
    <font>
      <b/>
      <sz val="10"/>
      <color rgb="FFFF0000"/>
      <name val="Arial"/>
      <family val="2"/>
    </font>
    <font>
      <u/>
      <sz val="11"/>
      <color rgb="FFFF0000"/>
      <name val="Calibri"/>
      <family val="2"/>
      <scheme val="minor"/>
    </font>
    <font>
      <sz val="10"/>
      <name val="Arial"/>
      <family val="2"/>
    </font>
    <font>
      <strike/>
      <sz val="10"/>
      <name val="Arial"/>
      <family val="2"/>
    </font>
    <font>
      <sz val="9"/>
      <name val="Geneva"/>
    </font>
    <font>
      <b/>
      <sz val="11"/>
      <name val="Calibri"/>
      <family val="2"/>
      <scheme val="minor"/>
    </font>
    <font>
      <i/>
      <sz val="11"/>
      <name val="Calibri"/>
      <family val="2"/>
      <scheme val="minor"/>
    </font>
    <font>
      <sz val="11"/>
      <name val="Calibri"/>
      <family val="2"/>
      <scheme val="minor"/>
    </font>
    <font>
      <b/>
      <vertAlign val="superscript"/>
      <sz val="11"/>
      <name val="Calibri"/>
      <family val="2"/>
      <scheme val="minor"/>
    </font>
    <font>
      <strike/>
      <sz val="11"/>
      <name val="Calibri"/>
      <family val="2"/>
      <scheme val="minor"/>
    </font>
    <font>
      <u/>
      <sz val="10"/>
      <name val="Arial"/>
      <family val="2"/>
    </font>
    <font>
      <b/>
      <u/>
      <sz val="10"/>
      <name val="Arial"/>
      <family val="2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  <font>
      <i/>
      <sz val="10"/>
      <name val="Arial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9" fillId="0" borderId="0"/>
    <xf numFmtId="43" fontId="9" fillId="0" borderId="0" applyFont="0" applyFill="0" applyBorder="0" applyAlignment="0" applyProtection="0"/>
    <xf numFmtId="9" fontId="9" fillId="0" borderId="0" applyFont="0" applyFill="0" applyBorder="0" applyAlignment="0" applyProtection="0"/>
  </cellStyleXfs>
  <cellXfs count="66">
    <xf numFmtId="0" fontId="0" fillId="0" borderId="0" xfId="0"/>
    <xf numFmtId="0" fontId="1" fillId="0" borderId="0" xfId="0" applyFont="1"/>
    <xf numFmtId="0" fontId="3" fillId="0" borderId="0" xfId="0" applyFont="1"/>
    <xf numFmtId="3" fontId="3" fillId="0" borderId="0" xfId="0" applyNumberFormat="1" applyFont="1"/>
    <xf numFmtId="0" fontId="3" fillId="0" borderId="0" xfId="0" applyFont="1" applyAlignment="1">
      <alignment horizontal="right"/>
    </xf>
    <xf numFmtId="0" fontId="4" fillId="0" borderId="0" xfId="1" applyFont="1"/>
    <xf numFmtId="3" fontId="3" fillId="0" borderId="0" xfId="0" applyNumberFormat="1" applyFont="1" applyAlignment="1">
      <alignment horizontal="right"/>
    </xf>
    <xf numFmtId="3" fontId="5" fillId="0" borderId="0" xfId="0" applyNumberFormat="1" applyFont="1" applyAlignment="1">
      <alignment horizontal="right"/>
    </xf>
    <xf numFmtId="3" fontId="5" fillId="0" borderId="0" xfId="0" applyNumberFormat="1" applyFont="1"/>
    <xf numFmtId="9" fontId="3" fillId="0" borderId="0" xfId="0" applyNumberFormat="1" applyFont="1"/>
    <xf numFmtId="4" fontId="3" fillId="0" borderId="0" xfId="0" applyNumberFormat="1" applyFont="1"/>
    <xf numFmtId="9" fontId="3" fillId="0" borderId="0" xfId="0" applyNumberFormat="1" applyFont="1" applyAlignment="1">
      <alignment horizontal="right"/>
    </xf>
    <xf numFmtId="0" fontId="6" fillId="0" borderId="0" xfId="1" applyFont="1"/>
    <xf numFmtId="0" fontId="7" fillId="0" borderId="0" xfId="0" applyFont="1" applyAlignment="1">
      <alignment horizontal="right"/>
    </xf>
    <xf numFmtId="3" fontId="7" fillId="0" borderId="0" xfId="0" applyNumberFormat="1" applyFont="1"/>
    <xf numFmtId="0" fontId="7" fillId="0" borderId="0" xfId="0" applyFont="1"/>
    <xf numFmtId="2" fontId="7" fillId="0" borderId="0" xfId="0" applyNumberFormat="1" applyFont="1"/>
    <xf numFmtId="0" fontId="7" fillId="0" borderId="1" xfId="0" applyFont="1" applyBorder="1"/>
    <xf numFmtId="0" fontId="10" fillId="0" borderId="1" xfId="2" applyFont="1" applyBorder="1"/>
    <xf numFmtId="0" fontId="11" fillId="0" borderId="1" xfId="2" applyFont="1" applyBorder="1"/>
    <xf numFmtId="0" fontId="12" fillId="0" borderId="1" xfId="2" applyFont="1" applyBorder="1"/>
    <xf numFmtId="0" fontId="12" fillId="0" borderId="0" xfId="2" applyFont="1"/>
    <xf numFmtId="0" fontId="14" fillId="0" borderId="0" xfId="2" applyFont="1"/>
    <xf numFmtId="0" fontId="12" fillId="0" borderId="0" xfId="2" applyFont="1" applyAlignment="1">
      <alignment horizontal="center"/>
    </xf>
    <xf numFmtId="0" fontId="12" fillId="0" borderId="1" xfId="2" applyFont="1" applyBorder="1" applyAlignment="1">
      <alignment horizontal="center"/>
    </xf>
    <xf numFmtId="0" fontId="12" fillId="0" borderId="0" xfId="2" applyFont="1" applyAlignment="1">
      <alignment horizontal="left"/>
    </xf>
    <xf numFmtId="165" fontId="12" fillId="0" borderId="0" xfId="3" applyNumberFormat="1" applyFont="1" applyFill="1" applyAlignment="1">
      <alignment horizontal="right"/>
    </xf>
    <xf numFmtId="165" fontId="12" fillId="0" borderId="0" xfId="2" applyNumberFormat="1" applyFont="1"/>
    <xf numFmtId="9" fontId="12" fillId="0" borderId="0" xfId="4" applyFont="1" applyFill="1"/>
    <xf numFmtId="0" fontId="11" fillId="0" borderId="0" xfId="2" applyFont="1" applyAlignment="1">
      <alignment vertical="center"/>
    </xf>
    <xf numFmtId="0" fontId="15" fillId="0" borderId="0" xfId="1" applyFont="1"/>
    <xf numFmtId="3" fontId="7" fillId="0" borderId="0" xfId="0" applyNumberFormat="1" applyFont="1" applyAlignment="1">
      <alignment horizontal="right"/>
    </xf>
    <xf numFmtId="0" fontId="17" fillId="0" borderId="0" xfId="0" applyFont="1"/>
    <xf numFmtId="0" fontId="17" fillId="0" borderId="0" xfId="0" applyFont="1" applyAlignment="1">
      <alignment horizontal="right"/>
    </xf>
    <xf numFmtId="3" fontId="17" fillId="0" borderId="0" xfId="0" applyNumberFormat="1" applyFont="1" applyAlignment="1">
      <alignment horizontal="right"/>
    </xf>
    <xf numFmtId="3" fontId="17" fillId="0" borderId="0" xfId="0" applyNumberFormat="1" applyFont="1"/>
    <xf numFmtId="2" fontId="7" fillId="0" borderId="0" xfId="0" applyNumberFormat="1" applyFont="1" applyAlignment="1">
      <alignment horizontal="right"/>
    </xf>
    <xf numFmtId="4" fontId="7" fillId="0" borderId="0" xfId="0" applyNumberFormat="1" applyFont="1"/>
    <xf numFmtId="9" fontId="7" fillId="0" borderId="0" xfId="0" applyNumberFormat="1" applyFont="1" applyAlignment="1">
      <alignment horizontal="right"/>
    </xf>
    <xf numFmtId="9" fontId="17" fillId="0" borderId="0" xfId="0" applyNumberFormat="1" applyFont="1" applyAlignment="1">
      <alignment horizontal="right"/>
    </xf>
    <xf numFmtId="9" fontId="17" fillId="0" borderId="0" xfId="0" applyNumberFormat="1" applyFont="1"/>
    <xf numFmtId="164" fontId="7" fillId="0" borderId="0" xfId="0" applyNumberFormat="1" applyFont="1"/>
    <xf numFmtId="0" fontId="16" fillId="2" borderId="0" xfId="1" applyFont="1" applyFill="1"/>
    <xf numFmtId="0" fontId="2" fillId="0" borderId="0" xfId="1"/>
    <xf numFmtId="9" fontId="7" fillId="0" borderId="0" xfId="0" applyNumberFormat="1" applyFont="1"/>
    <xf numFmtId="0" fontId="18" fillId="0" borderId="0" xfId="0" applyFont="1"/>
    <xf numFmtId="14" fontId="0" fillId="0" borderId="0" xfId="0" applyNumberFormat="1"/>
    <xf numFmtId="3" fontId="0" fillId="0" borderId="0" xfId="0" applyNumberFormat="1"/>
    <xf numFmtId="0" fontId="19" fillId="0" borderId="0" xfId="0" applyFont="1"/>
    <xf numFmtId="0" fontId="18" fillId="0" borderId="0" xfId="0" applyFont="1" applyAlignment="1">
      <alignment horizontal="center"/>
    </xf>
    <xf numFmtId="3" fontId="0" fillId="3" borderId="0" xfId="0" applyNumberFormat="1" applyFill="1"/>
    <xf numFmtId="0" fontId="18" fillId="4" borderId="0" xfId="0" applyFont="1" applyFill="1"/>
    <xf numFmtId="0" fontId="18" fillId="4" borderId="0" xfId="0" applyFont="1" applyFill="1" applyAlignment="1">
      <alignment horizontal="center"/>
    </xf>
    <xf numFmtId="0" fontId="0" fillId="4" borderId="0" xfId="0" applyFill="1"/>
    <xf numFmtId="2" fontId="0" fillId="4" borderId="0" xfId="0" applyNumberFormat="1" applyFill="1"/>
    <xf numFmtId="2" fontId="18" fillId="4" borderId="0" xfId="0" applyNumberFormat="1" applyFont="1" applyFill="1"/>
    <xf numFmtId="3" fontId="7" fillId="4" borderId="0" xfId="0" applyNumberFormat="1" applyFont="1" applyFill="1"/>
    <xf numFmtId="3" fontId="17" fillId="4" borderId="0" xfId="0" applyNumberFormat="1" applyFont="1" applyFill="1"/>
    <xf numFmtId="2" fontId="18" fillId="4" borderId="0" xfId="0" applyNumberFormat="1" applyFont="1" applyFill="1" applyAlignment="1">
      <alignment horizontal="center"/>
    </xf>
    <xf numFmtId="3" fontId="18" fillId="4" borderId="0" xfId="0" applyNumberFormat="1" applyFont="1" applyFill="1"/>
    <xf numFmtId="3" fontId="18" fillId="4" borderId="0" xfId="0" applyNumberFormat="1" applyFont="1" applyFill="1" applyAlignment="1">
      <alignment horizontal="center"/>
    </xf>
    <xf numFmtId="3" fontId="0" fillId="4" borderId="0" xfId="0" applyNumberFormat="1" applyFill="1"/>
    <xf numFmtId="3" fontId="18" fillId="3" borderId="0" xfId="0" applyNumberFormat="1" applyFont="1" applyFill="1" applyAlignment="1">
      <alignment horizontal="center"/>
    </xf>
    <xf numFmtId="3" fontId="18" fillId="3" borderId="0" xfId="0" applyNumberFormat="1" applyFont="1" applyFill="1"/>
    <xf numFmtId="3" fontId="18" fillId="0" borderId="0" xfId="0" applyNumberFormat="1" applyFont="1" applyAlignment="1">
      <alignment horizontal="center"/>
    </xf>
    <xf numFmtId="3" fontId="18" fillId="0" borderId="0" xfId="0" applyNumberFormat="1" applyFont="1"/>
  </cellXfs>
  <cellStyles count="5">
    <cellStyle name="Comma 4" xfId="3" xr:uid="{53160A16-4E56-4B37-B3A7-EE75BE0E2D5E}"/>
    <cellStyle name="Hyperlink" xfId="1" builtinId="8"/>
    <cellStyle name="Normal" xfId="0" builtinId="0"/>
    <cellStyle name="Normal 2" xfId="2" xr:uid="{D5FB3390-BAE4-4B58-BD02-26EA2F228DEC}"/>
    <cellStyle name="Percent 3" xfId="4" xr:uid="{D6750650-6A9A-41F9-A9B5-D3AB798DDB31}"/>
  </cellStyles>
  <dxfs count="0"/>
  <tableStyles count="1" defaultTableStyle="TableStyleMedium2" defaultPivotStyle="PivotStyleMedium9">
    <tableStyle name="Invisible" pivot="0" table="0" count="0" xr9:uid="{9A85FFF9-FF3A-40EE-9B1C-0C6B1C4AC55A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45436</xdr:colOff>
      <xdr:row>0</xdr:row>
      <xdr:rowOff>0</xdr:rowOff>
    </xdr:from>
    <xdr:to>
      <xdr:col>19</xdr:col>
      <xdr:colOff>45436</xdr:colOff>
      <xdr:row>117</xdr:row>
      <xdr:rowOff>20053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97A9A93D-510F-23C5-BB9A-3A7D0D7364B0}"/>
            </a:ext>
          </a:extLst>
        </xdr:cNvPr>
        <xdr:cNvCxnSpPr/>
      </xdr:nvCxnSpPr>
      <xdr:spPr>
        <a:xfrm>
          <a:off x="10559107" y="0"/>
          <a:ext cx="0" cy="1743030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1drv.ms/x/s!Ak_roF-TbJAyiJ8Nt0zepFb-OTFJFA?e=46E6TZ&amp;nav=MTJfJEokMTJfezAwMDAwMDAwLTAwMDEtMDAwMC0wMDAwLTAwMDAwMDAwMDAwMH0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23"/>
  <sheetViews>
    <sheetView tabSelected="1" zoomScaleNormal="100" workbookViewId="0">
      <selection activeCell="K3" sqref="K3"/>
    </sheetView>
  </sheetViews>
  <sheetFormatPr defaultColWidth="9.1796875" defaultRowHeight="12.5"/>
  <cols>
    <col min="1" max="1" width="9.1796875" style="2"/>
    <col min="2" max="2" width="21.6328125" style="2" bestFit="1" customWidth="1"/>
    <col min="3" max="16384" width="9.1796875" style="2"/>
  </cols>
  <sheetData>
    <row r="2" spans="2:12">
      <c r="B2" s="17" t="s">
        <v>83</v>
      </c>
      <c r="C2" s="15"/>
      <c r="J2" s="15" t="s">
        <v>0</v>
      </c>
      <c r="K2" s="16">
        <v>472.4</v>
      </c>
    </row>
    <row r="3" spans="2:12">
      <c r="B3" s="15" t="s">
        <v>62</v>
      </c>
      <c r="C3" s="15" t="s">
        <v>63</v>
      </c>
      <c r="J3" s="15" t="s">
        <v>1</v>
      </c>
      <c r="K3" s="14">
        <v>273.60000000000002</v>
      </c>
      <c r="L3" s="13" t="s">
        <v>53</v>
      </c>
    </row>
    <row r="4" spans="2:12">
      <c r="B4" s="15" t="s">
        <v>64</v>
      </c>
      <c r="D4" s="2" t="s">
        <v>84</v>
      </c>
      <c r="J4" s="15" t="s">
        <v>2</v>
      </c>
      <c r="K4" s="14">
        <f>K2*K3</f>
        <v>129248.64</v>
      </c>
    </row>
    <row r="5" spans="2:12">
      <c r="B5" s="15" t="s">
        <v>65</v>
      </c>
      <c r="C5" s="15"/>
      <c r="J5" s="15" t="s">
        <v>3</v>
      </c>
      <c r="K5" s="14">
        <f>7004+1140</f>
        <v>8144</v>
      </c>
      <c r="L5" s="13" t="s">
        <v>53</v>
      </c>
    </row>
    <row r="6" spans="2:12">
      <c r="B6" s="15" t="s">
        <v>66</v>
      </c>
      <c r="C6" s="15"/>
      <c r="J6" s="15" t="s">
        <v>4</v>
      </c>
      <c r="K6" s="14">
        <f>15294+42692</f>
        <v>57986</v>
      </c>
      <c r="L6" s="13" t="s">
        <v>53</v>
      </c>
    </row>
    <row r="7" spans="2:12">
      <c r="B7" s="15" t="s">
        <v>67</v>
      </c>
      <c r="C7" s="15"/>
      <c r="J7" s="15" t="s">
        <v>5</v>
      </c>
      <c r="K7" s="14">
        <f>K4-K5+K6</f>
        <v>179090.64</v>
      </c>
    </row>
    <row r="8" spans="2:12">
      <c r="B8" s="15" t="s">
        <v>68</v>
      </c>
      <c r="C8" s="15"/>
    </row>
    <row r="9" spans="2:12">
      <c r="B9" s="15" t="s">
        <v>69</v>
      </c>
      <c r="C9" s="15"/>
    </row>
    <row r="10" spans="2:12">
      <c r="B10" s="15" t="s">
        <v>70</v>
      </c>
      <c r="C10" s="15"/>
    </row>
    <row r="11" spans="2:12">
      <c r="B11" s="15" t="s">
        <v>71</v>
      </c>
      <c r="C11" s="15"/>
      <c r="J11" s="2" t="s">
        <v>131</v>
      </c>
    </row>
    <row r="12" spans="2:12" ht="14.5">
      <c r="J12" s="43" t="s">
        <v>132</v>
      </c>
    </row>
    <row r="13" spans="2:12">
      <c r="B13" s="17" t="s">
        <v>72</v>
      </c>
    </row>
    <row r="14" spans="2:12">
      <c r="B14" s="15" t="s">
        <v>73</v>
      </c>
    </row>
    <row r="15" spans="2:12" ht="13">
      <c r="B15" s="15" t="s">
        <v>74</v>
      </c>
      <c r="J15" s="48" t="s">
        <v>267</v>
      </c>
    </row>
    <row r="16" spans="2:12">
      <c r="B16" s="15" t="s">
        <v>75</v>
      </c>
    </row>
    <row r="17" spans="2:2">
      <c r="B17" s="15" t="s">
        <v>76</v>
      </c>
    </row>
    <row r="18" spans="2:2">
      <c r="B18" s="15" t="s">
        <v>77</v>
      </c>
    </row>
    <row r="19" spans="2:2">
      <c r="B19" s="15" t="s">
        <v>78</v>
      </c>
    </row>
    <row r="20" spans="2:2">
      <c r="B20" s="15" t="s">
        <v>79</v>
      </c>
    </row>
    <row r="21" spans="2:2">
      <c r="B21" s="15" t="s">
        <v>80</v>
      </c>
    </row>
    <row r="22" spans="2:2">
      <c r="B22" s="15" t="s">
        <v>81</v>
      </c>
    </row>
    <row r="23" spans="2:2">
      <c r="B23" s="15" t="s">
        <v>82</v>
      </c>
    </row>
  </sheetData>
  <hyperlinks>
    <hyperlink ref="J12" r:id="rId1" xr:uid="{0448A24A-F75C-4EAE-9C76-64B077B5F0B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921DB-62EE-49E5-94B1-0F56666D22CA}">
  <dimension ref="A1:P119"/>
  <sheetViews>
    <sheetView zoomScale="90" zoomScaleNormal="90" workbookViewId="0">
      <pane xSplit="1" topLeftCell="E1" activePane="topRight" state="frozen"/>
      <selection pane="topRight" activeCell="R1" sqref="R1"/>
    </sheetView>
  </sheetViews>
  <sheetFormatPr defaultRowHeight="14.5"/>
  <cols>
    <col min="1" max="1" width="32.453125" bestFit="1" customWidth="1"/>
    <col min="2" max="2" width="10.6328125" bestFit="1" customWidth="1"/>
    <col min="5" max="6" width="10.6328125" bestFit="1" customWidth="1"/>
    <col min="14" max="14" width="8.7265625" style="49"/>
  </cols>
  <sheetData>
    <row r="1" spans="1:16">
      <c r="A1" t="s">
        <v>262</v>
      </c>
      <c r="C1" t="s">
        <v>263</v>
      </c>
      <c r="D1" t="s">
        <v>263</v>
      </c>
      <c r="E1" t="s">
        <v>263</v>
      </c>
      <c r="F1" t="s">
        <v>263</v>
      </c>
      <c r="G1" t="s">
        <v>263</v>
      </c>
      <c r="H1" t="s">
        <v>263</v>
      </c>
      <c r="I1" t="s">
        <v>263</v>
      </c>
      <c r="J1" t="s">
        <v>263</v>
      </c>
      <c r="K1" t="s">
        <v>263</v>
      </c>
      <c r="L1" t="s">
        <v>263</v>
      </c>
      <c r="M1" t="s">
        <v>263</v>
      </c>
      <c r="N1" s="49" t="s">
        <v>261</v>
      </c>
      <c r="O1" t="s">
        <v>264</v>
      </c>
    </row>
    <row r="2" spans="1:16">
      <c r="B2" s="46">
        <v>44863</v>
      </c>
      <c r="F2" s="46">
        <v>45229</v>
      </c>
      <c r="N2" s="49" t="s">
        <v>261</v>
      </c>
    </row>
    <row r="3" spans="1:16" s="45" customFormat="1">
      <c r="A3" s="45" t="s">
        <v>265</v>
      </c>
      <c r="B3" s="45" t="s">
        <v>256</v>
      </c>
      <c r="C3" s="45" t="s">
        <v>227</v>
      </c>
      <c r="D3" s="45" t="s">
        <v>226</v>
      </c>
      <c r="E3" s="45" t="s">
        <v>31</v>
      </c>
      <c r="F3" s="45" t="s">
        <v>32</v>
      </c>
      <c r="G3" s="45" t="s">
        <v>202</v>
      </c>
      <c r="H3" s="45" t="s">
        <v>52</v>
      </c>
      <c r="I3" s="45" t="s">
        <v>53</v>
      </c>
      <c r="J3" s="45" t="s">
        <v>54</v>
      </c>
      <c r="K3" s="45" t="s">
        <v>55</v>
      </c>
      <c r="L3" s="45" t="s">
        <v>56</v>
      </c>
      <c r="M3" s="45" t="s">
        <v>57</v>
      </c>
      <c r="N3" s="49" t="s">
        <v>261</v>
      </c>
      <c r="O3" s="45">
        <v>2023</v>
      </c>
      <c r="P3" s="45">
        <v>2024</v>
      </c>
    </row>
    <row r="4" spans="1:16">
      <c r="N4" s="49" t="s">
        <v>261</v>
      </c>
    </row>
    <row r="5" spans="1:16" s="50" customFormat="1">
      <c r="A5" s="50" t="s">
        <v>259</v>
      </c>
      <c r="F5" s="50">
        <v>83000</v>
      </c>
      <c r="N5" s="62" t="s">
        <v>261</v>
      </c>
    </row>
    <row r="6" spans="1:16" s="50" customFormat="1">
      <c r="A6" s="50" t="s">
        <v>254</v>
      </c>
      <c r="F6" s="50">
        <v>2050</v>
      </c>
      <c r="N6" s="62" t="s">
        <v>261</v>
      </c>
    </row>
    <row r="7" spans="1:16" s="50" customFormat="1">
      <c r="A7" s="50" t="s">
        <v>255</v>
      </c>
      <c r="B7" s="50">
        <v>9700</v>
      </c>
      <c r="F7" s="50">
        <v>7900</v>
      </c>
      <c r="N7" s="62" t="s">
        <v>261</v>
      </c>
    </row>
    <row r="8" spans="1:16" s="50" customFormat="1">
      <c r="A8" s="50" t="s">
        <v>257</v>
      </c>
      <c r="B8" s="50">
        <v>4600</v>
      </c>
      <c r="F8" s="50">
        <v>3300</v>
      </c>
      <c r="N8" s="62" t="s">
        <v>261</v>
      </c>
    </row>
    <row r="9" spans="1:16" s="50" customFormat="1">
      <c r="A9" s="50" t="s">
        <v>258</v>
      </c>
      <c r="B9" s="50">
        <v>8200</v>
      </c>
      <c r="F9" s="50">
        <v>6400</v>
      </c>
      <c r="N9" s="62" t="s">
        <v>261</v>
      </c>
    </row>
    <row r="10" spans="1:16" s="50" customFormat="1">
      <c r="N10" s="62" t="s">
        <v>261</v>
      </c>
    </row>
    <row r="11" spans="1:16" s="50" customFormat="1">
      <c r="A11" s="50" t="s">
        <v>260</v>
      </c>
      <c r="C11" s="50">
        <v>5112</v>
      </c>
      <c r="D11" s="50">
        <v>7733</v>
      </c>
      <c r="E11" s="50">
        <v>6721</v>
      </c>
      <c r="F11" s="50">
        <f t="shared" ref="F11:F19" si="0">O11-E11-D11-C11</f>
        <v>6884</v>
      </c>
      <c r="G11" s="50">
        <v>4791</v>
      </c>
      <c r="H11" s="50">
        <v>6507</v>
      </c>
      <c r="I11" s="50">
        <v>5038</v>
      </c>
      <c r="J11" s="50">
        <v>4305</v>
      </c>
      <c r="N11" s="62" t="s">
        <v>261</v>
      </c>
      <c r="O11" s="50">
        <v>26450</v>
      </c>
    </row>
    <row r="12" spans="1:16" s="50" customFormat="1">
      <c r="A12" s="50" t="s">
        <v>64</v>
      </c>
      <c r="C12" s="50">
        <v>2194</v>
      </c>
      <c r="D12" s="50">
        <v>2952</v>
      </c>
      <c r="E12" s="50">
        <v>2688</v>
      </c>
      <c r="F12" s="50">
        <f t="shared" si="0"/>
        <v>2288</v>
      </c>
      <c r="G12" s="50">
        <v>1718</v>
      </c>
      <c r="H12" s="50">
        <v>2098</v>
      </c>
      <c r="I12" s="50">
        <v>2168</v>
      </c>
      <c r="J12" s="50">
        <v>2306</v>
      </c>
      <c r="N12" s="62" t="s">
        <v>261</v>
      </c>
      <c r="O12" s="50">
        <v>10122</v>
      </c>
    </row>
    <row r="13" spans="1:16" s="50" customFormat="1">
      <c r="A13" s="50" t="s">
        <v>65</v>
      </c>
      <c r="C13" s="50">
        <v>719</v>
      </c>
      <c r="D13" s="50">
        <v>1099</v>
      </c>
      <c r="E13" s="50">
        <v>964</v>
      </c>
      <c r="F13" s="50">
        <f t="shared" si="0"/>
        <v>723</v>
      </c>
      <c r="G13" s="50">
        <v>649</v>
      </c>
      <c r="H13" s="50">
        <v>1017</v>
      </c>
      <c r="I13" s="50">
        <v>825</v>
      </c>
      <c r="J13" s="50">
        <v>2664</v>
      </c>
      <c r="N13" s="62" t="s">
        <v>261</v>
      </c>
      <c r="O13" s="50">
        <v>3505</v>
      </c>
    </row>
    <row r="14" spans="1:16" s="50" customFormat="1">
      <c r="A14" s="50" t="s">
        <v>66</v>
      </c>
      <c r="C14" s="50">
        <v>1483</v>
      </c>
      <c r="D14" s="50">
        <v>1813</v>
      </c>
      <c r="E14" s="50">
        <v>1745</v>
      </c>
      <c r="F14" s="50">
        <f t="shared" si="0"/>
        <v>1801</v>
      </c>
      <c r="G14" s="50">
        <v>1483</v>
      </c>
      <c r="H14" s="50">
        <v>1736</v>
      </c>
      <c r="I14" s="50">
        <v>1308</v>
      </c>
      <c r="J14" s="50">
        <v>1522</v>
      </c>
      <c r="N14" s="62" t="s">
        <v>261</v>
      </c>
      <c r="O14" s="50">
        <v>6842</v>
      </c>
    </row>
    <row r="15" spans="1:16" s="50" customFormat="1">
      <c r="A15" s="50" t="s">
        <v>104</v>
      </c>
      <c r="C15" s="50">
        <v>473</v>
      </c>
      <c r="D15" s="50">
        <v>663</v>
      </c>
      <c r="E15" s="50">
        <v>614</v>
      </c>
      <c r="F15" s="50">
        <f t="shared" si="0"/>
        <v>701</v>
      </c>
      <c r="G15" s="50">
        <v>626</v>
      </c>
      <c r="H15" s="50">
        <v>695</v>
      </c>
      <c r="I15" s="50">
        <v>643</v>
      </c>
      <c r="J15" s="50">
        <v>346</v>
      </c>
      <c r="N15" s="62" t="s">
        <v>261</v>
      </c>
      <c r="O15" s="50">
        <v>2451</v>
      </c>
    </row>
    <row r="16" spans="1:16" s="50" customFormat="1">
      <c r="A16" s="50" t="s">
        <v>68</v>
      </c>
      <c r="C16" s="50">
        <v>818</v>
      </c>
      <c r="D16" s="50">
        <v>1134</v>
      </c>
      <c r="E16" s="50">
        <v>987</v>
      </c>
      <c r="F16" s="50">
        <f t="shared" si="0"/>
        <v>855</v>
      </c>
      <c r="G16" s="50">
        <v>763</v>
      </c>
      <c r="H16" s="50">
        <v>1080</v>
      </c>
      <c r="I16" s="50">
        <v>961</v>
      </c>
      <c r="N16" s="62" t="s">
        <v>261</v>
      </c>
      <c r="O16" s="50">
        <v>3794</v>
      </c>
    </row>
    <row r="17" spans="1:16" s="50" customFormat="1">
      <c r="A17" s="50" t="s">
        <v>69</v>
      </c>
      <c r="C17" s="50">
        <v>356</v>
      </c>
      <c r="D17" s="50">
        <v>429</v>
      </c>
      <c r="E17" s="50">
        <v>334</v>
      </c>
      <c r="F17" s="50">
        <f t="shared" si="0"/>
        <v>310</v>
      </c>
      <c r="G17" s="50">
        <v>292</v>
      </c>
      <c r="H17" s="50">
        <v>271</v>
      </c>
      <c r="I17" s="50">
        <v>269</v>
      </c>
      <c r="N17" s="62" t="s">
        <v>261</v>
      </c>
      <c r="O17" s="50">
        <v>1429</v>
      </c>
    </row>
    <row r="18" spans="1:16" s="50" customFormat="1">
      <c r="A18" s="50" t="s">
        <v>70</v>
      </c>
      <c r="C18" s="50">
        <v>1102</v>
      </c>
      <c r="D18" s="50">
        <v>1168</v>
      </c>
      <c r="E18" s="50">
        <v>1360</v>
      </c>
      <c r="F18" s="50">
        <f t="shared" si="0"/>
        <v>1464</v>
      </c>
      <c r="G18" s="50">
        <v>1480</v>
      </c>
      <c r="H18" s="50">
        <v>1483</v>
      </c>
      <c r="I18" s="50">
        <v>1595</v>
      </c>
      <c r="N18" s="62" t="s">
        <v>261</v>
      </c>
      <c r="O18" s="50">
        <v>5094</v>
      </c>
    </row>
    <row r="19" spans="1:16" s="50" customFormat="1">
      <c r="A19" s="50" t="s">
        <v>71</v>
      </c>
      <c r="C19" s="50">
        <v>395</v>
      </c>
      <c r="D19" s="50">
        <v>396</v>
      </c>
      <c r="E19" s="50">
        <v>388</v>
      </c>
      <c r="F19" s="50">
        <f t="shared" si="0"/>
        <v>385</v>
      </c>
      <c r="G19" s="50">
        <v>383</v>
      </c>
      <c r="H19" s="50">
        <v>348</v>
      </c>
      <c r="I19" s="50">
        <v>345</v>
      </c>
      <c r="N19" s="62" t="s">
        <v>261</v>
      </c>
      <c r="O19" s="50">
        <v>1564</v>
      </c>
    </row>
    <row r="20" spans="1:16" s="63" customFormat="1">
      <c r="A20" s="63" t="s">
        <v>163</v>
      </c>
      <c r="C20" s="63">
        <f t="shared" ref="C20:H20" si="1">SUM(C11:C19)</f>
        <v>12652</v>
      </c>
      <c r="D20" s="63">
        <f t="shared" si="1"/>
        <v>17387</v>
      </c>
      <c r="E20" s="63">
        <f t="shared" si="1"/>
        <v>15801</v>
      </c>
      <c r="F20" s="63">
        <f t="shared" si="1"/>
        <v>15411</v>
      </c>
      <c r="G20" s="63">
        <f t="shared" si="1"/>
        <v>12185</v>
      </c>
      <c r="H20" s="63">
        <f t="shared" si="1"/>
        <v>15235</v>
      </c>
      <c r="I20" s="63">
        <f>SUM(I11:I19)</f>
        <v>13152</v>
      </c>
      <c r="J20" s="63">
        <f>SUM(J11:J19)</f>
        <v>11143</v>
      </c>
      <c r="K20" s="63">
        <f>SUM(K11:K19)</f>
        <v>0</v>
      </c>
      <c r="L20" s="63">
        <f>SUM(L11:L19)</f>
        <v>0</v>
      </c>
      <c r="M20" s="63">
        <f>SUM(M11:M19)</f>
        <v>0</v>
      </c>
      <c r="N20" s="62" t="s">
        <v>261</v>
      </c>
      <c r="O20" s="63">
        <f>SUM(O11:O19)</f>
        <v>61251</v>
      </c>
      <c r="P20" s="63">
        <f>SUM(P11:P19)</f>
        <v>0</v>
      </c>
    </row>
    <row r="21" spans="1:16" s="50" customFormat="1">
      <c r="N21" s="62" t="s">
        <v>261</v>
      </c>
    </row>
    <row r="22" spans="1:16" s="50" customFormat="1">
      <c r="A22" s="50" t="s">
        <v>164</v>
      </c>
      <c r="C22" s="50">
        <v>6907</v>
      </c>
      <c r="D22" s="50">
        <v>9626</v>
      </c>
      <c r="E22" s="50">
        <v>8698</v>
      </c>
      <c r="F22" s="50">
        <f t="shared" ref="F22:F27" si="2">O22-E22-D22-C22</f>
        <v>8874</v>
      </c>
      <c r="G22" s="50">
        <v>7131</v>
      </c>
      <c r="H22" s="50">
        <v>9219</v>
      </c>
      <c r="I22" s="50">
        <v>7706</v>
      </c>
      <c r="N22" s="62" t="s">
        <v>261</v>
      </c>
      <c r="O22" s="50">
        <v>34105</v>
      </c>
    </row>
    <row r="23" spans="1:16" s="50" customFormat="1">
      <c r="A23" s="50" t="s">
        <v>165</v>
      </c>
      <c r="C23" s="50">
        <v>931</v>
      </c>
      <c r="D23" s="50">
        <v>1190</v>
      </c>
      <c r="E23" s="50">
        <v>1029</v>
      </c>
      <c r="F23" s="50">
        <f t="shared" si="2"/>
        <v>1137</v>
      </c>
      <c r="G23" s="50">
        <v>886</v>
      </c>
      <c r="H23" s="50">
        <v>1184</v>
      </c>
      <c r="I23" s="50">
        <v>1070</v>
      </c>
      <c r="N23" s="62" t="s">
        <v>261</v>
      </c>
      <c r="O23" s="50">
        <v>4287</v>
      </c>
    </row>
    <row r="24" spans="1:16" s="50" customFormat="1">
      <c r="A24" s="50" t="s">
        <v>166</v>
      </c>
      <c r="C24" s="50">
        <v>1459</v>
      </c>
      <c r="D24" s="50">
        <v>2169</v>
      </c>
      <c r="E24" s="50">
        <v>2091</v>
      </c>
      <c r="F24" s="50">
        <f t="shared" si="2"/>
        <v>1602</v>
      </c>
      <c r="G24" s="50">
        <v>1421</v>
      </c>
      <c r="H24" s="50">
        <v>1857</v>
      </c>
      <c r="I24" s="50">
        <v>1560</v>
      </c>
      <c r="N24" s="62" t="s">
        <v>261</v>
      </c>
      <c r="O24" s="50">
        <v>7321</v>
      </c>
    </row>
    <row r="25" spans="1:16" s="50" customFormat="1">
      <c r="A25" s="50" t="s">
        <v>167</v>
      </c>
      <c r="C25" s="50">
        <v>412</v>
      </c>
      <c r="D25" s="50">
        <v>703</v>
      </c>
      <c r="E25" s="50">
        <v>491</v>
      </c>
      <c r="F25" s="50">
        <f t="shared" si="2"/>
        <v>531</v>
      </c>
      <c r="G25" s="50">
        <v>354</v>
      </c>
      <c r="H25" s="50">
        <v>454</v>
      </c>
      <c r="I25" s="50">
        <v>389</v>
      </c>
      <c r="N25" s="62" t="s">
        <v>261</v>
      </c>
      <c r="O25" s="50">
        <v>2137</v>
      </c>
    </row>
    <row r="26" spans="1:16" s="50" customFormat="1">
      <c r="A26" s="50" t="s">
        <v>168</v>
      </c>
      <c r="C26" s="50">
        <v>1827</v>
      </c>
      <c r="D26" s="50">
        <v>2238</v>
      </c>
      <c r="E26" s="50">
        <v>2034</v>
      </c>
      <c r="F26" s="50">
        <f t="shared" si="2"/>
        <v>2098</v>
      </c>
      <c r="G26" s="50">
        <v>1303</v>
      </c>
      <c r="H26" s="50">
        <v>1409</v>
      </c>
      <c r="I26" s="50">
        <v>1365</v>
      </c>
      <c r="N26" s="62" t="s">
        <v>261</v>
      </c>
      <c r="O26" s="50">
        <v>8197</v>
      </c>
    </row>
    <row r="27" spans="1:16" s="50" customFormat="1">
      <c r="A27" s="50" t="s">
        <v>169</v>
      </c>
      <c r="C27" s="50">
        <v>1116</v>
      </c>
      <c r="D27" s="50">
        <v>1461</v>
      </c>
      <c r="E27" s="50">
        <v>1458</v>
      </c>
      <c r="F27" s="50">
        <f t="shared" si="2"/>
        <v>1169</v>
      </c>
      <c r="G27" s="50">
        <v>1090</v>
      </c>
      <c r="H27" s="50">
        <v>1112</v>
      </c>
      <c r="I27" s="50">
        <v>1062</v>
      </c>
      <c r="N27" s="62" t="s">
        <v>261</v>
      </c>
      <c r="O27" s="50">
        <v>5204</v>
      </c>
    </row>
    <row r="28" spans="1:16" s="63" customFormat="1">
      <c r="A28" s="63" t="s">
        <v>170</v>
      </c>
      <c r="C28" s="63">
        <f t="shared" ref="C28:H28" si="3">SUM(C22:C27)</f>
        <v>12652</v>
      </c>
      <c r="D28" s="63">
        <f t="shared" si="3"/>
        <v>17387</v>
      </c>
      <c r="E28" s="63">
        <f t="shared" si="3"/>
        <v>15801</v>
      </c>
      <c r="F28" s="63">
        <f t="shared" si="3"/>
        <v>15411</v>
      </c>
      <c r="G28" s="63">
        <f t="shared" si="3"/>
        <v>12185</v>
      </c>
      <c r="H28" s="63">
        <f t="shared" si="3"/>
        <v>15235</v>
      </c>
      <c r="I28" s="63">
        <f>SUM(I22:I27)</f>
        <v>13152</v>
      </c>
      <c r="J28" s="63">
        <f>SUM(J22:J27)</f>
        <v>0</v>
      </c>
      <c r="K28" s="63">
        <f>SUM(K22:K27)</f>
        <v>0</v>
      </c>
      <c r="L28" s="63">
        <f>SUM(L22:L27)</f>
        <v>0</v>
      </c>
      <c r="M28" s="63">
        <f>SUM(M22:M27)</f>
        <v>0</v>
      </c>
      <c r="N28" s="62" t="s">
        <v>261</v>
      </c>
      <c r="O28" s="63">
        <f>SUM(O22:O27)</f>
        <v>61251</v>
      </c>
      <c r="P28" s="63">
        <f>SUM(P22:P27)</f>
        <v>0</v>
      </c>
    </row>
    <row r="29" spans="1:16">
      <c r="N29" s="49" t="s">
        <v>261</v>
      </c>
    </row>
    <row r="30" spans="1:16" s="45" customFormat="1">
      <c r="C30" s="45" t="str">
        <f t="shared" ref="C30:D30" si="4">C3</f>
        <v>Q123</v>
      </c>
      <c r="D30" s="45" t="str">
        <f t="shared" si="4"/>
        <v>Q223</v>
      </c>
      <c r="E30" s="45" t="str">
        <f>E3</f>
        <v>Q323</v>
      </c>
      <c r="F30" s="45" t="str">
        <f t="shared" ref="F30:H30" si="5">F3</f>
        <v>Q423</v>
      </c>
      <c r="G30" s="45" t="str">
        <f t="shared" si="5"/>
        <v>Q124</v>
      </c>
      <c r="H30" s="45" t="str">
        <f t="shared" si="5"/>
        <v>Q224</v>
      </c>
      <c r="I30" s="45" t="str">
        <f>I3</f>
        <v>Q324</v>
      </c>
      <c r="J30" s="45" t="str">
        <f>J3</f>
        <v>Q424</v>
      </c>
      <c r="K30" s="45" t="str">
        <f>K3</f>
        <v>Q125</v>
      </c>
      <c r="L30" s="45" t="str">
        <f>L3</f>
        <v>Q225</v>
      </c>
      <c r="M30" s="45" t="str">
        <f>M3</f>
        <v>Q325</v>
      </c>
      <c r="N30" s="49" t="s">
        <v>261</v>
      </c>
      <c r="O30" s="45">
        <f t="shared" ref="O30:P30" si="6">O3</f>
        <v>2023</v>
      </c>
      <c r="P30" s="45">
        <f t="shared" si="6"/>
        <v>2024</v>
      </c>
    </row>
    <row r="31" spans="1:16" s="59" customFormat="1">
      <c r="A31" s="59" t="s">
        <v>159</v>
      </c>
      <c r="N31" s="60" t="s">
        <v>261</v>
      </c>
    </row>
    <row r="32" spans="1:16" s="61" customFormat="1">
      <c r="A32" s="61" t="s">
        <v>158</v>
      </c>
      <c r="C32" s="61">
        <v>11402</v>
      </c>
      <c r="D32" s="61">
        <v>16079</v>
      </c>
      <c r="E32" s="61">
        <v>14284</v>
      </c>
      <c r="F32" s="61">
        <v>13801</v>
      </c>
      <c r="G32" s="61">
        <v>10486</v>
      </c>
      <c r="H32" s="61">
        <v>13610</v>
      </c>
      <c r="I32" s="61">
        <v>11387</v>
      </c>
      <c r="N32" s="60" t="s">
        <v>261</v>
      </c>
      <c r="O32" s="61">
        <f>SUM(C32:F32)</f>
        <v>55566</v>
      </c>
      <c r="P32" s="61">
        <v>44759</v>
      </c>
    </row>
    <row r="33" spans="1:16" s="61" customFormat="1">
      <c r="A33" s="61" t="s">
        <v>160</v>
      </c>
      <c r="C33" s="61">
        <v>994</v>
      </c>
      <c r="D33" s="61">
        <v>1079</v>
      </c>
      <c r="E33" s="61">
        <v>1253</v>
      </c>
      <c r="F33" s="61">
        <v>1357</v>
      </c>
      <c r="G33" s="61">
        <v>1360</v>
      </c>
      <c r="H33" s="61">
        <v>1387</v>
      </c>
      <c r="I33" s="61">
        <v>1461</v>
      </c>
      <c r="N33" s="60" t="s">
        <v>261</v>
      </c>
      <c r="O33" s="61">
        <f>SUM(C33:F33)</f>
        <v>4683</v>
      </c>
      <c r="P33" s="61">
        <v>5759</v>
      </c>
    </row>
    <row r="34" spans="1:16" s="61" customFormat="1">
      <c r="A34" s="61" t="s">
        <v>161</v>
      </c>
      <c r="C34" s="61">
        <v>256</v>
      </c>
      <c r="D34" s="61">
        <v>229</v>
      </c>
      <c r="E34" s="61">
        <v>264</v>
      </c>
      <c r="F34" s="61">
        <v>254</v>
      </c>
      <c r="G34" s="61">
        <v>339</v>
      </c>
      <c r="H34" s="61">
        <v>238</v>
      </c>
      <c r="I34" s="61">
        <v>304</v>
      </c>
      <c r="N34" s="60" t="s">
        <v>261</v>
      </c>
      <c r="O34" s="61">
        <f>SUM(C34:F34)</f>
        <v>1003</v>
      </c>
      <c r="P34" s="61">
        <v>1198</v>
      </c>
    </row>
    <row r="35" spans="1:16" s="59" customFormat="1">
      <c r="A35" s="59" t="s">
        <v>162</v>
      </c>
      <c r="C35" s="59">
        <f t="shared" ref="C35:H35" si="7">SUM(C32:C34)</f>
        <v>12652</v>
      </c>
      <c r="D35" s="59">
        <f t="shared" si="7"/>
        <v>17387</v>
      </c>
      <c r="E35" s="59">
        <f t="shared" si="7"/>
        <v>15801</v>
      </c>
      <c r="F35" s="59">
        <f t="shared" si="7"/>
        <v>15412</v>
      </c>
      <c r="G35" s="59">
        <f t="shared" si="7"/>
        <v>12185</v>
      </c>
      <c r="H35" s="59">
        <f t="shared" si="7"/>
        <v>15235</v>
      </c>
      <c r="I35" s="59">
        <f>SUM(I32:I34)</f>
        <v>13152</v>
      </c>
      <c r="J35" s="59">
        <f>SUM(J32:J34)</f>
        <v>0</v>
      </c>
      <c r="K35" s="59">
        <f>SUM(K32:K34)</f>
        <v>0</v>
      </c>
      <c r="L35" s="59">
        <f>SUM(L32:L34)</f>
        <v>0</v>
      </c>
      <c r="M35" s="59">
        <f>SUM(M32:M34)</f>
        <v>0</v>
      </c>
      <c r="N35" s="60" t="s">
        <v>261</v>
      </c>
      <c r="O35" s="59">
        <f t="shared" ref="O35:P35" si="8">SUM(O32:O34)</f>
        <v>61252</v>
      </c>
      <c r="P35" s="59">
        <f t="shared" si="8"/>
        <v>51716</v>
      </c>
    </row>
    <row r="36" spans="1:16" s="61" customFormat="1">
      <c r="A36" s="61" t="s">
        <v>109</v>
      </c>
      <c r="C36" s="61">
        <v>7934</v>
      </c>
      <c r="D36" s="61">
        <v>10730</v>
      </c>
      <c r="E36" s="61">
        <v>9624</v>
      </c>
      <c r="F36" s="61">
        <v>9427</v>
      </c>
      <c r="G36" s="61">
        <v>7200</v>
      </c>
      <c r="H36" s="61">
        <v>9157</v>
      </c>
      <c r="I36" s="61">
        <v>7848</v>
      </c>
      <c r="N36" s="60" t="s">
        <v>261</v>
      </c>
      <c r="O36" s="61">
        <f>SUM(C36:F36)</f>
        <v>37715</v>
      </c>
      <c r="P36" s="61">
        <v>30775</v>
      </c>
    </row>
    <row r="37" spans="1:16" s="59" customFormat="1">
      <c r="A37" s="59" t="s">
        <v>171</v>
      </c>
      <c r="C37" s="59">
        <f t="shared" ref="C37:H37" si="9">C35-C36</f>
        <v>4718</v>
      </c>
      <c r="D37" s="59">
        <f t="shared" si="9"/>
        <v>6657</v>
      </c>
      <c r="E37" s="59">
        <f t="shared" si="9"/>
        <v>6177</v>
      </c>
      <c r="F37" s="59">
        <f t="shared" si="9"/>
        <v>5985</v>
      </c>
      <c r="G37" s="59">
        <f t="shared" si="9"/>
        <v>4985</v>
      </c>
      <c r="H37" s="59">
        <f t="shared" si="9"/>
        <v>6078</v>
      </c>
      <c r="I37" s="59">
        <f>I35-I36</f>
        <v>5304</v>
      </c>
      <c r="J37" s="59">
        <f>J35-J36</f>
        <v>0</v>
      </c>
      <c r="K37" s="59">
        <f>K35-K36</f>
        <v>0</v>
      </c>
      <c r="L37" s="59">
        <f>L35-L36</f>
        <v>0</v>
      </c>
      <c r="M37" s="59">
        <f>M35-M36</f>
        <v>0</v>
      </c>
      <c r="N37" s="60" t="s">
        <v>261</v>
      </c>
      <c r="O37" s="59">
        <f t="shared" ref="O37:P37" si="10">O35-O36</f>
        <v>23537</v>
      </c>
      <c r="P37" s="59">
        <f t="shared" si="10"/>
        <v>20941</v>
      </c>
    </row>
    <row r="38" spans="1:16" s="61" customFormat="1">
      <c r="A38" s="61" t="s">
        <v>266</v>
      </c>
      <c r="C38" s="61">
        <v>495</v>
      </c>
      <c r="D38" s="61">
        <v>547</v>
      </c>
      <c r="E38" s="61">
        <v>528</v>
      </c>
      <c r="F38" s="61">
        <v>606</v>
      </c>
      <c r="G38" s="61">
        <v>533</v>
      </c>
      <c r="H38" s="61">
        <v>565</v>
      </c>
      <c r="I38" s="61">
        <v>567</v>
      </c>
      <c r="N38" s="60" t="s">
        <v>261</v>
      </c>
      <c r="O38" s="61">
        <f>SUM(C38:F38)</f>
        <v>2176</v>
      </c>
      <c r="P38" s="61">
        <v>2290</v>
      </c>
    </row>
    <row r="39" spans="1:16" s="61" customFormat="1">
      <c r="A39" s="61" t="s">
        <v>173</v>
      </c>
      <c r="C39" s="61">
        <v>952</v>
      </c>
      <c r="D39" s="61">
        <v>1330</v>
      </c>
      <c r="E39" s="61">
        <v>1110</v>
      </c>
      <c r="F39" s="61">
        <v>1203</v>
      </c>
      <c r="G39" s="61">
        <v>1066</v>
      </c>
      <c r="H39" s="61">
        <v>1265</v>
      </c>
      <c r="I39" s="61">
        <v>1278</v>
      </c>
      <c r="N39" s="60" t="s">
        <v>261</v>
      </c>
      <c r="O39" s="61">
        <f>SUM(C39:F39)</f>
        <v>4595</v>
      </c>
      <c r="P39" s="61">
        <v>4840</v>
      </c>
    </row>
    <row r="40" spans="1:16" s="61" customFormat="1">
      <c r="A40" s="61" t="s">
        <v>174</v>
      </c>
      <c r="C40" s="61">
        <v>479</v>
      </c>
      <c r="D40" s="61">
        <v>569</v>
      </c>
      <c r="E40" s="61">
        <v>623</v>
      </c>
      <c r="F40" s="61">
        <v>781</v>
      </c>
      <c r="G40" s="61">
        <v>802</v>
      </c>
      <c r="H40" s="61">
        <v>836</v>
      </c>
      <c r="I40" s="61">
        <v>840</v>
      </c>
      <c r="N40" s="60" t="s">
        <v>261</v>
      </c>
      <c r="O40" s="61">
        <f>SUM(C40:F40)</f>
        <v>2452</v>
      </c>
      <c r="P40" s="61">
        <v>3348</v>
      </c>
    </row>
    <row r="41" spans="1:16" s="61" customFormat="1">
      <c r="A41" s="61" t="s">
        <v>175</v>
      </c>
      <c r="C41" s="61">
        <v>299</v>
      </c>
      <c r="D41" s="61">
        <v>363</v>
      </c>
      <c r="E41" s="61">
        <v>310</v>
      </c>
      <c r="F41" s="61">
        <v>322</v>
      </c>
      <c r="G41" s="61">
        <v>369</v>
      </c>
      <c r="H41" s="61">
        <v>295</v>
      </c>
      <c r="I41" s="61">
        <v>264</v>
      </c>
      <c r="N41" s="60" t="s">
        <v>261</v>
      </c>
      <c r="O41" s="61">
        <f>SUM(C41:F41)</f>
        <v>1294</v>
      </c>
      <c r="P41" s="61">
        <v>1257</v>
      </c>
    </row>
    <row r="42" spans="1:16" s="59" customFormat="1">
      <c r="A42" s="59" t="s">
        <v>172</v>
      </c>
      <c r="C42" s="59">
        <f t="shared" ref="C42:H42" si="11">SUM(C38:C41)+C36</f>
        <v>10159</v>
      </c>
      <c r="D42" s="59">
        <f t="shared" si="11"/>
        <v>13539</v>
      </c>
      <c r="E42" s="59">
        <f t="shared" si="11"/>
        <v>12195</v>
      </c>
      <c r="F42" s="59">
        <f t="shared" si="11"/>
        <v>12339</v>
      </c>
      <c r="G42" s="59">
        <f t="shared" si="11"/>
        <v>9970</v>
      </c>
      <c r="H42" s="59">
        <f t="shared" si="11"/>
        <v>12118</v>
      </c>
      <c r="I42" s="59">
        <f>SUM(I38:I41)+I36</f>
        <v>10797</v>
      </c>
      <c r="J42" s="59">
        <f>SUM(J38:J41)+J36</f>
        <v>0</v>
      </c>
      <c r="K42" s="59">
        <f>SUM(K38:K41)+K36</f>
        <v>0</v>
      </c>
      <c r="L42" s="59">
        <f>SUM(L38:L41)+L36</f>
        <v>0</v>
      </c>
      <c r="M42" s="59">
        <f>SUM(M38:M41)+M36</f>
        <v>0</v>
      </c>
      <c r="N42" s="60" t="s">
        <v>261</v>
      </c>
      <c r="O42" s="59">
        <f t="shared" ref="O42:P42" si="12">SUM(O38:O41)+O36</f>
        <v>48232</v>
      </c>
      <c r="P42" s="59">
        <f t="shared" si="12"/>
        <v>42510</v>
      </c>
    </row>
    <row r="43" spans="1:16" s="59" customFormat="1">
      <c r="A43" s="59" t="s">
        <v>178</v>
      </c>
      <c r="C43" s="59">
        <f t="shared" ref="C43:H43" si="13">C35-C42</f>
        <v>2493</v>
      </c>
      <c r="D43" s="59">
        <f t="shared" si="13"/>
        <v>3848</v>
      </c>
      <c r="E43" s="59">
        <f t="shared" si="13"/>
        <v>3606</v>
      </c>
      <c r="F43" s="59">
        <f t="shared" si="13"/>
        <v>3073</v>
      </c>
      <c r="G43" s="59">
        <f t="shared" si="13"/>
        <v>2215</v>
      </c>
      <c r="H43" s="59">
        <f t="shared" si="13"/>
        <v>3117</v>
      </c>
      <c r="I43" s="59">
        <f>I35-I42</f>
        <v>2355</v>
      </c>
      <c r="J43" s="59">
        <f>J35-J42</f>
        <v>0</v>
      </c>
      <c r="K43" s="59">
        <f>K35-K42</f>
        <v>0</v>
      </c>
      <c r="L43" s="59">
        <f>L35-L42</f>
        <v>0</v>
      </c>
      <c r="M43" s="59">
        <f>M35-M42</f>
        <v>0</v>
      </c>
      <c r="N43" s="60" t="s">
        <v>261</v>
      </c>
      <c r="O43" s="59">
        <f t="shared" ref="O43:P43" si="14">O35-O42</f>
        <v>13020</v>
      </c>
      <c r="P43" s="59">
        <f t="shared" si="14"/>
        <v>9206</v>
      </c>
    </row>
    <row r="44" spans="1:16" s="61" customFormat="1">
      <c r="A44" s="61" t="s">
        <v>177</v>
      </c>
      <c r="C44" s="61">
        <v>537</v>
      </c>
      <c r="D44" s="61">
        <v>991</v>
      </c>
      <c r="E44" s="61">
        <v>636</v>
      </c>
      <c r="F44" s="61">
        <v>707</v>
      </c>
      <c r="G44" s="61">
        <v>469</v>
      </c>
      <c r="H44" s="61">
        <v>751</v>
      </c>
      <c r="I44" s="61">
        <v>625</v>
      </c>
      <c r="N44" s="60" t="s">
        <v>261</v>
      </c>
      <c r="O44" s="61">
        <f>SUM(C44:F44)</f>
        <v>2871</v>
      </c>
      <c r="P44" s="61">
        <v>2094</v>
      </c>
    </row>
    <row r="45" spans="1:16" s="59" customFormat="1">
      <c r="A45" s="59" t="s">
        <v>176</v>
      </c>
      <c r="C45" s="59">
        <f t="shared" ref="C45:H45" si="15">C43-C44</f>
        <v>1956</v>
      </c>
      <c r="D45" s="59">
        <f t="shared" si="15"/>
        <v>2857</v>
      </c>
      <c r="E45" s="59">
        <f t="shared" si="15"/>
        <v>2970</v>
      </c>
      <c r="F45" s="59">
        <f t="shared" si="15"/>
        <v>2366</v>
      </c>
      <c r="G45" s="59">
        <f t="shared" si="15"/>
        <v>1746</v>
      </c>
      <c r="H45" s="59">
        <f t="shared" si="15"/>
        <v>2366</v>
      </c>
      <c r="I45" s="59">
        <f>I43-I44</f>
        <v>1730</v>
      </c>
      <c r="J45" s="59">
        <f>J43-J44</f>
        <v>0</v>
      </c>
      <c r="K45" s="59">
        <f>K43-K44</f>
        <v>0</v>
      </c>
      <c r="L45" s="59">
        <f>L43-L44</f>
        <v>0</v>
      </c>
      <c r="M45" s="59">
        <f>M43-M44</f>
        <v>0</v>
      </c>
      <c r="N45" s="60" t="s">
        <v>261</v>
      </c>
      <c r="O45" s="59">
        <f t="shared" ref="O45:P45" si="16">O43-O44</f>
        <v>10149</v>
      </c>
      <c r="P45" s="59">
        <f t="shared" si="16"/>
        <v>7112</v>
      </c>
    </row>
    <row r="46" spans="1:16" s="61" customFormat="1">
      <c r="A46" s="61" t="s">
        <v>181</v>
      </c>
      <c r="C46" s="61">
        <v>1</v>
      </c>
      <c r="D46" s="61">
        <v>2</v>
      </c>
      <c r="E46" s="61">
        <v>2</v>
      </c>
      <c r="F46" s="61">
        <v>2</v>
      </c>
      <c r="G46" s="61">
        <v>2</v>
      </c>
      <c r="H46" s="61">
        <v>2</v>
      </c>
      <c r="I46" s="61">
        <v>1</v>
      </c>
      <c r="N46" s="60" t="s">
        <v>261</v>
      </c>
      <c r="O46" s="61">
        <f>SUM(C46:F46)</f>
        <v>7</v>
      </c>
      <c r="P46" s="61">
        <v>-24</v>
      </c>
    </row>
    <row r="47" spans="1:16" s="61" customFormat="1">
      <c r="A47" s="61" t="s">
        <v>180</v>
      </c>
      <c r="C47" s="61">
        <v>-2</v>
      </c>
      <c r="D47" s="61">
        <v>-1</v>
      </c>
      <c r="E47" s="61">
        <v>-6</v>
      </c>
      <c r="F47" s="61">
        <v>-1</v>
      </c>
      <c r="G47" s="61">
        <v>-3</v>
      </c>
      <c r="H47" s="61">
        <v>-2</v>
      </c>
      <c r="I47" s="61">
        <v>-3</v>
      </c>
      <c r="N47" s="60" t="s">
        <v>261</v>
      </c>
      <c r="O47" s="61">
        <f>SUM(C47:F47)</f>
        <v>-10</v>
      </c>
      <c r="P47" s="61">
        <v>-12</v>
      </c>
    </row>
    <row r="48" spans="1:16" s="59" customFormat="1">
      <c r="A48" s="59" t="s">
        <v>179</v>
      </c>
      <c r="C48" s="59">
        <f t="shared" ref="C48:H48" si="17">C45+C46-C47</f>
        <v>1959</v>
      </c>
      <c r="D48" s="59">
        <f t="shared" si="17"/>
        <v>2860</v>
      </c>
      <c r="E48" s="59">
        <f t="shared" si="17"/>
        <v>2978</v>
      </c>
      <c r="F48" s="59">
        <f t="shared" si="17"/>
        <v>2369</v>
      </c>
      <c r="G48" s="59">
        <f t="shared" si="17"/>
        <v>1751</v>
      </c>
      <c r="H48" s="59">
        <f t="shared" si="17"/>
        <v>2370</v>
      </c>
      <c r="I48" s="59">
        <f>I45+I46-I47</f>
        <v>1734</v>
      </c>
      <c r="J48" s="59">
        <f>J45+J46-J47</f>
        <v>0</v>
      </c>
      <c r="K48" s="59">
        <f>K45+K46-K47</f>
        <v>0</v>
      </c>
      <c r="L48" s="59">
        <f>L45+L46-L47</f>
        <v>0</v>
      </c>
      <c r="M48" s="59">
        <f>M45+M46-M47</f>
        <v>0</v>
      </c>
      <c r="N48" s="60" t="s">
        <v>261</v>
      </c>
      <c r="O48" s="59">
        <f t="shared" ref="O48:P48" si="18">O45+O46-O47</f>
        <v>10166</v>
      </c>
      <c r="P48" s="59">
        <f t="shared" si="18"/>
        <v>7100</v>
      </c>
    </row>
    <row r="49" spans="1:16" s="53" customFormat="1">
      <c r="N49" s="52" t="s">
        <v>261</v>
      </c>
    </row>
    <row r="50" spans="1:16" s="51" customFormat="1">
      <c r="A50" s="51" t="s">
        <v>182</v>
      </c>
      <c r="N50" s="52" t="s">
        <v>261</v>
      </c>
    </row>
    <row r="51" spans="1:16" s="55" customFormat="1">
      <c r="A51" s="55" t="s">
        <v>183</v>
      </c>
      <c r="C51" s="55">
        <f t="shared" ref="C51:H51" si="19">C48/C57</f>
        <v>6.5826612903225801</v>
      </c>
      <c r="D51" s="55">
        <f t="shared" si="19"/>
        <v>9.6916299559471355</v>
      </c>
      <c r="E51" s="55">
        <f t="shared" si="19"/>
        <v>10.240715268225584</v>
      </c>
      <c r="F51" s="55">
        <f t="shared" si="19"/>
        <v>8.2977232924693514</v>
      </c>
      <c r="G51" s="55">
        <f t="shared" si="19"/>
        <v>6.2558056448731696</v>
      </c>
      <c r="H51" s="55">
        <f t="shared" si="19"/>
        <v>8.5621387283236992</v>
      </c>
      <c r="I51" s="55">
        <f>I48/I57</f>
        <v>6.3169398907103824</v>
      </c>
      <c r="J51" s="55" t="e">
        <f>J48/J57</f>
        <v>#DIV/0!</v>
      </c>
      <c r="K51" s="55" t="e">
        <f>K48/K57</f>
        <v>#DIV/0!</v>
      </c>
      <c r="L51" s="55" t="e">
        <f>L48/L57</f>
        <v>#DIV/0!</v>
      </c>
      <c r="M51" s="55" t="e">
        <f>M48/M57</f>
        <v>#DIV/0!</v>
      </c>
      <c r="N51" s="58" t="s">
        <v>261</v>
      </c>
      <c r="O51" s="55">
        <f t="shared" ref="O51:P51" si="20">O48/O57</f>
        <v>34.791238877481177</v>
      </c>
      <c r="P51" s="55">
        <f t="shared" si="20"/>
        <v>25.724637681159422</v>
      </c>
    </row>
    <row r="52" spans="1:16" s="55" customFormat="1">
      <c r="A52" s="55" t="s">
        <v>184</v>
      </c>
      <c r="C52" s="55">
        <f t="shared" ref="C52:H52" si="21">C48/C58</f>
        <v>6.549648946840521</v>
      </c>
      <c r="D52" s="55">
        <f t="shared" si="21"/>
        <v>9.6458684654300164</v>
      </c>
      <c r="E52" s="55">
        <f t="shared" si="21"/>
        <v>10.195138651146866</v>
      </c>
      <c r="F52" s="55">
        <f t="shared" si="21"/>
        <v>8.257232485186476</v>
      </c>
      <c r="G52" s="55">
        <f t="shared" si="21"/>
        <v>6.2290999644254708</v>
      </c>
      <c r="H52" s="55">
        <f t="shared" si="21"/>
        <v>8.5282475710687304</v>
      </c>
      <c r="I52" s="55">
        <f>I48/I58</f>
        <v>6.3146394756008739</v>
      </c>
      <c r="J52" s="55" t="e">
        <f>J48/J58</f>
        <v>#DIV/0!</v>
      </c>
      <c r="K52" s="55" t="e">
        <f>K48/K58</f>
        <v>#DIV/0!</v>
      </c>
      <c r="L52" s="55" t="e">
        <f>L48/L58</f>
        <v>#DIV/0!</v>
      </c>
      <c r="M52" s="55" t="e">
        <f>M48/M58</f>
        <v>#DIV/0!</v>
      </c>
      <c r="N52" s="58" t="s">
        <v>261</v>
      </c>
      <c r="O52" s="55">
        <f t="shared" ref="O52:P52" si="22">O48/O58</f>
        <v>34.625340599455036</v>
      </c>
      <c r="P52" s="55">
        <f t="shared" si="22"/>
        <v>25.622518946228798</v>
      </c>
    </row>
    <row r="53" spans="1:16" s="54" customFormat="1">
      <c r="A53" s="54" t="s">
        <v>185</v>
      </c>
      <c r="C53" s="54">
        <v>1.2</v>
      </c>
      <c r="D53" s="54">
        <v>1.25</v>
      </c>
      <c r="E53" s="54">
        <v>1.25</v>
      </c>
      <c r="F53" s="54">
        <v>1.35</v>
      </c>
      <c r="G53" s="54">
        <v>1.47</v>
      </c>
      <c r="H53" s="54">
        <v>1.47</v>
      </c>
      <c r="I53" s="54">
        <v>1.47</v>
      </c>
      <c r="N53" s="58" t="s">
        <v>261</v>
      </c>
      <c r="O53" s="54">
        <f>SUM(C53:F53)</f>
        <v>5.0500000000000007</v>
      </c>
      <c r="P53" s="54">
        <v>5.88</v>
      </c>
    </row>
    <row r="54" spans="1:16" s="54" customFormat="1">
      <c r="A54" s="54" t="s">
        <v>186</v>
      </c>
      <c r="C54" s="54">
        <v>1.1299999999999999</v>
      </c>
      <c r="D54" s="54">
        <v>1.2</v>
      </c>
      <c r="E54" s="54">
        <v>1.25</v>
      </c>
      <c r="F54" s="54">
        <v>1.25</v>
      </c>
      <c r="G54" s="54">
        <v>1.35</v>
      </c>
      <c r="H54" s="54">
        <v>1.47</v>
      </c>
      <c r="I54" s="54">
        <v>1.47</v>
      </c>
      <c r="N54" s="58" t="s">
        <v>261</v>
      </c>
      <c r="O54" s="54">
        <f>SUM(C54:F54)</f>
        <v>4.83</v>
      </c>
      <c r="P54" s="54">
        <v>5.76</v>
      </c>
    </row>
    <row r="55" spans="1:16" s="53" customFormat="1">
      <c r="C55" s="54"/>
      <c r="D55" s="54"/>
      <c r="E55" s="54"/>
      <c r="F55" s="54"/>
      <c r="G55" s="54"/>
      <c r="H55" s="54"/>
      <c r="I55" s="54"/>
      <c r="J55" s="54"/>
      <c r="K55" s="54"/>
      <c r="L55" s="54"/>
      <c r="M55" s="54"/>
      <c r="N55" s="52" t="s">
        <v>261</v>
      </c>
    </row>
    <row r="56" spans="1:16" s="51" customFormat="1">
      <c r="A56" s="51" t="s">
        <v>187</v>
      </c>
      <c r="C56" s="55"/>
      <c r="D56" s="55"/>
      <c r="E56" s="55"/>
      <c r="F56" s="55"/>
      <c r="G56" s="55"/>
      <c r="H56" s="55"/>
      <c r="I56" s="55"/>
      <c r="J56" s="55"/>
      <c r="K56" s="55"/>
      <c r="L56" s="55"/>
      <c r="M56" s="55"/>
      <c r="N56" s="52" t="s">
        <v>261</v>
      </c>
    </row>
    <row r="57" spans="1:16" s="53" customFormat="1">
      <c r="A57" s="53" t="s">
        <v>183</v>
      </c>
      <c r="C57" s="54">
        <v>297.60000000000002</v>
      </c>
      <c r="D57" s="54">
        <v>295.10000000000002</v>
      </c>
      <c r="E57" s="54">
        <v>290.8</v>
      </c>
      <c r="F57" s="54">
        <v>285.5</v>
      </c>
      <c r="G57" s="54">
        <v>279.89999999999998</v>
      </c>
      <c r="H57" s="54">
        <v>276.8</v>
      </c>
      <c r="I57" s="54">
        <v>274.5</v>
      </c>
      <c r="J57" s="54"/>
      <c r="K57" s="54"/>
      <c r="L57" s="54"/>
      <c r="M57" s="54"/>
      <c r="N57" s="52" t="s">
        <v>261</v>
      </c>
      <c r="O57" s="53">
        <v>292.2</v>
      </c>
      <c r="P57" s="53">
        <v>276</v>
      </c>
    </row>
    <row r="58" spans="1:16" s="53" customFormat="1">
      <c r="A58" s="53" t="s">
        <v>184</v>
      </c>
      <c r="C58" s="54">
        <v>299.10000000000002</v>
      </c>
      <c r="D58" s="54">
        <v>296.5</v>
      </c>
      <c r="E58" s="54">
        <v>292.10000000000002</v>
      </c>
      <c r="F58" s="54">
        <v>286.89999999999998</v>
      </c>
      <c r="G58" s="54">
        <v>281.10000000000002</v>
      </c>
      <c r="H58" s="54">
        <v>277.89999999999998</v>
      </c>
      <c r="I58" s="54">
        <v>274.60000000000002</v>
      </c>
      <c r="J58" s="54"/>
      <c r="K58" s="54"/>
      <c r="L58" s="54"/>
      <c r="M58" s="54"/>
      <c r="N58" s="52" t="s">
        <v>261</v>
      </c>
      <c r="O58" s="53">
        <v>293.60000000000002</v>
      </c>
      <c r="P58" s="53">
        <v>277.10000000000002</v>
      </c>
    </row>
    <row r="59" spans="1:16">
      <c r="N59" s="49" t="s">
        <v>261</v>
      </c>
    </row>
    <row r="60" spans="1:16" s="61" customFormat="1">
      <c r="A60" s="56" t="s">
        <v>14</v>
      </c>
      <c r="B60" s="56"/>
      <c r="C60" s="61">
        <v>1957</v>
      </c>
      <c r="D60" s="61">
        <f>4815-C60</f>
        <v>2858</v>
      </c>
      <c r="E60" s="61">
        <f>7787-D60-C60</f>
        <v>2972</v>
      </c>
      <c r="F60" s="61">
        <f t="shared" ref="F60:F71" si="23">O60-E60-D60-C60</f>
        <v>2368</v>
      </c>
      <c r="G60" s="61">
        <v>1748</v>
      </c>
      <c r="H60" s="61">
        <f>4116-G60</f>
        <v>2368</v>
      </c>
      <c r="I60" s="61">
        <f>5846-H60-G60</f>
        <v>1730</v>
      </c>
      <c r="N60" s="60" t="s">
        <v>261</v>
      </c>
      <c r="O60" s="61">
        <v>10155</v>
      </c>
    </row>
    <row r="61" spans="1:16" s="61" customFormat="1">
      <c r="A61" s="56" t="s">
        <v>150</v>
      </c>
      <c r="B61" s="56"/>
      <c r="C61" s="61">
        <v>-130</v>
      </c>
      <c r="D61" s="61">
        <f>-89-C61</f>
        <v>41</v>
      </c>
      <c r="E61" s="61">
        <f>-64-D61-C61</f>
        <v>25</v>
      </c>
      <c r="F61" s="61">
        <f t="shared" si="23"/>
        <v>48</v>
      </c>
      <c r="G61" s="61">
        <v>31</v>
      </c>
      <c r="H61" s="61">
        <f>131-G61</f>
        <v>100</v>
      </c>
      <c r="I61" s="61">
        <f>222-H61-G61</f>
        <v>91</v>
      </c>
      <c r="N61" s="60" t="s">
        <v>261</v>
      </c>
      <c r="O61" s="61">
        <v>-16</v>
      </c>
    </row>
    <row r="62" spans="1:16" s="61" customFormat="1">
      <c r="A62" s="56" t="s">
        <v>16</v>
      </c>
      <c r="B62" s="56"/>
      <c r="C62" s="61">
        <v>494</v>
      </c>
      <c r="D62" s="61">
        <f>995-C62</f>
        <v>501</v>
      </c>
      <c r="E62" s="61">
        <f>1527-D62-C62</f>
        <v>532</v>
      </c>
      <c r="F62" s="61">
        <f t="shared" si="23"/>
        <v>477</v>
      </c>
      <c r="G62" s="61">
        <v>520</v>
      </c>
      <c r="H62" s="61">
        <f>1045-G62</f>
        <v>525</v>
      </c>
      <c r="I62" s="61">
        <f>1598-H62-G62</f>
        <v>553</v>
      </c>
      <c r="N62" s="60" t="s">
        <v>261</v>
      </c>
      <c r="O62" s="61">
        <v>2004</v>
      </c>
    </row>
    <row r="63" spans="1:16" s="61" customFormat="1">
      <c r="A63" s="56" t="s">
        <v>228</v>
      </c>
      <c r="B63" s="56"/>
      <c r="C63" s="61">
        <v>0</v>
      </c>
      <c r="D63" s="61">
        <v>173</v>
      </c>
      <c r="E63" s="61">
        <v>0</v>
      </c>
      <c r="F63" s="61">
        <f t="shared" si="23"/>
        <v>18</v>
      </c>
      <c r="I63" s="61">
        <f>53-H63-G63</f>
        <v>53</v>
      </c>
      <c r="N63" s="60" t="s">
        <v>261</v>
      </c>
      <c r="O63" s="61">
        <v>191</v>
      </c>
    </row>
    <row r="64" spans="1:16" s="61" customFormat="1">
      <c r="A64" s="56" t="s">
        <v>143</v>
      </c>
      <c r="B64" s="56"/>
      <c r="C64" s="61">
        <v>23</v>
      </c>
      <c r="D64" s="61">
        <f>54-C64</f>
        <v>31</v>
      </c>
      <c r="E64" s="61">
        <f>112-D64-C64</f>
        <v>58</v>
      </c>
      <c r="F64" s="61">
        <f t="shared" si="23"/>
        <v>18</v>
      </c>
      <c r="G64" s="61">
        <v>46</v>
      </c>
      <c r="H64" s="61">
        <f>104-G64</f>
        <v>58</v>
      </c>
      <c r="I64" s="61">
        <f>159-H64-G64</f>
        <v>55</v>
      </c>
      <c r="N64" s="60" t="s">
        <v>261</v>
      </c>
      <c r="O64" s="61">
        <v>130</v>
      </c>
    </row>
    <row r="65" spans="1:16" s="61" customFormat="1">
      <c r="A65" s="56" t="s">
        <v>152</v>
      </c>
      <c r="B65" s="56"/>
      <c r="C65" s="61">
        <v>-56</v>
      </c>
      <c r="D65" s="61">
        <f>+-377-C65</f>
        <v>-321</v>
      </c>
      <c r="E65" s="61">
        <f>-429-D65-C65</f>
        <v>-52</v>
      </c>
      <c r="F65" s="61">
        <f t="shared" si="23"/>
        <v>-361</v>
      </c>
      <c r="G65" s="61">
        <v>27</v>
      </c>
      <c r="H65" s="61">
        <f>-120-G65</f>
        <v>-147</v>
      </c>
      <c r="I65" s="61">
        <f>-125-H65-G65</f>
        <v>-5</v>
      </c>
      <c r="N65" s="60" t="s">
        <v>261</v>
      </c>
      <c r="O65" s="61">
        <v>-790</v>
      </c>
    </row>
    <row r="66" spans="1:16" s="61" customFormat="1">
      <c r="A66" s="56" t="s">
        <v>153</v>
      </c>
      <c r="B66" s="56"/>
      <c r="C66" s="61">
        <v>-1015</v>
      </c>
      <c r="D66" s="61">
        <f>+-4407-C66</f>
        <v>-3392</v>
      </c>
      <c r="E66" s="61">
        <f>-5059-D66-C66</f>
        <v>-652</v>
      </c>
      <c r="F66" s="61">
        <f t="shared" si="23"/>
        <v>806</v>
      </c>
      <c r="G66" s="61">
        <v>-277</v>
      </c>
      <c r="H66" s="61">
        <f>-2469-G66</f>
        <v>-2192</v>
      </c>
      <c r="I66" s="61">
        <f>-2446-H66-G66</f>
        <v>23</v>
      </c>
      <c r="N66" s="60" t="s">
        <v>261</v>
      </c>
      <c r="O66" s="61">
        <v>-4253</v>
      </c>
    </row>
    <row r="67" spans="1:16" s="61" customFormat="1">
      <c r="A67" s="56" t="s">
        <v>154</v>
      </c>
      <c r="B67" s="56"/>
      <c r="C67" s="61">
        <v>-1279</v>
      </c>
      <c r="D67" s="61">
        <f>+-982-C67</f>
        <v>297</v>
      </c>
      <c r="E67" s="61">
        <f>-663-D67-C67</f>
        <v>319</v>
      </c>
      <c r="F67" s="61">
        <f t="shared" si="23"/>
        <v>942</v>
      </c>
      <c r="G67" s="61">
        <v>-723</v>
      </c>
      <c r="H67" s="61">
        <f>-409-G67</f>
        <v>314</v>
      </c>
      <c r="I67" s="61">
        <f>234-H67-G67</f>
        <v>643</v>
      </c>
      <c r="N67" s="60" t="s">
        <v>261</v>
      </c>
      <c r="O67" s="61">
        <v>279</v>
      </c>
    </row>
    <row r="68" spans="1:16" s="61" customFormat="1">
      <c r="A68" s="56" t="s">
        <v>155</v>
      </c>
      <c r="B68" s="56"/>
      <c r="C68" s="61">
        <v>-1577</v>
      </c>
      <c r="D68" s="61">
        <f>-313-C68</f>
        <v>1264</v>
      </c>
      <c r="E68" s="61">
        <f>47-D68-C68</f>
        <v>360</v>
      </c>
      <c r="F68" s="61">
        <f t="shared" si="23"/>
        <v>783</v>
      </c>
      <c r="G68" s="61">
        <v>-2327</v>
      </c>
      <c r="H68" s="61">
        <f>-1300-G68</f>
        <v>1027</v>
      </c>
      <c r="I68" s="61">
        <f>-1015-H68-G68</f>
        <v>285</v>
      </c>
      <c r="N68" s="60" t="s">
        <v>261</v>
      </c>
      <c r="O68" s="61">
        <v>830</v>
      </c>
    </row>
    <row r="69" spans="1:16" s="61" customFormat="1">
      <c r="A69" s="56" t="s">
        <v>156</v>
      </c>
      <c r="B69" s="56"/>
      <c r="C69" s="61">
        <v>199</v>
      </c>
      <c r="D69" s="61">
        <f>-96-C69</f>
        <v>-295</v>
      </c>
      <c r="E69" s="61">
        <f>-595-D69-C69</f>
        <v>-499</v>
      </c>
      <c r="F69" s="61">
        <f t="shared" si="23"/>
        <v>572</v>
      </c>
      <c r="G69" s="61">
        <v>183</v>
      </c>
      <c r="H69" s="61">
        <f>-29-G69</f>
        <v>-212</v>
      </c>
      <c r="I69" s="61">
        <f>31-H69-G69</f>
        <v>60</v>
      </c>
      <c r="N69" s="60" t="s">
        <v>261</v>
      </c>
      <c r="O69" s="61">
        <v>-23</v>
      </c>
    </row>
    <row r="70" spans="1:16" s="61" customFormat="1">
      <c r="A70" s="56" t="s">
        <v>157</v>
      </c>
      <c r="B70" s="56"/>
      <c r="C70" s="61">
        <v>-48</v>
      </c>
      <c r="D70" s="61">
        <f>-68-C70</f>
        <v>-20</v>
      </c>
      <c r="E70" s="61">
        <f>-116-D70-C70</f>
        <v>-48</v>
      </c>
      <c r="F70" s="61">
        <f t="shared" si="23"/>
        <v>-54</v>
      </c>
      <c r="G70" s="61">
        <v>-129</v>
      </c>
      <c r="H70" s="61">
        <f>-208-G70</f>
        <v>-79</v>
      </c>
      <c r="I70" s="61">
        <f>-246-H70-G70</f>
        <v>-38</v>
      </c>
      <c r="N70" s="60" t="s">
        <v>261</v>
      </c>
      <c r="O70" s="61">
        <v>-170</v>
      </c>
    </row>
    <row r="71" spans="1:16" s="61" customFormat="1">
      <c r="A71" s="56" t="s">
        <v>71</v>
      </c>
      <c r="B71" s="56"/>
      <c r="C71" s="61">
        <v>186</v>
      </c>
      <c r="D71" s="61">
        <f>148-C71</f>
        <v>-38</v>
      </c>
      <c r="E71" s="61">
        <f>176-D71-C71</f>
        <v>28</v>
      </c>
      <c r="F71" s="61">
        <f t="shared" si="23"/>
        <v>76</v>
      </c>
      <c r="G71" s="61">
        <v>-7</v>
      </c>
      <c r="H71" s="61">
        <f>83-G71</f>
        <v>90</v>
      </c>
      <c r="I71" s="61">
        <f>-172-H71-G71</f>
        <v>-255</v>
      </c>
      <c r="N71" s="60" t="s">
        <v>261</v>
      </c>
      <c r="O71" s="61">
        <v>252</v>
      </c>
    </row>
    <row r="72" spans="1:16" s="59" customFormat="1">
      <c r="A72" s="57" t="s">
        <v>20</v>
      </c>
      <c r="B72" s="57"/>
      <c r="C72" s="59">
        <f t="shared" ref="C72:I72" si="24">SUM(C60:C71)</f>
        <v>-1246</v>
      </c>
      <c r="D72" s="59">
        <f t="shared" si="24"/>
        <v>1099</v>
      </c>
      <c r="E72" s="59">
        <f t="shared" si="24"/>
        <v>3043</v>
      </c>
      <c r="F72" s="59">
        <f t="shared" si="24"/>
        <v>5693</v>
      </c>
      <c r="G72" s="59">
        <f t="shared" si="24"/>
        <v>-908</v>
      </c>
      <c r="H72" s="59">
        <f t="shared" si="24"/>
        <v>1852</v>
      </c>
      <c r="I72" s="59">
        <f t="shared" si="24"/>
        <v>3195</v>
      </c>
      <c r="J72" s="59">
        <f t="shared" ref="J72:M72" si="25">SUM(J60:J71)</f>
        <v>0</v>
      </c>
      <c r="K72" s="59">
        <f t="shared" si="25"/>
        <v>0</v>
      </c>
      <c r="L72" s="59">
        <f t="shared" si="25"/>
        <v>0</v>
      </c>
      <c r="M72" s="59">
        <f t="shared" si="25"/>
        <v>0</v>
      </c>
      <c r="N72" s="60" t="s">
        <v>261</v>
      </c>
      <c r="O72" s="59">
        <f t="shared" ref="O72:P72" si="26">SUM(O60:O71)</f>
        <v>8589</v>
      </c>
      <c r="P72" s="59">
        <f t="shared" si="26"/>
        <v>0</v>
      </c>
    </row>
    <row r="73" spans="1:16" s="47" customFormat="1">
      <c r="N73" s="64" t="s">
        <v>261</v>
      </c>
    </row>
    <row r="74" spans="1:16" s="65" customFormat="1">
      <c r="C74" s="65" t="str">
        <f t="shared" ref="C74:D74" si="27">C30</f>
        <v>Q123</v>
      </c>
      <c r="D74" s="65" t="str">
        <f t="shared" si="27"/>
        <v>Q223</v>
      </c>
      <c r="E74" s="65" t="str">
        <f>E30</f>
        <v>Q323</v>
      </c>
      <c r="F74" s="65" t="str">
        <f t="shared" ref="F74:H74" si="28">F30</f>
        <v>Q423</v>
      </c>
      <c r="G74" s="65" t="str">
        <f t="shared" si="28"/>
        <v>Q124</v>
      </c>
      <c r="H74" s="65" t="str">
        <f t="shared" si="28"/>
        <v>Q224</v>
      </c>
      <c r="I74" s="65" t="str">
        <f>I30</f>
        <v>Q324</v>
      </c>
      <c r="J74" s="65" t="str">
        <f>J30</f>
        <v>Q424</v>
      </c>
      <c r="K74" s="65" t="str">
        <f>K30</f>
        <v>Q125</v>
      </c>
      <c r="L74" s="65" t="str">
        <f>L30</f>
        <v>Q225</v>
      </c>
      <c r="M74" s="65" t="str">
        <f>M30</f>
        <v>Q325</v>
      </c>
      <c r="N74" s="64" t="s">
        <v>261</v>
      </c>
      <c r="O74" s="65">
        <f>O30</f>
        <v>2023</v>
      </c>
      <c r="P74" s="65">
        <f>P30</f>
        <v>2024</v>
      </c>
    </row>
    <row r="75" spans="1:16" s="59" customFormat="1">
      <c r="A75" s="59" t="s">
        <v>24</v>
      </c>
      <c r="N75" s="60" t="s">
        <v>261</v>
      </c>
    </row>
    <row r="76" spans="1:16" s="61" customFormat="1">
      <c r="A76" s="61" t="s">
        <v>188</v>
      </c>
      <c r="C76" s="61">
        <v>3976</v>
      </c>
      <c r="D76" s="61">
        <v>5267</v>
      </c>
      <c r="E76" s="61">
        <v>6576</v>
      </c>
      <c r="F76" s="61">
        <v>7458</v>
      </c>
      <c r="G76" s="61">
        <v>5137</v>
      </c>
      <c r="H76" s="61">
        <v>5553</v>
      </c>
      <c r="I76" s="61">
        <v>7004</v>
      </c>
      <c r="N76" s="60" t="s">
        <v>261</v>
      </c>
      <c r="O76" s="61">
        <f t="shared" ref="O76:O83" si="29">F76</f>
        <v>7458</v>
      </c>
      <c r="P76" s="61">
        <v>7324</v>
      </c>
    </row>
    <row r="77" spans="1:16" s="61" customFormat="1">
      <c r="A77" s="61" t="s">
        <v>189</v>
      </c>
      <c r="C77" s="61">
        <v>852</v>
      </c>
      <c r="D77" s="61">
        <v>856</v>
      </c>
      <c r="E77" s="61">
        <v>841</v>
      </c>
      <c r="F77" s="61">
        <v>946</v>
      </c>
      <c r="G77" s="61">
        <v>1136</v>
      </c>
      <c r="H77" s="61">
        <v>1094</v>
      </c>
      <c r="I77" s="61">
        <v>1140</v>
      </c>
      <c r="N77" s="60" t="s">
        <v>261</v>
      </c>
      <c r="O77" s="61">
        <f t="shared" si="29"/>
        <v>946</v>
      </c>
      <c r="P77" s="61">
        <v>1154</v>
      </c>
    </row>
    <row r="78" spans="1:16" s="61" customFormat="1">
      <c r="A78" s="61" t="s">
        <v>190</v>
      </c>
      <c r="C78" s="61">
        <v>7609</v>
      </c>
      <c r="D78" s="61">
        <v>9971</v>
      </c>
      <c r="E78" s="61">
        <v>9297</v>
      </c>
      <c r="F78" s="61">
        <v>7739</v>
      </c>
      <c r="G78" s="61">
        <v>7795</v>
      </c>
      <c r="H78" s="61">
        <v>8880</v>
      </c>
      <c r="I78" s="61">
        <v>7469</v>
      </c>
      <c r="N78" s="60" t="s">
        <v>261</v>
      </c>
      <c r="O78" s="61">
        <f t="shared" si="29"/>
        <v>7739</v>
      </c>
      <c r="P78" s="61">
        <v>5326</v>
      </c>
    </row>
    <row r="79" spans="1:16" s="61" customFormat="1">
      <c r="A79" s="61" t="s">
        <v>191</v>
      </c>
      <c r="C79" s="61">
        <v>36882</v>
      </c>
      <c r="D79" s="61">
        <v>38954</v>
      </c>
      <c r="E79" s="61">
        <v>41302</v>
      </c>
      <c r="F79" s="61">
        <v>43673</v>
      </c>
      <c r="G79" s="61">
        <v>43708</v>
      </c>
      <c r="H79" s="61">
        <v>45278</v>
      </c>
      <c r="I79" s="61">
        <v>43896</v>
      </c>
      <c r="N79" s="60" t="s">
        <v>261</v>
      </c>
      <c r="O79" s="61">
        <f t="shared" si="29"/>
        <v>43673</v>
      </c>
      <c r="P79" s="61">
        <v>44309</v>
      </c>
    </row>
    <row r="80" spans="1:16" s="61" customFormat="1">
      <c r="A80" s="61" t="s">
        <v>201</v>
      </c>
      <c r="C80" s="61">
        <v>5089</v>
      </c>
      <c r="D80" s="61">
        <v>5659</v>
      </c>
      <c r="E80" s="61">
        <v>7001</v>
      </c>
      <c r="F80" s="61">
        <v>7335</v>
      </c>
      <c r="G80" s="61">
        <v>6400</v>
      </c>
      <c r="H80" s="61">
        <v>7262</v>
      </c>
      <c r="I80" s="61">
        <v>8274</v>
      </c>
      <c r="N80" s="60" t="s">
        <v>261</v>
      </c>
      <c r="O80" s="61">
        <f t="shared" si="29"/>
        <v>7335</v>
      </c>
      <c r="P80" s="61">
        <v>8723</v>
      </c>
    </row>
    <row r="81" spans="1:16" s="61" customFormat="1">
      <c r="A81" s="61" t="s">
        <v>192</v>
      </c>
      <c r="C81" s="61">
        <v>1992</v>
      </c>
      <c r="D81" s="61">
        <v>2593</v>
      </c>
      <c r="E81" s="61">
        <v>3118</v>
      </c>
      <c r="F81" s="61">
        <v>2623</v>
      </c>
      <c r="G81" s="61">
        <v>2017</v>
      </c>
      <c r="H81" s="61">
        <v>2535</v>
      </c>
      <c r="I81" s="61">
        <v>2270</v>
      </c>
      <c r="N81" s="60" t="s">
        <v>261</v>
      </c>
      <c r="O81" s="61">
        <f t="shared" si="29"/>
        <v>2623</v>
      </c>
      <c r="P81" s="61">
        <v>2545</v>
      </c>
    </row>
    <row r="82" spans="1:16" s="61" customFormat="1">
      <c r="A82" s="61" t="s">
        <v>193</v>
      </c>
      <c r="C82" s="61">
        <v>6502</v>
      </c>
      <c r="D82" s="61">
        <v>6524</v>
      </c>
      <c r="E82" s="61">
        <v>6709</v>
      </c>
      <c r="F82" s="61">
        <v>6917</v>
      </c>
      <c r="G82" s="61">
        <v>6751</v>
      </c>
      <c r="H82" s="61">
        <v>6965</v>
      </c>
      <c r="I82" s="61">
        <v>7118</v>
      </c>
      <c r="N82" s="60" t="s">
        <v>261</v>
      </c>
      <c r="O82" s="61">
        <f t="shared" si="29"/>
        <v>6917</v>
      </c>
      <c r="P82" s="61">
        <v>7451</v>
      </c>
    </row>
    <row r="83" spans="1:16" s="61" customFormat="1">
      <c r="A83" s="61" t="s">
        <v>125</v>
      </c>
      <c r="C83" s="61">
        <v>10056</v>
      </c>
      <c r="D83" s="61">
        <v>9713</v>
      </c>
      <c r="E83" s="61">
        <v>9350</v>
      </c>
      <c r="F83" s="61">
        <v>8160</v>
      </c>
      <c r="G83" s="61">
        <v>8937</v>
      </c>
      <c r="H83" s="61">
        <v>8443</v>
      </c>
      <c r="I83" s="61">
        <v>7696</v>
      </c>
      <c r="N83" s="60" t="s">
        <v>261</v>
      </c>
      <c r="O83" s="61">
        <f t="shared" si="29"/>
        <v>8160</v>
      </c>
      <c r="P83" s="61">
        <v>7093</v>
      </c>
    </row>
    <row r="84" spans="1:16" s="59" customFormat="1">
      <c r="A84" s="59" t="s">
        <v>194</v>
      </c>
      <c r="C84" s="59">
        <f t="shared" ref="C84:H84" si="30">SUM(C75:C83)</f>
        <v>72958</v>
      </c>
      <c r="D84" s="59">
        <f t="shared" si="30"/>
        <v>79537</v>
      </c>
      <c r="E84" s="59">
        <f t="shared" si="30"/>
        <v>84194</v>
      </c>
      <c r="F84" s="59">
        <f t="shared" si="30"/>
        <v>84851</v>
      </c>
      <c r="G84" s="59">
        <f t="shared" si="30"/>
        <v>81881</v>
      </c>
      <c r="H84" s="59">
        <f t="shared" si="30"/>
        <v>86010</v>
      </c>
      <c r="I84" s="59">
        <f>SUM(I75:I83)</f>
        <v>84867</v>
      </c>
      <c r="J84" s="59">
        <f>SUM(J75:J83)</f>
        <v>0</v>
      </c>
      <c r="K84" s="59">
        <f>SUM(K75:K83)</f>
        <v>0</v>
      </c>
      <c r="L84" s="59">
        <f>SUM(L75:L83)</f>
        <v>0</v>
      </c>
      <c r="M84" s="59">
        <f>SUM(M75:M83)</f>
        <v>0</v>
      </c>
      <c r="N84" s="60" t="s">
        <v>261</v>
      </c>
      <c r="O84" s="59">
        <f>SUM(O75:O83)</f>
        <v>84851</v>
      </c>
      <c r="P84" s="59">
        <f>SUM(P75:P83)</f>
        <v>83925</v>
      </c>
    </row>
    <row r="85" spans="1:16" s="61" customFormat="1">
      <c r="A85" s="61" t="s">
        <v>195</v>
      </c>
      <c r="C85" s="61">
        <v>6212</v>
      </c>
      <c r="D85" s="61">
        <v>6288</v>
      </c>
      <c r="E85" s="61">
        <v>6418</v>
      </c>
      <c r="F85" s="61">
        <v>6879</v>
      </c>
      <c r="G85" s="61">
        <v>6914</v>
      </c>
      <c r="H85" s="61">
        <v>7034</v>
      </c>
      <c r="I85" s="61">
        <v>7092</v>
      </c>
      <c r="N85" s="60" t="s">
        <v>261</v>
      </c>
      <c r="O85" s="61">
        <f t="shared" ref="O85:O91" si="31">F85</f>
        <v>6879</v>
      </c>
      <c r="P85" s="61">
        <v>7580</v>
      </c>
    </row>
    <row r="86" spans="1:16" s="61" customFormat="1">
      <c r="A86" s="61" t="s">
        <v>23</v>
      </c>
      <c r="C86" s="61">
        <v>3891</v>
      </c>
      <c r="D86" s="61">
        <v>3963</v>
      </c>
      <c r="E86" s="61">
        <v>3994</v>
      </c>
      <c r="F86" s="61">
        <v>3900</v>
      </c>
      <c r="G86" s="61">
        <v>3966</v>
      </c>
      <c r="H86" s="61">
        <v>3936</v>
      </c>
      <c r="I86" s="61">
        <v>3960</v>
      </c>
      <c r="N86" s="60" t="s">
        <v>261</v>
      </c>
      <c r="O86" s="61">
        <f t="shared" si="31"/>
        <v>3900</v>
      </c>
      <c r="P86" s="61">
        <v>3959</v>
      </c>
    </row>
    <row r="87" spans="1:16" s="61" customFormat="1">
      <c r="A87" s="61" t="s">
        <v>196</v>
      </c>
      <c r="C87" s="61">
        <v>1255</v>
      </c>
      <c r="D87" s="61">
        <v>1222</v>
      </c>
      <c r="E87" s="61">
        <v>1199</v>
      </c>
      <c r="F87" s="61">
        <v>1133</v>
      </c>
      <c r="G87" s="61">
        <v>1112</v>
      </c>
      <c r="H87" s="61">
        <v>1064</v>
      </c>
      <c r="I87" s="61">
        <v>1030</v>
      </c>
      <c r="N87" s="60" t="s">
        <v>261</v>
      </c>
      <c r="O87" s="61">
        <f t="shared" si="31"/>
        <v>1133</v>
      </c>
      <c r="P87" s="61">
        <v>999</v>
      </c>
    </row>
    <row r="88" spans="1:16" s="61" customFormat="1">
      <c r="A88" s="61" t="s">
        <v>197</v>
      </c>
      <c r="C88" s="61">
        <v>3793</v>
      </c>
      <c r="D88" s="61">
        <v>3519</v>
      </c>
      <c r="E88" s="61">
        <v>3573</v>
      </c>
      <c r="F88" s="61">
        <v>3007</v>
      </c>
      <c r="G88" s="61">
        <v>3087</v>
      </c>
      <c r="H88" s="61">
        <v>3056</v>
      </c>
      <c r="I88" s="61">
        <v>3126</v>
      </c>
      <c r="N88" s="60" t="s">
        <v>261</v>
      </c>
      <c r="O88" s="61">
        <f t="shared" si="31"/>
        <v>3007</v>
      </c>
      <c r="P88" s="61">
        <v>2921</v>
      </c>
    </row>
    <row r="89" spans="1:16" s="61" customFormat="1">
      <c r="A89" s="61" t="s">
        <v>198</v>
      </c>
      <c r="C89" s="61">
        <v>914</v>
      </c>
      <c r="D89" s="61">
        <v>1308</v>
      </c>
      <c r="E89" s="61">
        <v>1360</v>
      </c>
      <c r="F89" s="61">
        <v>1814</v>
      </c>
      <c r="G89" s="61">
        <v>1833</v>
      </c>
      <c r="H89" s="61">
        <v>1936</v>
      </c>
      <c r="I89" s="61">
        <v>1898</v>
      </c>
      <c r="N89" s="60" t="s">
        <v>261</v>
      </c>
      <c r="O89" s="61">
        <f t="shared" si="31"/>
        <v>1814</v>
      </c>
      <c r="P89" s="61">
        <v>2086</v>
      </c>
    </row>
    <row r="90" spans="1:16" s="61" customFormat="1">
      <c r="A90" s="61" t="s">
        <v>129</v>
      </c>
      <c r="C90" s="61">
        <v>2597</v>
      </c>
      <c r="D90" s="61">
        <v>2510</v>
      </c>
      <c r="E90" s="61">
        <v>2659</v>
      </c>
      <c r="F90" s="61">
        <v>2503</v>
      </c>
      <c r="G90" s="61">
        <v>2578</v>
      </c>
      <c r="H90" s="61">
        <v>2592</v>
      </c>
      <c r="I90" s="61">
        <v>2903</v>
      </c>
      <c r="N90" s="60" t="s">
        <v>261</v>
      </c>
      <c r="O90" s="61">
        <f t="shared" si="31"/>
        <v>2503</v>
      </c>
      <c r="P90" s="61">
        <v>2906</v>
      </c>
    </row>
    <row r="91" spans="1:16" s="61" customFormat="1">
      <c r="A91" s="61" t="s">
        <v>199</v>
      </c>
      <c r="C91" s="61">
        <v>0</v>
      </c>
      <c r="D91" s="61">
        <v>0</v>
      </c>
      <c r="E91" s="61">
        <v>0</v>
      </c>
      <c r="F91" s="61">
        <v>0</v>
      </c>
      <c r="G91" s="61">
        <v>0</v>
      </c>
      <c r="H91" s="61">
        <v>0</v>
      </c>
      <c r="I91" s="61">
        <v>2965</v>
      </c>
      <c r="N91" s="60" t="s">
        <v>261</v>
      </c>
      <c r="O91" s="61">
        <f t="shared" si="31"/>
        <v>0</v>
      </c>
      <c r="P91" s="61">
        <v>2944</v>
      </c>
    </row>
    <row r="92" spans="1:16" s="59" customFormat="1">
      <c r="A92" s="59" t="s">
        <v>200</v>
      </c>
      <c r="C92" s="59">
        <f t="shared" ref="C92:I92" si="32">SUM(C84:C91)</f>
        <v>91620</v>
      </c>
      <c r="D92" s="59">
        <f t="shared" si="32"/>
        <v>98347</v>
      </c>
      <c r="E92" s="59">
        <f t="shared" si="32"/>
        <v>103397</v>
      </c>
      <c r="F92" s="59">
        <f t="shared" si="32"/>
        <v>104087</v>
      </c>
      <c r="G92" s="59">
        <f t="shared" si="32"/>
        <v>101371</v>
      </c>
      <c r="H92" s="59">
        <f t="shared" si="32"/>
        <v>105628</v>
      </c>
      <c r="I92" s="59">
        <f t="shared" si="32"/>
        <v>107841</v>
      </c>
      <c r="J92" s="59">
        <f t="shared" ref="J92:M92" si="33">SUM(J84:J91)</f>
        <v>0</v>
      </c>
      <c r="K92" s="59">
        <f t="shared" si="33"/>
        <v>0</v>
      </c>
      <c r="L92" s="59">
        <f t="shared" si="33"/>
        <v>0</v>
      </c>
      <c r="M92" s="59">
        <f t="shared" si="33"/>
        <v>0</v>
      </c>
      <c r="N92" s="60" t="s">
        <v>261</v>
      </c>
      <c r="O92" s="59">
        <f t="shared" ref="O92:P92" si="34">SUM(O84:O91)</f>
        <v>104087</v>
      </c>
      <c r="P92" s="59">
        <f t="shared" si="34"/>
        <v>107320</v>
      </c>
    </row>
    <row r="93" spans="1:16" s="61" customFormat="1">
      <c r="N93" s="60" t="s">
        <v>261</v>
      </c>
    </row>
    <row r="94" spans="1:16" s="59" customFormat="1">
      <c r="A94" s="59" t="s">
        <v>203</v>
      </c>
      <c r="N94" s="60" t="s">
        <v>261</v>
      </c>
    </row>
    <row r="95" spans="1:16" s="61" customFormat="1">
      <c r="A95" s="61" t="s">
        <v>204</v>
      </c>
      <c r="C95" s="61">
        <v>14129</v>
      </c>
      <c r="D95" s="61">
        <v>17109</v>
      </c>
      <c r="E95" s="61">
        <v>17143</v>
      </c>
      <c r="F95" s="61">
        <v>17939</v>
      </c>
      <c r="G95" s="61">
        <v>17117</v>
      </c>
      <c r="H95" s="61">
        <v>17699</v>
      </c>
      <c r="I95" s="61">
        <v>15294</v>
      </c>
      <c r="N95" s="60" t="s">
        <v>261</v>
      </c>
      <c r="O95" s="61">
        <f>F95</f>
        <v>17939</v>
      </c>
      <c r="P95" s="61">
        <v>13533</v>
      </c>
    </row>
    <row r="96" spans="1:16" s="61" customFormat="1">
      <c r="A96" s="61" t="s">
        <v>205</v>
      </c>
      <c r="C96" s="61">
        <v>4864</v>
      </c>
      <c r="D96" s="61">
        <v>5379</v>
      </c>
      <c r="E96" s="61">
        <v>6608</v>
      </c>
      <c r="F96" s="61">
        <v>6995</v>
      </c>
      <c r="G96" s="61">
        <v>6116</v>
      </c>
      <c r="H96" s="61">
        <v>6976</v>
      </c>
      <c r="I96" s="61">
        <v>7869</v>
      </c>
      <c r="N96" s="60" t="s">
        <v>261</v>
      </c>
      <c r="O96" s="61">
        <f>F96</f>
        <v>6995</v>
      </c>
      <c r="P96" s="61">
        <v>8431</v>
      </c>
    </row>
    <row r="97" spans="1:16" s="61" customFormat="1">
      <c r="A97" s="61" t="s">
        <v>206</v>
      </c>
      <c r="C97" s="61">
        <v>13108</v>
      </c>
      <c r="D97" s="61">
        <v>14716</v>
      </c>
      <c r="E97" s="61">
        <v>15340</v>
      </c>
      <c r="F97" s="61">
        <v>16130</v>
      </c>
      <c r="G97" s="61">
        <v>13361</v>
      </c>
      <c r="H97" s="61">
        <v>14609</v>
      </c>
      <c r="I97" s="61">
        <v>14397</v>
      </c>
      <c r="N97" s="60" t="s">
        <v>261</v>
      </c>
      <c r="O97" s="61">
        <f>F97</f>
        <v>16130</v>
      </c>
      <c r="P97" s="61">
        <v>14543</v>
      </c>
    </row>
    <row r="98" spans="1:16" s="61" customFormat="1">
      <c r="A98" s="61" t="s">
        <v>198</v>
      </c>
      <c r="C98" s="61">
        <v>519</v>
      </c>
      <c r="D98" s="61">
        <v>511</v>
      </c>
      <c r="E98" s="61">
        <v>506</v>
      </c>
      <c r="F98" s="61">
        <v>520</v>
      </c>
      <c r="G98" s="61">
        <v>550</v>
      </c>
      <c r="H98" s="61">
        <v>491</v>
      </c>
      <c r="I98" s="61">
        <v>481</v>
      </c>
      <c r="N98" s="60" t="s">
        <v>261</v>
      </c>
      <c r="O98" s="61">
        <f>F98</f>
        <v>520</v>
      </c>
      <c r="P98" s="61">
        <v>478</v>
      </c>
    </row>
    <row r="99" spans="1:16" s="59" customFormat="1">
      <c r="A99" s="59" t="s">
        <v>210</v>
      </c>
      <c r="C99" s="59">
        <f t="shared" ref="C99:H99" si="35">SUM(C95:C98)</f>
        <v>32620</v>
      </c>
      <c r="D99" s="59">
        <f t="shared" si="35"/>
        <v>37715</v>
      </c>
      <c r="E99" s="59">
        <f t="shared" si="35"/>
        <v>39597</v>
      </c>
      <c r="F99" s="59">
        <f t="shared" si="35"/>
        <v>41584</v>
      </c>
      <c r="G99" s="59">
        <f t="shared" si="35"/>
        <v>37144</v>
      </c>
      <c r="H99" s="59">
        <f t="shared" si="35"/>
        <v>39775</v>
      </c>
      <c r="I99" s="59">
        <f>SUM(I95:I98)</f>
        <v>38041</v>
      </c>
      <c r="J99" s="59">
        <f>SUM(J95:J98)</f>
        <v>0</v>
      </c>
      <c r="K99" s="59">
        <f>SUM(K95:K98)</f>
        <v>0</v>
      </c>
      <c r="L99" s="59">
        <f>SUM(L95:L98)</f>
        <v>0</v>
      </c>
      <c r="M99" s="59">
        <f>SUM(M95:M98)</f>
        <v>0</v>
      </c>
      <c r="N99" s="60" t="s">
        <v>261</v>
      </c>
      <c r="O99" s="59">
        <f>SUM(O95:O98)</f>
        <v>41584</v>
      </c>
      <c r="P99" s="59">
        <f>SUM(P95:P98)</f>
        <v>36985</v>
      </c>
    </row>
    <row r="100" spans="1:16" s="61" customFormat="1">
      <c r="A100" s="61" t="s">
        <v>207</v>
      </c>
      <c r="C100" s="61">
        <v>35071</v>
      </c>
      <c r="D100" s="61">
        <v>35611</v>
      </c>
      <c r="E100" s="61">
        <v>38112</v>
      </c>
      <c r="F100" s="61">
        <v>38477</v>
      </c>
      <c r="G100" s="61">
        <v>39933</v>
      </c>
      <c r="H100" s="61">
        <v>40962</v>
      </c>
      <c r="I100" s="61">
        <v>42692</v>
      </c>
      <c r="N100" s="60" t="s">
        <v>261</v>
      </c>
      <c r="O100" s="61">
        <f>F100</f>
        <v>38477</v>
      </c>
      <c r="P100" s="61">
        <v>43229</v>
      </c>
    </row>
    <row r="101" spans="1:16" s="61" customFormat="1">
      <c r="A101" s="61" t="s">
        <v>208</v>
      </c>
      <c r="C101" s="61">
        <v>2493</v>
      </c>
      <c r="D101" s="61">
        <v>2520</v>
      </c>
      <c r="E101" s="61">
        <v>2536</v>
      </c>
      <c r="F101" s="61">
        <v>2140</v>
      </c>
      <c r="G101" s="61">
        <v>2115</v>
      </c>
      <c r="H101" s="61">
        <v>2105</v>
      </c>
      <c r="I101" s="61">
        <v>2156</v>
      </c>
      <c r="N101" s="60" t="s">
        <v>261</v>
      </c>
      <c r="O101" s="61">
        <f>F101</f>
        <v>2140</v>
      </c>
      <c r="P101" s="61">
        <v>2354</v>
      </c>
    </row>
    <row r="102" spans="1:16" s="61" customFormat="1">
      <c r="A102" s="61" t="s">
        <v>209</v>
      </c>
      <c r="C102" s="61">
        <v>0</v>
      </c>
      <c r="D102" s="61">
        <v>0</v>
      </c>
      <c r="E102" s="61">
        <v>0</v>
      </c>
      <c r="F102" s="61">
        <v>0</v>
      </c>
      <c r="G102" s="61">
        <v>0</v>
      </c>
      <c r="H102" s="61">
        <v>0</v>
      </c>
      <c r="I102" s="61">
        <v>1803</v>
      </c>
      <c r="N102" s="60" t="s">
        <v>261</v>
      </c>
      <c r="O102" s="61">
        <f>F102</f>
        <v>0</v>
      </c>
      <c r="P102" s="61">
        <v>1827</v>
      </c>
    </row>
    <row r="103" spans="1:16" s="59" customFormat="1">
      <c r="A103" s="59" t="s">
        <v>211</v>
      </c>
      <c r="C103" s="59">
        <f t="shared" ref="C103:H103" si="36">SUM(C99:C102)</f>
        <v>70184</v>
      </c>
      <c r="D103" s="59">
        <f t="shared" si="36"/>
        <v>75846</v>
      </c>
      <c r="E103" s="59">
        <f t="shared" si="36"/>
        <v>80245</v>
      </c>
      <c r="F103" s="59">
        <f t="shared" si="36"/>
        <v>82201</v>
      </c>
      <c r="G103" s="59">
        <f t="shared" si="36"/>
        <v>79192</v>
      </c>
      <c r="H103" s="59">
        <f t="shared" si="36"/>
        <v>82842</v>
      </c>
      <c r="I103" s="59">
        <f>SUM(I99:I102)</f>
        <v>84692</v>
      </c>
      <c r="J103" s="59">
        <f>SUM(J99:J102)</f>
        <v>0</v>
      </c>
      <c r="K103" s="59">
        <f>SUM(K99:K102)</f>
        <v>0</v>
      </c>
      <c r="L103" s="59">
        <f>SUM(L99:L102)</f>
        <v>0</v>
      </c>
      <c r="M103" s="59">
        <f>SUM(M99:M102)</f>
        <v>0</v>
      </c>
      <c r="N103" s="60" t="s">
        <v>261</v>
      </c>
      <c r="O103" s="59">
        <f>SUM(O99:O102)</f>
        <v>82201</v>
      </c>
      <c r="P103" s="59">
        <f>SUM(P99:P102)</f>
        <v>84395</v>
      </c>
    </row>
    <row r="104" spans="1:16" s="61" customFormat="1">
      <c r="A104" s="61" t="s">
        <v>214</v>
      </c>
      <c r="C104" s="61">
        <v>100</v>
      </c>
      <c r="D104" s="61">
        <v>102</v>
      </c>
      <c r="E104" s="61">
        <v>101</v>
      </c>
      <c r="F104" s="61">
        <v>97</v>
      </c>
      <c r="G104" s="61">
        <v>100</v>
      </c>
      <c r="H104" s="61">
        <v>98</v>
      </c>
      <c r="I104" s="61">
        <v>84</v>
      </c>
      <c r="N104" s="60" t="s">
        <v>261</v>
      </c>
      <c r="O104" s="61">
        <f>F104</f>
        <v>97</v>
      </c>
      <c r="P104" s="61">
        <v>82</v>
      </c>
    </row>
    <row r="105" spans="1:16" s="61" customFormat="1">
      <c r="N105" s="60" t="s">
        <v>261</v>
      </c>
    </row>
    <row r="106" spans="1:16" s="59" customFormat="1">
      <c r="A106" s="59" t="s">
        <v>212</v>
      </c>
      <c r="C106" s="59">
        <f t="shared" ref="C106:H106" si="37">C92-C103-C104</f>
        <v>21336</v>
      </c>
      <c r="D106" s="59">
        <f t="shared" si="37"/>
        <v>22399</v>
      </c>
      <c r="E106" s="59">
        <f t="shared" si="37"/>
        <v>23051</v>
      </c>
      <c r="F106" s="59">
        <f t="shared" si="37"/>
        <v>21789</v>
      </c>
      <c r="G106" s="59">
        <f t="shared" si="37"/>
        <v>22079</v>
      </c>
      <c r="H106" s="59">
        <f t="shared" si="37"/>
        <v>22688</v>
      </c>
      <c r="I106" s="59">
        <f>O92-I103-I104</f>
        <v>19311</v>
      </c>
      <c r="J106" s="59">
        <f>P92-J103-J104</f>
        <v>107320</v>
      </c>
      <c r="K106" s="59">
        <f>Q92-K103-K104</f>
        <v>0</v>
      </c>
      <c r="L106" s="59">
        <f>R92-L103-L104</f>
        <v>0</v>
      </c>
      <c r="M106" s="59">
        <f>S92-M103-M104</f>
        <v>0</v>
      </c>
      <c r="N106" s="60" t="s">
        <v>261</v>
      </c>
      <c r="O106" s="59">
        <f>T92-O103-O104</f>
        <v>-82298</v>
      </c>
      <c r="P106" s="59">
        <f>U92-P103-P104</f>
        <v>-84477</v>
      </c>
    </row>
    <row r="107" spans="1:16" s="59" customFormat="1">
      <c r="A107" s="59" t="s">
        <v>213</v>
      </c>
      <c r="N107" s="60" t="s">
        <v>261</v>
      </c>
    </row>
    <row r="108" spans="1:16" s="61" customFormat="1">
      <c r="A108" s="61" t="s">
        <v>215</v>
      </c>
      <c r="C108" s="61">
        <v>5191</v>
      </c>
      <c r="D108" s="61">
        <v>5227</v>
      </c>
      <c r="E108" s="61">
        <v>5272</v>
      </c>
      <c r="F108" s="61">
        <v>5303</v>
      </c>
      <c r="G108" s="61">
        <v>5335</v>
      </c>
      <c r="H108" s="61">
        <v>5391</v>
      </c>
      <c r="I108" s="61">
        <v>5441</v>
      </c>
      <c r="N108" s="60" t="s">
        <v>261</v>
      </c>
      <c r="O108" s="61">
        <f>F108</f>
        <v>5303</v>
      </c>
      <c r="P108" s="61">
        <v>5489</v>
      </c>
    </row>
    <row r="109" spans="1:16" s="61" customFormat="1">
      <c r="A109" s="61" t="s">
        <v>216</v>
      </c>
      <c r="C109" s="61">
        <v>-25333</v>
      </c>
      <c r="D109" s="61">
        <v>-26630</v>
      </c>
      <c r="E109" s="61">
        <v>-28760</v>
      </c>
      <c r="F109" s="61">
        <v>-31335</v>
      </c>
      <c r="G109" s="61">
        <v>-32663</v>
      </c>
      <c r="H109" s="61">
        <v>-33764</v>
      </c>
      <c r="I109" s="61">
        <v>-34570</v>
      </c>
      <c r="N109" s="60" t="s">
        <v>261</v>
      </c>
      <c r="O109" s="61">
        <f>F109</f>
        <v>-31335</v>
      </c>
      <c r="P109" s="61">
        <v>-35349</v>
      </c>
    </row>
    <row r="110" spans="1:16" s="61" customFormat="1">
      <c r="A110" s="61" t="s">
        <v>217</v>
      </c>
      <c r="C110" s="61">
        <v>43846</v>
      </c>
      <c r="D110" s="61">
        <v>46336</v>
      </c>
      <c r="E110" s="61">
        <v>48947</v>
      </c>
      <c r="F110" s="61">
        <v>50931</v>
      </c>
      <c r="G110" s="61">
        <v>52266</v>
      </c>
      <c r="H110" s="61">
        <v>54228</v>
      </c>
      <c r="I110" s="61">
        <v>55559</v>
      </c>
      <c r="N110" s="60" t="s">
        <v>261</v>
      </c>
      <c r="O110" s="61">
        <f>F110</f>
        <v>50931</v>
      </c>
      <c r="P110" s="61">
        <v>56402</v>
      </c>
    </row>
    <row r="111" spans="1:16" s="61" customFormat="1">
      <c r="A111" s="61" t="s">
        <v>218</v>
      </c>
      <c r="C111" s="61">
        <v>-2372</v>
      </c>
      <c r="D111" s="61">
        <v>-2538</v>
      </c>
      <c r="E111" s="61">
        <v>-2411</v>
      </c>
      <c r="F111" s="61">
        <v>-3114</v>
      </c>
      <c r="G111" s="61">
        <v>-2863</v>
      </c>
      <c r="H111" s="61">
        <v>-3171</v>
      </c>
      <c r="I111" s="61">
        <v>-3368</v>
      </c>
      <c r="N111" s="60" t="s">
        <v>261</v>
      </c>
      <c r="O111" s="61">
        <f>F111</f>
        <v>-3114</v>
      </c>
      <c r="P111" s="61">
        <v>-3706</v>
      </c>
    </row>
    <row r="112" spans="1:16" s="59" customFormat="1">
      <c r="A112" s="59" t="s">
        <v>219</v>
      </c>
      <c r="C112" s="59">
        <f t="shared" ref="C112:H112" si="38">SUM(C108:C111)</f>
        <v>21332</v>
      </c>
      <c r="D112" s="59">
        <f t="shared" si="38"/>
        <v>22395</v>
      </c>
      <c r="E112" s="59">
        <f t="shared" si="38"/>
        <v>23048</v>
      </c>
      <c r="F112" s="59">
        <f t="shared" si="38"/>
        <v>21785</v>
      </c>
      <c r="G112" s="59">
        <f t="shared" si="38"/>
        <v>22075</v>
      </c>
      <c r="H112" s="59">
        <f t="shared" si="38"/>
        <v>22684</v>
      </c>
      <c r="I112" s="59">
        <f>SUM(I108:I111)</f>
        <v>23062</v>
      </c>
      <c r="J112" s="59">
        <f>SUM(J108:J111)</f>
        <v>0</v>
      </c>
      <c r="K112" s="59">
        <f>SUM(K108:K111)</f>
        <v>0</v>
      </c>
      <c r="L112" s="59">
        <f>SUM(L108:L111)</f>
        <v>0</v>
      </c>
      <c r="M112" s="59">
        <f>SUM(M108:M111)</f>
        <v>0</v>
      </c>
      <c r="N112" s="60" t="s">
        <v>261</v>
      </c>
      <c r="O112" s="59">
        <f>SUM(O108:O111)</f>
        <v>21785</v>
      </c>
      <c r="P112" s="59">
        <f>SUM(P108:P111)</f>
        <v>22836</v>
      </c>
    </row>
    <row r="113" spans="1:16" s="61" customFormat="1">
      <c r="A113" s="61" t="s">
        <v>220</v>
      </c>
      <c r="C113" s="61">
        <v>4</v>
      </c>
      <c r="D113" s="61">
        <v>4</v>
      </c>
      <c r="E113" s="61">
        <v>3</v>
      </c>
      <c r="F113" s="61">
        <v>4</v>
      </c>
      <c r="G113" s="61">
        <v>4</v>
      </c>
      <c r="H113" s="61">
        <v>4</v>
      </c>
      <c r="I113" s="61">
        <v>3</v>
      </c>
      <c r="N113" s="60" t="s">
        <v>261</v>
      </c>
      <c r="O113" s="61">
        <f>F113</f>
        <v>4</v>
      </c>
      <c r="P113" s="61">
        <v>7</v>
      </c>
    </row>
    <row r="114" spans="1:16" s="59" customFormat="1">
      <c r="A114" s="59" t="s">
        <v>221</v>
      </c>
      <c r="C114" s="59">
        <f t="shared" ref="C114:H114" si="39">C113+C112</f>
        <v>21336</v>
      </c>
      <c r="D114" s="59">
        <f t="shared" si="39"/>
        <v>22399</v>
      </c>
      <c r="E114" s="59">
        <f t="shared" si="39"/>
        <v>23051</v>
      </c>
      <c r="F114" s="59">
        <f t="shared" si="39"/>
        <v>21789</v>
      </c>
      <c r="G114" s="59">
        <f t="shared" si="39"/>
        <v>22079</v>
      </c>
      <c r="H114" s="59">
        <f t="shared" si="39"/>
        <v>22688</v>
      </c>
      <c r="I114" s="59">
        <f>I113+I112</f>
        <v>23065</v>
      </c>
      <c r="J114" s="59">
        <f>J113+J112</f>
        <v>0</v>
      </c>
      <c r="K114" s="59">
        <f>K113+K112</f>
        <v>0</v>
      </c>
      <c r="L114" s="59">
        <f>L113+L112</f>
        <v>0</v>
      </c>
      <c r="M114" s="59">
        <f>M113+M112</f>
        <v>0</v>
      </c>
      <c r="N114" s="60" t="s">
        <v>261</v>
      </c>
      <c r="O114" s="59">
        <f>O113+O112</f>
        <v>21789</v>
      </c>
      <c r="P114" s="59">
        <f>P113+P112</f>
        <v>22843</v>
      </c>
    </row>
    <row r="115" spans="1:16" s="59" customFormat="1">
      <c r="A115" s="59" t="s">
        <v>222</v>
      </c>
      <c r="C115" s="59">
        <f>C114+C103+C104</f>
        <v>91620</v>
      </c>
      <c r="D115" s="59">
        <f t="shared" ref="D115:I115" si="40">D114+D103+D104</f>
        <v>98347</v>
      </c>
      <c r="E115" s="59">
        <f t="shared" si="40"/>
        <v>103397</v>
      </c>
      <c r="F115" s="59">
        <f t="shared" si="40"/>
        <v>104087</v>
      </c>
      <c r="G115" s="59">
        <f t="shared" si="40"/>
        <v>101371</v>
      </c>
      <c r="H115" s="59">
        <f t="shared" si="40"/>
        <v>105628</v>
      </c>
      <c r="I115" s="59">
        <f t="shared" si="40"/>
        <v>107841</v>
      </c>
      <c r="J115" s="59">
        <f t="shared" ref="J115:M115" si="41">J114+J103+J104</f>
        <v>0</v>
      </c>
      <c r="K115" s="59">
        <f t="shared" si="41"/>
        <v>0</v>
      </c>
      <c r="L115" s="59">
        <f t="shared" si="41"/>
        <v>0</v>
      </c>
      <c r="M115" s="59">
        <f t="shared" si="41"/>
        <v>0</v>
      </c>
      <c r="N115" s="60" t="s">
        <v>261</v>
      </c>
      <c r="O115" s="59">
        <f t="shared" ref="O115:P115" si="42">O114+O103+O104</f>
        <v>104087</v>
      </c>
      <c r="P115" s="59">
        <f t="shared" si="42"/>
        <v>107320</v>
      </c>
    </row>
    <row r="116" spans="1:16" s="53" customFormat="1">
      <c r="N116" s="52" t="s">
        <v>261</v>
      </c>
    </row>
    <row r="117" spans="1:16" s="51" customFormat="1">
      <c r="A117" s="51" t="s">
        <v>223</v>
      </c>
      <c r="C117" s="55">
        <f t="shared" ref="C117:I117" si="43">C103/C92</f>
        <v>0.76603361711416718</v>
      </c>
      <c r="D117" s="55">
        <f t="shared" si="43"/>
        <v>0.77120806938696651</v>
      </c>
      <c r="E117" s="55">
        <f t="shared" si="43"/>
        <v>0.77608634679923016</v>
      </c>
      <c r="F117" s="55">
        <f t="shared" si="43"/>
        <v>0.78973358824829232</v>
      </c>
      <c r="G117" s="55">
        <f t="shared" si="43"/>
        <v>0.78120961616241336</v>
      </c>
      <c r="H117" s="55">
        <f t="shared" si="43"/>
        <v>0.78428068315219446</v>
      </c>
      <c r="I117" s="55">
        <f t="shared" si="43"/>
        <v>0.7853413822201204</v>
      </c>
      <c r="J117" s="55" t="e">
        <f t="shared" ref="J117:M117" si="44">J103/J92</f>
        <v>#DIV/0!</v>
      </c>
      <c r="K117" s="55" t="e">
        <f t="shared" si="44"/>
        <v>#DIV/0!</v>
      </c>
      <c r="L117" s="55" t="e">
        <f t="shared" si="44"/>
        <v>#DIV/0!</v>
      </c>
      <c r="M117" s="55" t="e">
        <f t="shared" si="44"/>
        <v>#DIV/0!</v>
      </c>
      <c r="N117" s="52" t="s">
        <v>261</v>
      </c>
      <c r="O117" s="55">
        <f t="shared" ref="O117:P117" si="45">O103/O92</f>
        <v>0.78973358824829232</v>
      </c>
      <c r="P117" s="55">
        <f t="shared" si="45"/>
        <v>0.78638650764070073</v>
      </c>
    </row>
    <row r="118" spans="1:16" s="51" customFormat="1">
      <c r="A118" s="51" t="s">
        <v>224</v>
      </c>
      <c r="C118" s="55">
        <f t="shared" ref="C118:H118" si="46">C84/C99</f>
        <v>2.2366033108522378</v>
      </c>
      <c r="D118" s="55">
        <f t="shared" si="46"/>
        <v>2.1088956648548325</v>
      </c>
      <c r="E118" s="55">
        <f t="shared" si="46"/>
        <v>2.1262721923378032</v>
      </c>
      <c r="F118" s="55">
        <f t="shared" si="46"/>
        <v>2.0404722970373221</v>
      </c>
      <c r="G118" s="55">
        <f t="shared" si="46"/>
        <v>2.2044206332112859</v>
      </c>
      <c r="H118" s="55">
        <f t="shared" si="46"/>
        <v>2.1624135763670647</v>
      </c>
      <c r="I118" s="55">
        <f>I84/I99</f>
        <v>2.2309350437685653</v>
      </c>
      <c r="J118" s="55" t="e">
        <f>J84/J99</f>
        <v>#DIV/0!</v>
      </c>
      <c r="K118" s="55" t="e">
        <f>K84/K99</f>
        <v>#DIV/0!</v>
      </c>
      <c r="L118" s="55" t="e">
        <f>L84/L99</f>
        <v>#DIV/0!</v>
      </c>
      <c r="M118" s="55" t="e">
        <f>M84/M99</f>
        <v>#DIV/0!</v>
      </c>
      <c r="N118" s="52" t="s">
        <v>261</v>
      </c>
      <c r="O118" s="55">
        <f>O84/O99</f>
        <v>2.0404722970373221</v>
      </c>
      <c r="P118" s="55">
        <f>P84/P99</f>
        <v>2.2691631742598353</v>
      </c>
    </row>
    <row r="119" spans="1:16" s="59" customFormat="1">
      <c r="A119" s="59" t="s">
        <v>225</v>
      </c>
      <c r="C119" s="59">
        <f t="shared" ref="C119:H119" si="47">C84-C99</f>
        <v>40338</v>
      </c>
      <c r="D119" s="59">
        <f t="shared" si="47"/>
        <v>41822</v>
      </c>
      <c r="E119" s="59">
        <f t="shared" si="47"/>
        <v>44597</v>
      </c>
      <c r="F119" s="59">
        <f t="shared" si="47"/>
        <v>43267</v>
      </c>
      <c r="G119" s="59">
        <f t="shared" si="47"/>
        <v>44737</v>
      </c>
      <c r="H119" s="59">
        <f t="shared" si="47"/>
        <v>46235</v>
      </c>
      <c r="I119" s="59">
        <f>I84-I99</f>
        <v>46826</v>
      </c>
      <c r="J119" s="59">
        <f>J84-J99</f>
        <v>0</v>
      </c>
      <c r="K119" s="59">
        <f>K84-K99</f>
        <v>0</v>
      </c>
      <c r="L119" s="59">
        <f>L84-L99</f>
        <v>0</v>
      </c>
      <c r="M119" s="59">
        <f>M84-M99</f>
        <v>0</v>
      </c>
      <c r="N119" s="60" t="s">
        <v>261</v>
      </c>
      <c r="O119" s="59">
        <f>O84-O99</f>
        <v>43267</v>
      </c>
      <c r="P119" s="59">
        <f>P84-P99</f>
        <v>46940</v>
      </c>
    </row>
  </sheetData>
  <phoneticPr fontId="20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84044-8D53-4D69-86C1-ADAE3CA21267}">
  <dimension ref="A1:E17"/>
  <sheetViews>
    <sheetView workbookViewId="0">
      <selection activeCell="C1" sqref="C1"/>
    </sheetView>
  </sheetViews>
  <sheetFormatPr defaultRowHeight="14.5"/>
  <cols>
    <col min="1" max="1" width="5.1796875" bestFit="1" customWidth="1"/>
    <col min="2" max="2" width="55.7265625" bestFit="1" customWidth="1"/>
    <col min="3" max="3" width="9.6328125" bestFit="1" customWidth="1"/>
    <col min="4" max="4" width="13.08984375" bestFit="1" customWidth="1"/>
    <col min="5" max="5" width="14.6328125" bestFit="1" customWidth="1"/>
  </cols>
  <sheetData>
    <row r="1" spans="1:5">
      <c r="A1" s="18" t="s">
        <v>85</v>
      </c>
      <c r="B1" s="19"/>
      <c r="C1" s="19"/>
      <c r="D1" s="20"/>
      <c r="E1" s="19"/>
    </row>
    <row r="2" spans="1:5" ht="16.5">
      <c r="A2" s="21"/>
      <c r="B2" s="18" t="s">
        <v>94</v>
      </c>
      <c r="C2" s="20"/>
      <c r="D2" s="20"/>
      <c r="E2" s="20"/>
    </row>
    <row r="3" spans="1:5">
      <c r="A3" s="21"/>
      <c r="B3" s="21"/>
      <c r="C3" s="21"/>
      <c r="D3" s="21"/>
      <c r="E3" s="21"/>
    </row>
    <row r="4" spans="1:5">
      <c r="A4" s="22"/>
      <c r="B4" s="23"/>
      <c r="C4" s="23" t="s">
        <v>86</v>
      </c>
      <c r="D4" s="23" t="s">
        <v>87</v>
      </c>
      <c r="E4" s="23" t="s">
        <v>88</v>
      </c>
    </row>
    <row r="5" spans="1:5">
      <c r="A5" s="22"/>
      <c r="B5" s="24" t="s">
        <v>89</v>
      </c>
      <c r="C5" s="24" t="s">
        <v>90</v>
      </c>
      <c r="D5" s="24" t="s">
        <v>91</v>
      </c>
      <c r="E5" s="24" t="s">
        <v>92</v>
      </c>
    </row>
    <row r="6" spans="1:5">
      <c r="A6" s="21"/>
      <c r="B6" s="25">
        <v>2014</v>
      </c>
      <c r="C6" s="26">
        <v>5.5</v>
      </c>
      <c r="D6" s="27">
        <v>32.960599999999999</v>
      </c>
      <c r="E6" s="28">
        <v>0.16686589443153341</v>
      </c>
    </row>
    <row r="7" spans="1:5">
      <c r="A7" s="21"/>
      <c r="B7" s="25">
        <v>2015</v>
      </c>
      <c r="C7" s="26">
        <v>5.1829999999999998</v>
      </c>
      <c r="D7" s="27">
        <v>25.775200000000002</v>
      </c>
      <c r="E7" s="28">
        <v>0.20108476364877864</v>
      </c>
    </row>
    <row r="8" spans="1:5">
      <c r="A8" s="21"/>
      <c r="B8" s="25">
        <v>2016</v>
      </c>
      <c r="C8" s="26">
        <v>5.0380000000000003</v>
      </c>
      <c r="D8" s="27">
        <v>23.3873</v>
      </c>
      <c r="E8" s="28">
        <v>0.21541605914321021</v>
      </c>
    </row>
    <row r="9" spans="1:5">
      <c r="A9" s="21"/>
      <c r="B9" s="25">
        <v>2017</v>
      </c>
      <c r="C9" s="26">
        <v>5.5</v>
      </c>
      <c r="D9" s="27">
        <v>25.885100000000001</v>
      </c>
      <c r="E9" s="28">
        <v>0.21247744841627036</v>
      </c>
    </row>
    <row r="10" spans="1:5">
      <c r="A10" s="21"/>
      <c r="B10" s="25">
        <v>2018</v>
      </c>
      <c r="C10" s="26">
        <v>6.3924000000000003</v>
      </c>
      <c r="D10" s="27">
        <v>33.3508</v>
      </c>
      <c r="E10" s="28">
        <v>0.19167156410041139</v>
      </c>
    </row>
    <row r="11" spans="1:5">
      <c r="A11" s="21"/>
      <c r="B11" s="25">
        <v>2019</v>
      </c>
      <c r="C11" s="26">
        <v>6.7363999999999997</v>
      </c>
      <c r="D11" s="27">
        <v>34.8855</v>
      </c>
      <c r="E11" s="28">
        <v>0.19310028521878717</v>
      </c>
    </row>
    <row r="12" spans="1:5">
      <c r="A12" s="21"/>
      <c r="B12" s="25">
        <v>2020</v>
      </c>
      <c r="C12" s="26">
        <v>6.8116585628694049</v>
      </c>
      <c r="D12" s="27">
        <v>31.271671455311399</v>
      </c>
      <c r="E12" s="28">
        <v>0.21782201736813353</v>
      </c>
    </row>
    <row r="13" spans="1:5">
      <c r="A13" s="21"/>
      <c r="B13" s="25">
        <v>2021</v>
      </c>
      <c r="C13" s="26">
        <v>7.6804976183053997</v>
      </c>
      <c r="D13" s="27">
        <v>39.737228960419316</v>
      </c>
      <c r="E13" s="28">
        <v>0.19328216433902928</v>
      </c>
    </row>
    <row r="14" spans="1:5">
      <c r="A14" s="21"/>
      <c r="B14" s="25">
        <v>2022</v>
      </c>
      <c r="C14" s="26">
        <v>8.4029094330752425</v>
      </c>
      <c r="D14" s="26">
        <v>47.916687759053097</v>
      </c>
      <c r="E14" s="28">
        <v>0.17536498923566865</v>
      </c>
    </row>
    <row r="15" spans="1:5">
      <c r="A15" s="21"/>
      <c r="B15" s="25">
        <v>2023</v>
      </c>
      <c r="C15" s="26">
        <v>8.6798793161414292</v>
      </c>
      <c r="D15" s="26">
        <v>55.565436584722704</v>
      </c>
      <c r="E15" s="28">
        <v>0.15621004440245675</v>
      </c>
    </row>
    <row r="17" spans="2:2">
      <c r="B17" s="29" t="s">
        <v>93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38C3A-91E4-4025-92B8-65E0C240F210}">
  <dimension ref="B2:E19"/>
  <sheetViews>
    <sheetView workbookViewId="0">
      <selection activeCell="F36" sqref="F36"/>
    </sheetView>
  </sheetViews>
  <sheetFormatPr defaultRowHeight="14.5"/>
  <cols>
    <col min="3" max="3" width="14.7265625" bestFit="1" customWidth="1"/>
    <col min="4" max="4" width="24.26953125" bestFit="1" customWidth="1"/>
  </cols>
  <sheetData>
    <row r="2" spans="2:5">
      <c r="B2">
        <v>2023</v>
      </c>
    </row>
    <row r="3" spans="2:5">
      <c r="C3" t="s">
        <v>233</v>
      </c>
      <c r="D3" t="s">
        <v>252</v>
      </c>
      <c r="E3" t="s">
        <v>253</v>
      </c>
    </row>
    <row r="4" spans="2:5">
      <c r="C4" t="s">
        <v>233</v>
      </c>
      <c r="D4" t="s">
        <v>103</v>
      </c>
      <c r="E4" t="s">
        <v>234</v>
      </c>
    </row>
    <row r="5" spans="2:5">
      <c r="C5" t="s">
        <v>233</v>
      </c>
      <c r="D5" t="s">
        <v>230</v>
      </c>
      <c r="E5" t="s">
        <v>235</v>
      </c>
    </row>
    <row r="6" spans="2:5">
      <c r="C6" t="s">
        <v>233</v>
      </c>
      <c r="D6" t="s">
        <v>231</v>
      </c>
      <c r="E6" t="s">
        <v>236</v>
      </c>
    </row>
    <row r="7" spans="2:5">
      <c r="C7" t="s">
        <v>233</v>
      </c>
      <c r="D7" t="s">
        <v>237</v>
      </c>
      <c r="E7" t="s">
        <v>238</v>
      </c>
    </row>
    <row r="8" spans="2:5">
      <c r="C8" t="s">
        <v>233</v>
      </c>
      <c r="D8" t="s">
        <v>239</v>
      </c>
      <c r="E8" t="s">
        <v>240</v>
      </c>
    </row>
    <row r="9" spans="2:5">
      <c r="C9" t="s">
        <v>233</v>
      </c>
      <c r="D9" t="s">
        <v>241</v>
      </c>
      <c r="E9" t="s">
        <v>242</v>
      </c>
    </row>
    <row r="10" spans="2:5">
      <c r="C10" t="s">
        <v>233</v>
      </c>
      <c r="D10" t="s">
        <v>243</v>
      </c>
      <c r="E10" t="s">
        <v>242</v>
      </c>
    </row>
    <row r="11" spans="2:5">
      <c r="C11" t="s">
        <v>233</v>
      </c>
      <c r="D11" t="s">
        <v>244</v>
      </c>
      <c r="E11" t="s">
        <v>245</v>
      </c>
    </row>
    <row r="12" spans="2:5">
      <c r="C12" t="s">
        <v>233</v>
      </c>
      <c r="D12" t="s">
        <v>246</v>
      </c>
      <c r="E12" t="s">
        <v>240</v>
      </c>
    </row>
    <row r="13" spans="2:5">
      <c r="C13" t="s">
        <v>233</v>
      </c>
      <c r="D13" t="s">
        <v>247</v>
      </c>
      <c r="E13" t="s">
        <v>248</v>
      </c>
    </row>
    <row r="14" spans="2:5">
      <c r="C14" t="s">
        <v>233</v>
      </c>
      <c r="D14" t="s">
        <v>249</v>
      </c>
      <c r="E14" t="s">
        <v>242</v>
      </c>
    </row>
    <row r="15" spans="2:5">
      <c r="C15" t="s">
        <v>233</v>
      </c>
      <c r="D15" t="s">
        <v>250</v>
      </c>
      <c r="E15" t="s">
        <v>251</v>
      </c>
    </row>
    <row r="17" spans="3:5">
      <c r="C17" t="s">
        <v>32</v>
      </c>
      <c r="D17" t="s">
        <v>103</v>
      </c>
      <c r="E17" t="s">
        <v>229</v>
      </c>
    </row>
    <row r="18" spans="3:5">
      <c r="C18" t="s">
        <v>32</v>
      </c>
      <c r="D18" t="s">
        <v>230</v>
      </c>
      <c r="E18" t="s">
        <v>229</v>
      </c>
    </row>
    <row r="19" spans="3:5">
      <c r="C19" t="s">
        <v>32</v>
      </c>
      <c r="D19" t="s">
        <v>231</v>
      </c>
      <c r="E19" t="s">
        <v>232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75FF4-BC21-4380-828B-9AD627B5D152}">
  <dimension ref="A1:E14"/>
  <sheetViews>
    <sheetView zoomScale="205" zoomScaleNormal="205" workbookViewId="0">
      <selection activeCell="C19" sqref="C19"/>
    </sheetView>
  </sheetViews>
  <sheetFormatPr defaultColWidth="9.1796875" defaultRowHeight="12.5"/>
  <cols>
    <col min="1" max="1" width="5" style="2" bestFit="1" customWidth="1"/>
    <col min="2" max="2" width="9.1796875" style="2"/>
    <col min="3" max="3" width="11.7265625" style="2" customWidth="1"/>
    <col min="4" max="16384" width="9.1796875" style="2"/>
  </cols>
  <sheetData>
    <row r="1" spans="1:5" ht="14.5">
      <c r="A1" s="12" t="s">
        <v>6</v>
      </c>
    </row>
    <row r="4" spans="1:5">
      <c r="B4" s="2" t="s">
        <v>34</v>
      </c>
      <c r="C4" s="2" t="s">
        <v>35</v>
      </c>
      <c r="D4" s="2">
        <v>100000</v>
      </c>
    </row>
    <row r="5" spans="1:5">
      <c r="C5" s="2" t="s">
        <v>36</v>
      </c>
      <c r="D5" s="2">
        <v>550000</v>
      </c>
    </row>
    <row r="6" spans="1:5">
      <c r="B6" s="2" t="s">
        <v>37</v>
      </c>
      <c r="C6" s="2" t="s">
        <v>36</v>
      </c>
      <c r="D6" s="2">
        <v>750000</v>
      </c>
      <c r="E6" s="2">
        <v>950000</v>
      </c>
    </row>
    <row r="7" spans="1:5">
      <c r="B7" s="2" t="s">
        <v>38</v>
      </c>
      <c r="C7" s="2" t="s">
        <v>39</v>
      </c>
      <c r="D7" s="2">
        <v>350000</v>
      </c>
      <c r="E7" s="2">
        <v>375000</v>
      </c>
    </row>
    <row r="8" spans="1:5">
      <c r="B8" s="2" t="s">
        <v>40</v>
      </c>
      <c r="C8" s="2" t="s">
        <v>39</v>
      </c>
      <c r="D8" s="2">
        <v>250000</v>
      </c>
    </row>
    <row r="9" spans="1:5">
      <c r="C9" s="2" t="s">
        <v>41</v>
      </c>
      <c r="D9" s="2">
        <v>300000</v>
      </c>
      <c r="E9" s="2">
        <v>125000</v>
      </c>
    </row>
    <row r="10" spans="1:5">
      <c r="B10" s="2" t="s">
        <v>42</v>
      </c>
      <c r="C10" s="2" t="s">
        <v>43</v>
      </c>
      <c r="D10" s="2">
        <v>300000</v>
      </c>
    </row>
    <row r="11" spans="1:5">
      <c r="C11" s="2" t="s">
        <v>44</v>
      </c>
      <c r="D11" s="2">
        <v>300000</v>
      </c>
    </row>
    <row r="12" spans="1:5">
      <c r="C12" s="2" t="s">
        <v>45</v>
      </c>
      <c r="D12" s="2">
        <v>300000</v>
      </c>
    </row>
    <row r="13" spans="1:5">
      <c r="B13" s="2" t="s">
        <v>60</v>
      </c>
    </row>
    <row r="14" spans="1:5">
      <c r="B14" s="2" t="s">
        <v>61</v>
      </c>
    </row>
  </sheetData>
  <hyperlinks>
    <hyperlink ref="A1" location="Main!A1" display="Main" xr:uid="{F7C304BC-0D0C-409F-91DB-720C6A18CEC1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10252-7C49-48D8-9A64-7380C8DB275B}">
  <dimension ref="A1:AI114"/>
  <sheetViews>
    <sheetView zoomScale="79" zoomScaleNormal="77" workbookViewId="0">
      <pane xSplit="2" ySplit="2" topLeftCell="C26" activePane="bottomRight" state="frozen"/>
      <selection pane="topRight" activeCell="C1" sqref="C1"/>
      <selection pane="bottomLeft" activeCell="A3" sqref="A3"/>
      <selection pane="bottomRight" activeCell="F84" sqref="F84"/>
    </sheetView>
  </sheetViews>
  <sheetFormatPr defaultColWidth="9.1796875" defaultRowHeight="12.5"/>
  <cols>
    <col min="1" max="1" width="5.1796875" style="2" bestFit="1" customWidth="1"/>
    <col min="2" max="2" width="36.1796875" style="2" bestFit="1" customWidth="1"/>
    <col min="3" max="6" width="9.1796875" style="4"/>
    <col min="7" max="13" width="9.54296875" style="4" customWidth="1"/>
    <col min="14" max="17" width="8.453125" style="4" customWidth="1"/>
    <col min="18" max="18" width="9.1796875" style="2"/>
    <col min="19" max="19" width="9.7265625" style="2" customWidth="1"/>
    <col min="20" max="20" width="10.7265625" style="2" customWidth="1"/>
    <col min="21" max="31" width="9.7265625" style="2" customWidth="1"/>
    <col min="32" max="32" width="9.1796875" style="2"/>
    <col min="33" max="33" width="9.54296875" style="2" customWidth="1"/>
    <col min="34" max="16384" width="9.1796875" style="2"/>
  </cols>
  <sheetData>
    <row r="1" spans="1:31">
      <c r="A1" s="5" t="s">
        <v>6</v>
      </c>
    </row>
    <row r="2" spans="1:31" s="15" customFormat="1">
      <c r="A2" s="30"/>
      <c r="C2" s="13" t="s">
        <v>31</v>
      </c>
      <c r="D2" s="13" t="s">
        <v>147</v>
      </c>
      <c r="E2" s="13" t="s">
        <v>32</v>
      </c>
      <c r="F2" s="13" t="s">
        <v>148</v>
      </c>
      <c r="G2" s="13" t="s">
        <v>146</v>
      </c>
      <c r="H2" s="13" t="s">
        <v>52</v>
      </c>
      <c r="I2" s="13" t="s">
        <v>145</v>
      </c>
      <c r="J2" s="13" t="s">
        <v>53</v>
      </c>
      <c r="K2" s="13" t="s">
        <v>144</v>
      </c>
      <c r="L2" s="13" t="s">
        <v>54</v>
      </c>
      <c r="M2" s="13" t="s">
        <v>149</v>
      </c>
      <c r="N2" s="13" t="s">
        <v>55</v>
      </c>
      <c r="O2" s="13" t="s">
        <v>56</v>
      </c>
      <c r="P2" s="13" t="s">
        <v>57</v>
      </c>
      <c r="Q2" s="13" t="s">
        <v>58</v>
      </c>
      <c r="S2" s="15">
        <v>2023</v>
      </c>
      <c r="T2" s="15">
        <f>+S2+1</f>
        <v>2024</v>
      </c>
      <c r="U2" s="15">
        <f t="shared" ref="U2" si="0">+T2+1</f>
        <v>2025</v>
      </c>
      <c r="V2" s="15">
        <f t="shared" ref="V2" si="1">+U2+1</f>
        <v>2026</v>
      </c>
      <c r="W2" s="15">
        <f t="shared" ref="W2" si="2">+V2+1</f>
        <v>2027</v>
      </c>
      <c r="X2" s="15">
        <f t="shared" ref="X2" si="3">+W2+1</f>
        <v>2028</v>
      </c>
      <c r="Y2" s="15">
        <f t="shared" ref="Y2" si="4">+X2+1</f>
        <v>2029</v>
      </c>
      <c r="Z2" s="15">
        <f t="shared" ref="Z2" si="5">+Y2+1</f>
        <v>2030</v>
      </c>
      <c r="AA2" s="15">
        <f>+Z2+1</f>
        <v>2031</v>
      </c>
      <c r="AB2" s="15">
        <f>+AA2+1</f>
        <v>2032</v>
      </c>
      <c r="AC2" s="15">
        <f>+AB2+1</f>
        <v>2033</v>
      </c>
      <c r="AD2" s="15">
        <f>+AC2+1</f>
        <v>2034</v>
      </c>
      <c r="AE2" s="15">
        <f>+AD2+1</f>
        <v>2035</v>
      </c>
    </row>
    <row r="3" spans="1:31">
      <c r="A3" s="5"/>
      <c r="B3" s="2" t="s">
        <v>59</v>
      </c>
      <c r="G3" s="6"/>
      <c r="H3" s="6"/>
      <c r="I3" s="6"/>
    </row>
    <row r="4" spans="1:31">
      <c r="A4" s="5"/>
      <c r="B4" s="15" t="s">
        <v>95</v>
      </c>
      <c r="G4" s="6"/>
      <c r="H4" s="6"/>
      <c r="I4" s="6"/>
    </row>
    <row r="5" spans="1:31">
      <c r="A5" s="5"/>
      <c r="B5" s="15" t="s">
        <v>97</v>
      </c>
      <c r="G5" s="6"/>
      <c r="H5" s="6"/>
      <c r="I5" s="6"/>
    </row>
    <row r="6" spans="1:31">
      <c r="A6" s="5"/>
      <c r="B6" s="15" t="s">
        <v>98</v>
      </c>
      <c r="G6" s="6"/>
      <c r="H6" s="6"/>
      <c r="I6" s="6"/>
    </row>
    <row r="7" spans="1:31">
      <c r="A7" s="5"/>
      <c r="B7" s="15" t="s">
        <v>99</v>
      </c>
      <c r="G7" s="6"/>
      <c r="H7" s="6"/>
      <c r="I7" s="6"/>
    </row>
    <row r="8" spans="1:31">
      <c r="A8" s="5"/>
      <c r="B8" s="15" t="s">
        <v>100</v>
      </c>
      <c r="G8" s="6"/>
      <c r="H8" s="6"/>
      <c r="I8" s="6"/>
    </row>
    <row r="9" spans="1:31">
      <c r="A9" s="5"/>
      <c r="B9" s="15" t="s">
        <v>101</v>
      </c>
      <c r="G9" s="6"/>
      <c r="H9" s="6"/>
      <c r="I9" s="6"/>
    </row>
    <row r="10" spans="1:31">
      <c r="A10" s="5"/>
      <c r="B10" s="15" t="s">
        <v>102</v>
      </c>
      <c r="G10" s="6"/>
      <c r="H10" s="6"/>
      <c r="I10" s="6"/>
    </row>
    <row r="11" spans="1:31" s="32" customFormat="1" ht="13">
      <c r="A11" s="42" t="s">
        <v>117</v>
      </c>
      <c r="B11" s="32" t="s">
        <v>96</v>
      </c>
      <c r="C11" s="34">
        <f>+C23</f>
        <v>15801</v>
      </c>
      <c r="D11" s="34"/>
      <c r="E11" s="34">
        <f>+E23</f>
        <v>15801</v>
      </c>
      <c r="F11" s="34"/>
      <c r="G11" s="34">
        <f t="shared" ref="G11:J11" si="6">+G23</f>
        <v>0</v>
      </c>
      <c r="H11" s="34">
        <f t="shared" si="6"/>
        <v>0</v>
      </c>
      <c r="I11" s="34"/>
      <c r="J11" s="34">
        <f t="shared" si="6"/>
        <v>13152</v>
      </c>
      <c r="K11" s="34"/>
      <c r="L11" s="33"/>
      <c r="M11" s="33"/>
      <c r="N11" s="33"/>
      <c r="O11" s="33"/>
      <c r="P11" s="33"/>
      <c r="Q11" s="33"/>
      <c r="S11" s="35">
        <f>+S14</f>
        <v>13442</v>
      </c>
      <c r="T11" s="35" t="e">
        <f>+T14</f>
        <v>#REF!</v>
      </c>
    </row>
    <row r="12" spans="1:31">
      <c r="A12" s="5"/>
      <c r="C12" s="31"/>
      <c r="D12" s="31"/>
      <c r="E12" s="31"/>
      <c r="F12" s="31"/>
      <c r="G12" s="6"/>
      <c r="H12" s="6"/>
      <c r="I12" s="6"/>
    </row>
    <row r="13" spans="1:31" s="3" customFormat="1"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S13" s="9"/>
      <c r="T13" s="3" t="e">
        <f>+#REF!-#REF!</f>
        <v>#REF!</v>
      </c>
      <c r="U13" s="3" t="e">
        <f>+#REF!-#REF!</f>
        <v>#REF!</v>
      </c>
      <c r="V13" s="3" t="e">
        <f>+#REF!-#REF!</f>
        <v>#REF!</v>
      </c>
      <c r="W13" s="3" t="e">
        <f>+#REF!-#REF!</f>
        <v>#REF!</v>
      </c>
      <c r="X13" s="3" t="e">
        <f>+#REF!-#REF!</f>
        <v>#REF!</v>
      </c>
      <c r="Y13" s="3" t="e">
        <f>+#REF!-#REF!</f>
        <v>#REF!</v>
      </c>
      <c r="Z13" s="3" t="e">
        <f>+#REF!-#REF!</f>
        <v>#REF!</v>
      </c>
      <c r="AA13" s="3" t="e">
        <f>+#REF!-#REF!</f>
        <v>#REF!</v>
      </c>
      <c r="AB13" s="3" t="e">
        <f>+#REF!-#REF!</f>
        <v>#REF!</v>
      </c>
      <c r="AC13" s="3" t="e">
        <f>+#REF!-#REF!</f>
        <v>#REF!</v>
      </c>
      <c r="AD13" s="3" t="e">
        <f>+#REF!-#REF!</f>
        <v>#REF!</v>
      </c>
      <c r="AE13" s="3" t="e">
        <f>+#REF!-#REF!</f>
        <v>#REF!</v>
      </c>
    </row>
    <row r="14" spans="1:31" s="3" customFormat="1">
      <c r="A14" s="14"/>
      <c r="B14" s="14" t="s">
        <v>103</v>
      </c>
      <c r="C14" s="31">
        <v>6721</v>
      </c>
      <c r="D14" s="31"/>
      <c r="E14" s="31">
        <v>6721</v>
      </c>
      <c r="F14" s="31"/>
      <c r="G14" s="31"/>
      <c r="H14" s="31"/>
      <c r="I14" s="31"/>
      <c r="J14" s="31">
        <v>5038</v>
      </c>
      <c r="K14" s="31"/>
      <c r="L14" s="6" t="e">
        <f>+#REF!*#REF!/1000000</f>
        <v>#REF!</v>
      </c>
      <c r="M14" s="6"/>
      <c r="N14" s="6"/>
      <c r="O14" s="6"/>
      <c r="P14" s="6"/>
      <c r="Q14" s="6"/>
      <c r="S14" s="3">
        <f>SUM(C14:E14)</f>
        <v>13442</v>
      </c>
      <c r="T14" s="3" t="e">
        <f>SUM(G14:L14)</f>
        <v>#REF!</v>
      </c>
      <c r="U14" s="3" t="e">
        <f>#REF!*#REF!/1000000</f>
        <v>#REF!</v>
      </c>
      <c r="V14" s="3" t="e">
        <f>#REF!*#REF!/1000000</f>
        <v>#REF!</v>
      </c>
      <c r="W14" s="3" t="e">
        <f>#REF!*#REF!/1000000</f>
        <v>#REF!</v>
      </c>
      <c r="X14" s="3" t="e">
        <f>#REF!*#REF!/1000000</f>
        <v>#REF!</v>
      </c>
      <c r="Y14" s="3" t="e">
        <f>#REF!*#REF!/1000000</f>
        <v>#REF!</v>
      </c>
      <c r="Z14" s="3" t="e">
        <f>#REF!*#REF!/1000000</f>
        <v>#REF!</v>
      </c>
      <c r="AA14" s="3" t="e">
        <f>#REF!*#REF!/1000000</f>
        <v>#REF!</v>
      </c>
      <c r="AB14" s="3" t="e">
        <f>#REF!*#REF!/1000000</f>
        <v>#REF!</v>
      </c>
      <c r="AC14" s="3" t="e">
        <f>#REF!*#REF!/1000000</f>
        <v>#REF!</v>
      </c>
      <c r="AD14" s="3" t="e">
        <f>#REF!*#REF!/1000000</f>
        <v>#REF!</v>
      </c>
      <c r="AE14" s="3" t="e">
        <f>#REF!*#REF!/1000000</f>
        <v>#REF!</v>
      </c>
    </row>
    <row r="15" spans="1:31" s="3" customFormat="1">
      <c r="A15" s="14"/>
      <c r="B15" s="14" t="s">
        <v>64</v>
      </c>
      <c r="C15" s="31">
        <v>2688</v>
      </c>
      <c r="D15" s="31"/>
      <c r="E15" s="31">
        <v>2688</v>
      </c>
      <c r="F15" s="31"/>
      <c r="G15" s="31"/>
      <c r="H15" s="31"/>
      <c r="I15" s="31"/>
      <c r="J15" s="31">
        <v>2168</v>
      </c>
      <c r="K15" s="31"/>
      <c r="L15" s="6">
        <f>+E15</f>
        <v>2688</v>
      </c>
      <c r="M15" s="6"/>
      <c r="N15" s="6"/>
      <c r="O15" s="6"/>
      <c r="P15" s="6"/>
      <c r="Q15" s="6"/>
      <c r="S15" s="3">
        <f>SUM(C15:E15)</f>
        <v>5376</v>
      </c>
      <c r="T15" s="3">
        <f>SUM(G15:L15)</f>
        <v>4856</v>
      </c>
    </row>
    <row r="16" spans="1:31" s="3" customFormat="1">
      <c r="A16" s="14"/>
      <c r="B16" s="14" t="s">
        <v>65</v>
      </c>
      <c r="C16" s="31">
        <v>964</v>
      </c>
      <c r="D16" s="31"/>
      <c r="E16" s="31">
        <v>964</v>
      </c>
      <c r="F16" s="31"/>
      <c r="G16" s="31"/>
      <c r="H16" s="31"/>
      <c r="I16" s="31"/>
      <c r="J16" s="31">
        <v>825</v>
      </c>
      <c r="K16" s="31"/>
      <c r="L16" s="6"/>
      <c r="M16" s="6"/>
      <c r="N16" s="6"/>
      <c r="O16" s="6"/>
      <c r="P16" s="6"/>
      <c r="Q16" s="6"/>
    </row>
    <row r="17" spans="2:31" s="3" customFormat="1">
      <c r="B17" s="14" t="s">
        <v>66</v>
      </c>
      <c r="C17" s="31">
        <v>1745</v>
      </c>
      <c r="D17" s="31"/>
      <c r="E17" s="31">
        <v>1745</v>
      </c>
      <c r="F17" s="31"/>
      <c r="G17" s="31"/>
      <c r="H17" s="31"/>
      <c r="I17" s="31"/>
      <c r="J17" s="31">
        <v>1308</v>
      </c>
      <c r="K17" s="31"/>
      <c r="L17" s="6"/>
      <c r="M17" s="6"/>
      <c r="N17" s="6"/>
      <c r="O17" s="6"/>
      <c r="P17" s="6"/>
      <c r="Q17" s="6"/>
    </row>
    <row r="18" spans="2:31" s="3" customFormat="1">
      <c r="B18" s="14" t="s">
        <v>104</v>
      </c>
      <c r="C18" s="31">
        <v>614</v>
      </c>
      <c r="D18" s="31"/>
      <c r="E18" s="31">
        <v>614</v>
      </c>
      <c r="F18" s="31"/>
      <c r="G18" s="31"/>
      <c r="H18" s="31"/>
      <c r="I18" s="31"/>
      <c r="J18" s="31">
        <v>643</v>
      </c>
      <c r="K18" s="31"/>
      <c r="L18" s="6"/>
      <c r="M18" s="6"/>
      <c r="N18" s="6"/>
      <c r="O18" s="6"/>
      <c r="P18" s="6"/>
      <c r="Q18" s="6"/>
    </row>
    <row r="19" spans="2:31" s="3" customFormat="1">
      <c r="B19" s="14" t="s">
        <v>68</v>
      </c>
      <c r="C19" s="31">
        <v>987</v>
      </c>
      <c r="D19" s="31"/>
      <c r="E19" s="31">
        <v>987</v>
      </c>
      <c r="F19" s="31"/>
      <c r="G19" s="31"/>
      <c r="H19" s="31"/>
      <c r="I19" s="31"/>
      <c r="J19" s="31">
        <v>961</v>
      </c>
      <c r="K19" s="31"/>
      <c r="L19" s="6"/>
      <c r="M19" s="6"/>
      <c r="N19" s="6"/>
      <c r="O19" s="6"/>
      <c r="P19" s="6"/>
      <c r="Q19" s="6"/>
    </row>
    <row r="20" spans="2:31" s="3" customFormat="1">
      <c r="B20" s="14" t="s">
        <v>69</v>
      </c>
      <c r="C20" s="31">
        <v>334</v>
      </c>
      <c r="D20" s="31"/>
      <c r="E20" s="31">
        <v>334</v>
      </c>
      <c r="F20" s="31"/>
      <c r="G20" s="31"/>
      <c r="H20" s="31"/>
      <c r="I20" s="31"/>
      <c r="J20" s="31">
        <v>269</v>
      </c>
      <c r="K20" s="31"/>
      <c r="L20" s="6"/>
      <c r="M20" s="6"/>
      <c r="N20" s="6"/>
      <c r="O20" s="6"/>
      <c r="P20" s="6"/>
      <c r="Q20" s="6"/>
    </row>
    <row r="21" spans="2:31" s="3" customFormat="1">
      <c r="B21" s="14" t="s">
        <v>70</v>
      </c>
      <c r="C21" s="31">
        <v>1360</v>
      </c>
      <c r="D21" s="31"/>
      <c r="E21" s="31">
        <v>1360</v>
      </c>
      <c r="F21" s="31"/>
      <c r="G21" s="31"/>
      <c r="H21" s="31"/>
      <c r="I21" s="31"/>
      <c r="J21" s="31">
        <v>1595</v>
      </c>
      <c r="K21" s="31"/>
      <c r="L21" s="6"/>
      <c r="M21" s="6"/>
      <c r="N21" s="6"/>
      <c r="O21" s="6"/>
      <c r="P21" s="6"/>
      <c r="Q21" s="6"/>
    </row>
    <row r="22" spans="2:31" s="3" customFormat="1">
      <c r="B22" s="14" t="s">
        <v>71</v>
      </c>
      <c r="C22" s="31">
        <v>388</v>
      </c>
      <c r="D22" s="31"/>
      <c r="E22" s="31">
        <v>388</v>
      </c>
      <c r="F22" s="31"/>
      <c r="G22" s="31"/>
      <c r="H22" s="31"/>
      <c r="I22" s="31"/>
      <c r="J22" s="31">
        <v>345</v>
      </c>
      <c r="K22" s="31"/>
      <c r="L22" s="6">
        <f>+E22</f>
        <v>388</v>
      </c>
      <c r="M22" s="6"/>
      <c r="N22" s="6"/>
      <c r="O22" s="6"/>
      <c r="P22" s="6"/>
      <c r="Q22" s="6"/>
      <c r="S22" s="3">
        <f>SUM(C22:E22)</f>
        <v>776</v>
      </c>
      <c r="T22" s="3">
        <f>SUM(G22:L22)</f>
        <v>733</v>
      </c>
    </row>
    <row r="23" spans="2:31" s="8" customFormat="1" ht="13">
      <c r="B23" s="35" t="s">
        <v>105</v>
      </c>
      <c r="C23" s="34">
        <f t="shared" ref="C23:L23" si="7">SUM(C14:C22)</f>
        <v>15801</v>
      </c>
      <c r="D23" s="34"/>
      <c r="E23" s="34">
        <f t="shared" ref="E23" si="8">SUM(E14:E22)</f>
        <v>15801</v>
      </c>
      <c r="F23" s="34"/>
      <c r="G23" s="34"/>
      <c r="H23" s="34"/>
      <c r="I23" s="34"/>
      <c r="J23" s="34">
        <f>SUM(J14:J22)</f>
        <v>13152</v>
      </c>
      <c r="K23" s="34"/>
      <c r="L23" s="7" t="e">
        <f t="shared" si="7"/>
        <v>#REF!</v>
      </c>
      <c r="M23" s="7"/>
      <c r="N23" s="7"/>
      <c r="O23" s="7"/>
      <c r="P23" s="7"/>
      <c r="Q23" s="7"/>
      <c r="S23" s="8">
        <f>SUM(S14:S22)</f>
        <v>19594</v>
      </c>
      <c r="T23" s="8" t="e">
        <f>T14+T15+T22</f>
        <v>#REF!</v>
      </c>
      <c r="U23" s="8" t="e">
        <f>U14+U15+U22</f>
        <v>#REF!</v>
      </c>
      <c r="V23" s="8" t="e">
        <f>V14+V15+V22</f>
        <v>#REF!</v>
      </c>
      <c r="W23" s="8" t="e">
        <f>W14+W15+W22</f>
        <v>#REF!</v>
      </c>
      <c r="X23" s="8" t="e">
        <f>X14+X15+X22</f>
        <v>#REF!</v>
      </c>
      <c r="Y23" s="8" t="e">
        <f t="shared" ref="Y23:AE23" si="9">Y14+Y15+Y22</f>
        <v>#REF!</v>
      </c>
      <c r="Z23" s="8" t="e">
        <f t="shared" si="9"/>
        <v>#REF!</v>
      </c>
      <c r="AA23" s="8" t="e">
        <f t="shared" si="9"/>
        <v>#REF!</v>
      </c>
      <c r="AB23" s="8" t="e">
        <f t="shared" si="9"/>
        <v>#REF!</v>
      </c>
      <c r="AC23" s="8" t="e">
        <f t="shared" si="9"/>
        <v>#REF!</v>
      </c>
      <c r="AD23" s="8" t="e">
        <f t="shared" si="9"/>
        <v>#REF!</v>
      </c>
      <c r="AE23" s="8" t="e">
        <f t="shared" si="9"/>
        <v>#REF!</v>
      </c>
    </row>
    <row r="24" spans="2:31" s="3" customFormat="1">
      <c r="B24" s="14" t="s">
        <v>106</v>
      </c>
      <c r="C24" s="31">
        <v>8698</v>
      </c>
      <c r="D24" s="31"/>
      <c r="E24" s="31">
        <v>8698</v>
      </c>
      <c r="F24" s="31"/>
      <c r="G24" s="31"/>
      <c r="H24" s="31"/>
      <c r="I24" s="31"/>
      <c r="J24" s="31">
        <v>7706</v>
      </c>
      <c r="K24" s="31"/>
      <c r="L24" s="6">
        <f>+E24</f>
        <v>8698</v>
      </c>
      <c r="M24" s="6"/>
      <c r="N24" s="6"/>
      <c r="O24" s="6"/>
      <c r="P24" s="6"/>
      <c r="Q24" s="6"/>
      <c r="S24" s="3">
        <f>SUM(C24:E24)</f>
        <v>17396</v>
      </c>
      <c r="T24" s="3">
        <f>SUM(G24:L24)</f>
        <v>16404</v>
      </c>
    </row>
    <row r="25" spans="2:31" s="3" customFormat="1">
      <c r="B25" s="14" t="s">
        <v>107</v>
      </c>
      <c r="C25" s="31">
        <f>C23-C24</f>
        <v>7103</v>
      </c>
      <c r="D25" s="31"/>
      <c r="E25" s="31">
        <f>E23-E24</f>
        <v>7103</v>
      </c>
      <c r="F25" s="31"/>
      <c r="G25" s="31"/>
      <c r="H25" s="31"/>
      <c r="I25" s="31"/>
      <c r="J25" s="31">
        <f>J23-J24</f>
        <v>5446</v>
      </c>
      <c r="K25" s="31"/>
      <c r="L25" s="6">
        <f>+E25</f>
        <v>7103</v>
      </c>
      <c r="M25" s="6"/>
      <c r="N25" s="6"/>
      <c r="O25" s="6"/>
      <c r="P25" s="6"/>
      <c r="Q25" s="6"/>
      <c r="S25" s="3">
        <f>SUM(C25:E25)</f>
        <v>14206</v>
      </c>
      <c r="T25" s="3">
        <f>SUM(G25:L25)</f>
        <v>12549</v>
      </c>
    </row>
    <row r="26" spans="2:31" s="8" customFormat="1" ht="13">
      <c r="B26" s="35" t="s">
        <v>108</v>
      </c>
      <c r="C26" s="34">
        <f>C25+C24</f>
        <v>15801</v>
      </c>
      <c r="D26" s="34"/>
      <c r="E26" s="34">
        <f>E25+E24</f>
        <v>15801</v>
      </c>
      <c r="F26" s="34"/>
      <c r="G26" s="34"/>
      <c r="H26" s="34"/>
      <c r="I26" s="34"/>
      <c r="J26" s="34">
        <f>J25+J24</f>
        <v>13152</v>
      </c>
      <c r="K26" s="34"/>
      <c r="L26" s="7" t="e">
        <f t="shared" ref="L26" si="10">SUM(L23:L25)</f>
        <v>#REF!</v>
      </c>
      <c r="M26" s="7"/>
      <c r="N26" s="7"/>
      <c r="O26" s="7"/>
      <c r="P26" s="7"/>
      <c r="Q26" s="7"/>
      <c r="S26" s="8">
        <f>SUM(S23:S25)</f>
        <v>51196</v>
      </c>
      <c r="T26" s="8" t="e">
        <f>SUM(T23:T25)+T13</f>
        <v>#REF!</v>
      </c>
      <c r="U26" s="8" t="e">
        <f>SUM(U23:U25)+U13</f>
        <v>#REF!</v>
      </c>
      <c r="V26" s="8" t="e">
        <f>SUM(V23:V25)+V13</f>
        <v>#REF!</v>
      </c>
      <c r="W26" s="8" t="e">
        <f t="shared" ref="W26:Z26" si="11">SUM(W23:W25)+W13</f>
        <v>#REF!</v>
      </c>
      <c r="X26" s="8" t="e">
        <f t="shared" si="11"/>
        <v>#REF!</v>
      </c>
      <c r="Y26" s="8" t="e">
        <f t="shared" si="11"/>
        <v>#REF!</v>
      </c>
      <c r="Z26" s="8" t="e">
        <f t="shared" si="11"/>
        <v>#REF!</v>
      </c>
      <c r="AA26" s="8" t="e">
        <f t="shared" ref="AA26" si="12">SUM(AA23:AA25)+AA13</f>
        <v>#REF!</v>
      </c>
      <c r="AB26" s="8" t="e">
        <f t="shared" ref="AB26" si="13">SUM(AB23:AB25)+AB13</f>
        <v>#REF!</v>
      </c>
      <c r="AC26" s="8" t="e">
        <f t="shared" ref="AC26" si="14">SUM(AC23:AC25)+AC13</f>
        <v>#REF!</v>
      </c>
      <c r="AD26" s="8" t="e">
        <f t="shared" ref="AD26" si="15">SUM(AD23:AD25)+AD13</f>
        <v>#REF!</v>
      </c>
      <c r="AE26" s="8" t="e">
        <f t="shared" ref="AE26" si="16">SUM(AE23:AE25)+AE13</f>
        <v>#REF!</v>
      </c>
    </row>
    <row r="27" spans="2:31" s="3" customFormat="1">
      <c r="B27" s="14" t="s">
        <v>109</v>
      </c>
      <c r="C27" s="31">
        <v>9624</v>
      </c>
      <c r="D27" s="31"/>
      <c r="E27" s="31">
        <v>9624</v>
      </c>
      <c r="F27" s="31"/>
      <c r="G27" s="31"/>
      <c r="H27" s="31"/>
      <c r="I27" s="31"/>
      <c r="J27" s="31">
        <v>7848</v>
      </c>
      <c r="K27" s="31"/>
      <c r="L27" s="6" t="e">
        <f>+L14*0.85</f>
        <v>#REF!</v>
      </c>
      <c r="M27" s="6"/>
      <c r="N27" s="6"/>
      <c r="O27" s="6"/>
      <c r="P27" s="6"/>
      <c r="Q27" s="6"/>
      <c r="S27" s="3">
        <f t="shared" ref="S27:S32" si="17">SUM(C27:E27)</f>
        <v>19248</v>
      </c>
      <c r="T27" s="3" t="e">
        <f>SUM(G27:L27)</f>
        <v>#REF!</v>
      </c>
      <c r="U27" s="3" t="e">
        <f>U14*0.8</f>
        <v>#REF!</v>
      </c>
      <c r="V27" s="3" t="e">
        <f>V14*0.79</f>
        <v>#REF!</v>
      </c>
      <c r="W27" s="3" t="e">
        <f>W26*0.78</f>
        <v>#REF!</v>
      </c>
      <c r="X27" s="3" t="e">
        <f>X26*0.77</f>
        <v>#REF!</v>
      </c>
      <c r="Y27" s="3" t="e">
        <f>Y26*0.76</f>
        <v>#REF!</v>
      </c>
      <c r="Z27" s="3" t="e">
        <f>Z26*0.75</f>
        <v>#REF!</v>
      </c>
      <c r="AA27" s="3" t="e">
        <f t="shared" ref="AA27:AE27" si="18">AA26*0.75</f>
        <v>#REF!</v>
      </c>
      <c r="AB27" s="3" t="e">
        <f t="shared" si="18"/>
        <v>#REF!</v>
      </c>
      <c r="AC27" s="3" t="e">
        <f t="shared" si="18"/>
        <v>#REF!</v>
      </c>
      <c r="AD27" s="3" t="e">
        <f t="shared" si="18"/>
        <v>#REF!</v>
      </c>
      <c r="AE27" s="3" t="e">
        <f t="shared" si="18"/>
        <v>#REF!</v>
      </c>
    </row>
    <row r="28" spans="2:31" s="3" customFormat="1">
      <c r="B28" s="14" t="s">
        <v>7</v>
      </c>
      <c r="C28" s="31">
        <f>C23-C27</f>
        <v>6177</v>
      </c>
      <c r="D28" s="31"/>
      <c r="E28" s="31">
        <f>E23-E27</f>
        <v>6177</v>
      </c>
      <c r="F28" s="31"/>
      <c r="G28" s="31"/>
      <c r="H28" s="31"/>
      <c r="I28" s="31"/>
      <c r="J28" s="31">
        <f>J23-J27</f>
        <v>5304</v>
      </c>
      <c r="K28" s="31"/>
      <c r="L28" s="31" t="e">
        <f>L23-L27</f>
        <v>#REF!</v>
      </c>
      <c r="M28" s="31"/>
      <c r="N28" s="6"/>
      <c r="O28" s="6"/>
      <c r="P28" s="6"/>
      <c r="Q28" s="6"/>
      <c r="S28" s="3">
        <f t="shared" si="17"/>
        <v>12354</v>
      </c>
      <c r="T28" s="3" t="e">
        <f>SUM(G28:L28)</f>
        <v>#REF!</v>
      </c>
      <c r="U28" s="3" t="e">
        <f>+#REF!+U13</f>
        <v>#REF!</v>
      </c>
      <c r="V28" s="3" t="e">
        <f>+#REF!+V13</f>
        <v>#REF!</v>
      </c>
      <c r="W28" s="3" t="e">
        <f>+#REF!+W13</f>
        <v>#REF!</v>
      </c>
      <c r="X28" s="3" t="e">
        <f>+#REF!+X13</f>
        <v>#REF!</v>
      </c>
      <c r="Y28" s="3" t="e">
        <f>+#REF!+Y13</f>
        <v>#REF!</v>
      </c>
      <c r="Z28" s="3" t="e">
        <f>+#REF!+Z13</f>
        <v>#REF!</v>
      </c>
      <c r="AA28" s="3" t="e">
        <f>+#REF!+AA13</f>
        <v>#REF!</v>
      </c>
      <c r="AB28" s="3" t="e">
        <f>+#REF!+AB13</f>
        <v>#REF!</v>
      </c>
      <c r="AC28" s="3" t="e">
        <f>+#REF!+AC13</f>
        <v>#REF!</v>
      </c>
      <c r="AD28" s="3" t="e">
        <f>+#REF!+AD13</f>
        <v>#REF!</v>
      </c>
      <c r="AE28" s="3" t="e">
        <f>+#REF!+AE13</f>
        <v>#REF!</v>
      </c>
    </row>
    <row r="29" spans="2:31" s="14" customFormat="1">
      <c r="B29" s="14" t="s">
        <v>8</v>
      </c>
      <c r="C29" s="31">
        <v>528</v>
      </c>
      <c r="D29" s="31"/>
      <c r="E29" s="31">
        <v>528</v>
      </c>
      <c r="F29" s="31"/>
      <c r="G29" s="31"/>
      <c r="H29" s="31"/>
      <c r="I29" s="31"/>
      <c r="J29" s="31">
        <v>567</v>
      </c>
      <c r="K29" s="31"/>
      <c r="L29" s="31">
        <f>+E29*1.1</f>
        <v>580.80000000000007</v>
      </c>
      <c r="M29" s="31"/>
      <c r="N29" s="31"/>
      <c r="O29" s="31"/>
      <c r="P29" s="31"/>
      <c r="Q29" s="31"/>
      <c r="S29" s="14">
        <f t="shared" si="17"/>
        <v>1056</v>
      </c>
      <c r="T29" s="14">
        <f>SUM(G29:L29)</f>
        <v>1147.8000000000002</v>
      </c>
      <c r="U29" s="14">
        <f>T29*1.04</f>
        <v>1193.7120000000002</v>
      </c>
      <c r="V29" s="14">
        <f t="shared" ref="V29:Z29" si="19">U29*1.04</f>
        <v>1241.4604800000002</v>
      </c>
      <c r="W29" s="14">
        <f t="shared" si="19"/>
        <v>1291.1188992000002</v>
      </c>
      <c r="X29" s="14">
        <f t="shared" si="19"/>
        <v>1342.7636551680002</v>
      </c>
      <c r="Y29" s="14">
        <f t="shared" si="19"/>
        <v>1396.4742013747202</v>
      </c>
      <c r="Z29" s="14">
        <f t="shared" si="19"/>
        <v>1452.3331694297092</v>
      </c>
      <c r="AA29" s="14">
        <f t="shared" ref="AA29:AE29" si="20">Z29*1.04</f>
        <v>1510.4264962068976</v>
      </c>
      <c r="AB29" s="14">
        <f t="shared" si="20"/>
        <v>1570.8435560551736</v>
      </c>
      <c r="AC29" s="14">
        <f t="shared" si="20"/>
        <v>1633.6772982973807</v>
      </c>
      <c r="AD29" s="14">
        <f t="shared" si="20"/>
        <v>1699.0243902292759</v>
      </c>
      <c r="AE29" s="14">
        <f t="shared" si="20"/>
        <v>1766.985365838447</v>
      </c>
    </row>
    <row r="30" spans="2:31" s="14" customFormat="1">
      <c r="B30" s="14" t="s">
        <v>9</v>
      </c>
      <c r="C30" s="31">
        <v>1110</v>
      </c>
      <c r="D30" s="31"/>
      <c r="E30" s="31">
        <v>1110</v>
      </c>
      <c r="F30" s="31"/>
      <c r="G30" s="31"/>
      <c r="H30" s="31"/>
      <c r="I30" s="31"/>
      <c r="J30" s="31">
        <v>1278</v>
      </c>
      <c r="K30" s="31"/>
      <c r="L30" s="31">
        <f>+E30*1.1</f>
        <v>1221</v>
      </c>
      <c r="M30" s="31"/>
      <c r="N30" s="31"/>
      <c r="O30" s="31"/>
      <c r="P30" s="31"/>
      <c r="Q30" s="31"/>
      <c r="S30" s="14">
        <f t="shared" si="17"/>
        <v>2220</v>
      </c>
      <c r="T30" s="14">
        <f>SUM(G30:L30)</f>
        <v>2499</v>
      </c>
      <c r="U30" s="14">
        <f>T30*1.04</f>
        <v>2598.96</v>
      </c>
      <c r="V30" s="14">
        <f t="shared" ref="V30:Z30" si="21">U30*1.04</f>
        <v>2702.9184</v>
      </c>
      <c r="W30" s="14">
        <f t="shared" si="21"/>
        <v>2811.035136</v>
      </c>
      <c r="X30" s="14">
        <f t="shared" si="21"/>
        <v>2923.4765414399999</v>
      </c>
      <c r="Y30" s="14">
        <f t="shared" si="21"/>
        <v>3040.4156030976001</v>
      </c>
      <c r="Z30" s="14">
        <f t="shared" si="21"/>
        <v>3162.0322272215044</v>
      </c>
      <c r="AA30" s="14">
        <f t="shared" ref="AA30:AE30" si="22">Z30*1.04</f>
        <v>3288.5135163103646</v>
      </c>
      <c r="AB30" s="14">
        <f t="shared" si="22"/>
        <v>3420.0540569627792</v>
      </c>
      <c r="AC30" s="14">
        <f t="shared" si="22"/>
        <v>3556.8562192412905</v>
      </c>
      <c r="AD30" s="14">
        <f t="shared" si="22"/>
        <v>3699.1304680109424</v>
      </c>
      <c r="AE30" s="14">
        <f t="shared" si="22"/>
        <v>3847.0956867313803</v>
      </c>
    </row>
    <row r="31" spans="2:31" s="14" customFormat="1">
      <c r="B31" s="14" t="s">
        <v>11</v>
      </c>
      <c r="C31" s="31">
        <v>623</v>
      </c>
      <c r="D31" s="31"/>
      <c r="E31" s="31">
        <v>623</v>
      </c>
      <c r="F31" s="31"/>
      <c r="G31" s="31"/>
      <c r="H31" s="31"/>
      <c r="I31" s="31"/>
      <c r="J31" s="31">
        <v>840</v>
      </c>
      <c r="K31" s="31"/>
      <c r="L31" s="31"/>
      <c r="M31" s="31"/>
      <c r="N31" s="31"/>
      <c r="O31" s="31"/>
      <c r="P31" s="31"/>
      <c r="Q31" s="31"/>
      <c r="S31" s="14">
        <f t="shared" si="17"/>
        <v>1246</v>
      </c>
    </row>
    <row r="32" spans="2:31" s="14" customFormat="1">
      <c r="B32" s="14" t="s">
        <v>110</v>
      </c>
      <c r="C32" s="31">
        <v>310</v>
      </c>
      <c r="D32" s="31"/>
      <c r="E32" s="31">
        <v>310</v>
      </c>
      <c r="F32" s="31"/>
      <c r="G32" s="31"/>
      <c r="H32" s="31"/>
      <c r="I32" s="31"/>
      <c r="J32" s="31">
        <v>264</v>
      </c>
      <c r="K32" s="31"/>
      <c r="L32" s="31"/>
      <c r="M32" s="31"/>
      <c r="N32" s="31"/>
      <c r="O32" s="31"/>
      <c r="P32" s="31"/>
      <c r="Q32" s="31"/>
      <c r="S32" s="14">
        <f t="shared" si="17"/>
        <v>620</v>
      </c>
    </row>
    <row r="33" spans="2:31" s="14" customFormat="1">
      <c r="B33" s="14" t="s">
        <v>10</v>
      </c>
      <c r="C33" s="31">
        <f>C29+C30+C31+C32</f>
        <v>2571</v>
      </c>
      <c r="D33" s="31"/>
      <c r="E33" s="31">
        <f>E29+E30+E31+E32</f>
        <v>2571</v>
      </c>
      <c r="F33" s="31"/>
      <c r="G33" s="31"/>
      <c r="H33" s="31"/>
      <c r="I33" s="31"/>
      <c r="J33" s="31">
        <f t="shared" ref="J33:L33" si="23">J29+J30+J31+J32</f>
        <v>2949</v>
      </c>
      <c r="K33" s="31"/>
      <c r="L33" s="31">
        <f t="shared" si="23"/>
        <v>1801.8000000000002</v>
      </c>
      <c r="M33" s="31"/>
      <c r="N33" s="31"/>
      <c r="O33" s="31"/>
      <c r="P33" s="31"/>
      <c r="Q33" s="31"/>
      <c r="S33" s="14">
        <f>+S29+S30</f>
        <v>3276</v>
      </c>
      <c r="T33" s="14">
        <f t="shared" ref="T33:X33" si="24">+T29+T30</f>
        <v>3646.8</v>
      </c>
      <c r="U33" s="14">
        <f>+U29+U30</f>
        <v>3792.6720000000005</v>
      </c>
      <c r="V33" s="14">
        <f t="shared" si="24"/>
        <v>3944.3788800000002</v>
      </c>
      <c r="W33" s="14">
        <f t="shared" si="24"/>
        <v>4102.1540352000002</v>
      </c>
      <c r="X33" s="14">
        <f t="shared" si="24"/>
        <v>4266.2401966079997</v>
      </c>
      <c r="Y33" s="14">
        <f t="shared" ref="Y33" si="25">+Y29+Y30</f>
        <v>4436.8898044723201</v>
      </c>
      <c r="Z33" s="14">
        <f t="shared" ref="Z33:AE33" si="26">+Z29+Z30</f>
        <v>4614.3653966512138</v>
      </c>
      <c r="AA33" s="14">
        <f t="shared" si="26"/>
        <v>4798.9400125172624</v>
      </c>
      <c r="AB33" s="14">
        <f t="shared" si="26"/>
        <v>4990.8976130179526</v>
      </c>
      <c r="AC33" s="14">
        <f t="shared" si="26"/>
        <v>5190.5335175386717</v>
      </c>
      <c r="AD33" s="14">
        <f t="shared" si="26"/>
        <v>5398.1548582402183</v>
      </c>
      <c r="AE33" s="14">
        <f t="shared" si="26"/>
        <v>5614.0810525698271</v>
      </c>
    </row>
    <row r="34" spans="2:31" s="14" customFormat="1">
      <c r="B34" s="14" t="s">
        <v>111</v>
      </c>
      <c r="C34" s="31">
        <f>C33+C27</f>
        <v>12195</v>
      </c>
      <c r="D34" s="31"/>
      <c r="E34" s="31">
        <f>E33+E27</f>
        <v>12195</v>
      </c>
      <c r="F34" s="31"/>
      <c r="G34" s="31"/>
      <c r="H34" s="31"/>
      <c r="I34" s="31"/>
      <c r="J34" s="31">
        <f>J33+J27</f>
        <v>10797</v>
      </c>
      <c r="K34" s="31"/>
      <c r="L34" s="31" t="e">
        <f>L33+L27</f>
        <v>#REF!</v>
      </c>
      <c r="M34" s="31"/>
      <c r="N34" s="31"/>
      <c r="O34" s="31"/>
      <c r="P34" s="31"/>
      <c r="Q34" s="31"/>
    </row>
    <row r="35" spans="2:31" s="14" customFormat="1">
      <c r="B35" s="14" t="s">
        <v>112</v>
      </c>
      <c r="C35" s="31">
        <f t="shared" ref="C35:E35" si="27">C28-C33</f>
        <v>3606</v>
      </c>
      <c r="D35" s="31"/>
      <c r="E35" s="31">
        <f t="shared" si="27"/>
        <v>3606</v>
      </c>
      <c r="F35" s="31"/>
      <c r="G35" s="31"/>
      <c r="H35" s="31"/>
      <c r="I35" s="31"/>
      <c r="J35" s="31">
        <f t="shared" ref="J35:L35" si="28">J28-J33</f>
        <v>2355</v>
      </c>
      <c r="K35" s="31"/>
      <c r="L35" s="31" t="e">
        <f t="shared" si="28"/>
        <v>#REF!</v>
      </c>
      <c r="M35" s="31"/>
      <c r="N35" s="31"/>
      <c r="O35" s="31"/>
      <c r="P35" s="31"/>
      <c r="Q35" s="31"/>
      <c r="S35" s="31">
        <f t="shared" ref="S35" si="29">S28-S33</f>
        <v>9078</v>
      </c>
      <c r="T35" s="31" t="e">
        <f t="shared" ref="T35:Z35" si="30">T28-T33</f>
        <v>#REF!</v>
      </c>
      <c r="U35" s="31" t="e">
        <f>U28-U33</f>
        <v>#REF!</v>
      </c>
      <c r="V35" s="31" t="e">
        <f t="shared" si="30"/>
        <v>#REF!</v>
      </c>
      <c r="W35" s="31" t="e">
        <f t="shared" si="30"/>
        <v>#REF!</v>
      </c>
      <c r="X35" s="31" t="e">
        <f t="shared" si="30"/>
        <v>#REF!</v>
      </c>
      <c r="Y35" s="31" t="e">
        <f t="shared" si="30"/>
        <v>#REF!</v>
      </c>
      <c r="Z35" s="31" t="e">
        <f t="shared" si="30"/>
        <v>#REF!</v>
      </c>
      <c r="AA35" s="31" t="e">
        <f t="shared" ref="AA35:AE35" si="31">AA28-AA33</f>
        <v>#REF!</v>
      </c>
      <c r="AB35" s="31" t="e">
        <f t="shared" si="31"/>
        <v>#REF!</v>
      </c>
      <c r="AC35" s="31" t="e">
        <f t="shared" si="31"/>
        <v>#REF!</v>
      </c>
      <c r="AD35" s="31" t="e">
        <f t="shared" si="31"/>
        <v>#REF!</v>
      </c>
      <c r="AE35" s="31" t="e">
        <f t="shared" si="31"/>
        <v>#REF!</v>
      </c>
    </row>
    <row r="36" spans="2:31" s="14" customFormat="1">
      <c r="B36" s="14" t="s">
        <v>12</v>
      </c>
      <c r="C36" s="31">
        <v>636</v>
      </c>
      <c r="D36" s="31"/>
      <c r="E36" s="31">
        <v>636</v>
      </c>
      <c r="F36" s="31"/>
      <c r="G36" s="31"/>
      <c r="H36" s="31"/>
      <c r="I36" s="31"/>
      <c r="J36" s="31">
        <v>625</v>
      </c>
      <c r="K36" s="31"/>
      <c r="L36" s="31" t="e">
        <f>+#REF!*0.2</f>
        <v>#REF!</v>
      </c>
      <c r="M36" s="31"/>
      <c r="N36" s="31"/>
      <c r="O36" s="31"/>
      <c r="P36" s="31"/>
      <c r="Q36" s="31"/>
      <c r="S36" s="14">
        <f>SUM(C36:E36)</f>
        <v>1272</v>
      </c>
      <c r="T36" s="14" t="e">
        <f>SUM(G36:L36)</f>
        <v>#REF!</v>
      </c>
      <c r="U36" s="14" t="e">
        <f>+#REF!*0.15</f>
        <v>#REF!</v>
      </c>
      <c r="V36" s="14" t="e">
        <f>+#REF!*0.15</f>
        <v>#REF!</v>
      </c>
      <c r="W36" s="14" t="e">
        <f>+#REF!*0.15</f>
        <v>#REF!</v>
      </c>
      <c r="X36" s="14" t="e">
        <f>+#REF!*0.15</f>
        <v>#REF!</v>
      </c>
      <c r="Y36" s="14" t="e">
        <f>+#REF!*0.15</f>
        <v>#REF!</v>
      </c>
      <c r="Z36" s="14" t="e">
        <f>+#REF!*0.15</f>
        <v>#REF!</v>
      </c>
      <c r="AA36" s="14" t="e">
        <f>+#REF!*0.15</f>
        <v>#REF!</v>
      </c>
      <c r="AB36" s="14" t="e">
        <f>+#REF!*0.15</f>
        <v>#REF!</v>
      </c>
      <c r="AC36" s="14" t="e">
        <f>+#REF!*0.15</f>
        <v>#REF!</v>
      </c>
      <c r="AD36" s="14" t="e">
        <f>+#REF!*0.15</f>
        <v>#REF!</v>
      </c>
      <c r="AE36" s="14" t="e">
        <f>+#REF!*0.15</f>
        <v>#REF!</v>
      </c>
    </row>
    <row r="37" spans="2:31" s="15" customFormat="1">
      <c r="B37" s="15" t="s">
        <v>113</v>
      </c>
      <c r="C37" s="13">
        <f>2--6</f>
        <v>8</v>
      </c>
      <c r="D37" s="13"/>
      <c r="E37" s="13">
        <f>2--6</f>
        <v>8</v>
      </c>
      <c r="F37" s="13"/>
      <c r="G37" s="13"/>
      <c r="H37" s="13"/>
      <c r="I37" s="13"/>
      <c r="J37" s="13">
        <f>1--3</f>
        <v>4</v>
      </c>
      <c r="K37" s="13"/>
      <c r="L37" s="13"/>
      <c r="M37" s="13"/>
      <c r="N37" s="13"/>
      <c r="O37" s="13"/>
      <c r="P37" s="13"/>
      <c r="Q37" s="13"/>
    </row>
    <row r="38" spans="2:31" s="15" customFormat="1">
      <c r="B38" s="15" t="s">
        <v>114</v>
      </c>
      <c r="C38" s="31">
        <f>C35-C36+C37</f>
        <v>2978</v>
      </c>
      <c r="D38" s="31"/>
      <c r="E38" s="31">
        <f>E35-E36+E37</f>
        <v>2978</v>
      </c>
      <c r="F38" s="31"/>
      <c r="G38" s="13"/>
      <c r="H38" s="13"/>
      <c r="I38" s="13"/>
      <c r="J38" s="31">
        <f>J35-J36+J37</f>
        <v>1734</v>
      </c>
      <c r="K38" s="31"/>
      <c r="L38" s="31" t="e">
        <f>L35-L36+L37</f>
        <v>#REF!</v>
      </c>
      <c r="M38" s="31"/>
      <c r="N38" s="13"/>
      <c r="O38" s="13"/>
      <c r="P38" s="13"/>
      <c r="Q38" s="13"/>
    </row>
    <row r="39" spans="2:31" s="15" customFormat="1">
      <c r="B39" s="15" t="s">
        <v>13</v>
      </c>
      <c r="C39" s="36">
        <f>C38/C41</f>
        <v>10.240715268225584</v>
      </c>
      <c r="D39" s="36"/>
      <c r="E39" s="36">
        <f>E38/E41</f>
        <v>10.240715268225584</v>
      </c>
      <c r="F39" s="36"/>
      <c r="G39" s="36"/>
      <c r="H39" s="36"/>
      <c r="I39" s="36"/>
      <c r="J39" s="36">
        <f>J38/J41</f>
        <v>6.3169398907103824</v>
      </c>
      <c r="K39" s="36"/>
      <c r="L39" s="36" t="e">
        <f>L38/L41</f>
        <v>#REF!</v>
      </c>
      <c r="M39" s="36"/>
      <c r="N39" s="36"/>
      <c r="O39" s="36"/>
      <c r="P39" s="36"/>
      <c r="Q39" s="36"/>
      <c r="S39" s="37" t="e">
        <f>+#REF!/S42</f>
        <v>#REF!</v>
      </c>
      <c r="T39" s="37" t="e">
        <f>+#REF!/T42</f>
        <v>#REF!</v>
      </c>
      <c r="U39" s="37" t="e">
        <f>+#REF!/U42</f>
        <v>#REF!</v>
      </c>
      <c r="V39" s="37" t="e">
        <f>+#REF!/V42</f>
        <v>#REF!</v>
      </c>
      <c r="W39" s="37" t="e">
        <f>+#REF!/W42</f>
        <v>#REF!</v>
      </c>
      <c r="X39" s="37" t="e">
        <f>+#REF!/X42</f>
        <v>#REF!</v>
      </c>
      <c r="Y39" s="37" t="e">
        <f>+#REF!/Y42</f>
        <v>#REF!</v>
      </c>
      <c r="Z39" s="37" t="e">
        <f>+#REF!/Z42</f>
        <v>#REF!</v>
      </c>
      <c r="AA39" s="37" t="e">
        <f>+#REF!/AA42</f>
        <v>#REF!</v>
      </c>
      <c r="AB39" s="37" t="e">
        <f>+#REF!/AB42</f>
        <v>#REF!</v>
      </c>
      <c r="AC39" s="37" t="e">
        <f>+#REF!/AC42</f>
        <v>#REF!</v>
      </c>
      <c r="AD39" s="37" t="e">
        <f>+#REF!/AD42</f>
        <v>#REF!</v>
      </c>
      <c r="AE39" s="37" t="e">
        <f>+#REF!/AE42</f>
        <v>#REF!</v>
      </c>
    </row>
    <row r="40" spans="2:31" s="15" customFormat="1">
      <c r="B40" s="15" t="s">
        <v>116</v>
      </c>
      <c r="C40" s="36">
        <f>C38/C42</f>
        <v>10.195138651146866</v>
      </c>
      <c r="D40" s="36"/>
      <c r="E40" s="36">
        <f>E38/E42</f>
        <v>10.195138651146866</v>
      </c>
      <c r="F40" s="36"/>
      <c r="G40" s="36"/>
      <c r="H40" s="36"/>
      <c r="I40" s="36"/>
      <c r="J40" s="36">
        <f>J38/J42</f>
        <v>6.2917271407837436</v>
      </c>
      <c r="K40" s="36"/>
      <c r="L40" s="36" t="e">
        <f>L38/L42</f>
        <v>#REF!</v>
      </c>
      <c r="M40" s="36"/>
      <c r="N40" s="36"/>
      <c r="O40" s="36"/>
      <c r="P40" s="36"/>
      <c r="Q40" s="36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  <c r="AE40" s="37"/>
    </row>
    <row r="41" spans="2:31" s="15" customFormat="1">
      <c r="B41" s="14" t="s">
        <v>1</v>
      </c>
      <c r="C41" s="31">
        <v>290.8</v>
      </c>
      <c r="D41" s="31"/>
      <c r="E41" s="31">
        <v>290.8</v>
      </c>
      <c r="F41" s="31"/>
      <c r="G41" s="36"/>
      <c r="H41" s="36"/>
      <c r="I41" s="36"/>
      <c r="J41" s="36">
        <v>274.5</v>
      </c>
      <c r="K41" s="36"/>
      <c r="L41" s="36"/>
      <c r="M41" s="36"/>
      <c r="N41" s="36"/>
      <c r="O41" s="36"/>
      <c r="P41" s="36"/>
      <c r="Q41" s="36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  <c r="AE41" s="37"/>
    </row>
    <row r="42" spans="2:31" s="14" customFormat="1">
      <c r="B42" s="14" t="s">
        <v>115</v>
      </c>
      <c r="C42" s="31">
        <v>292.10000000000002</v>
      </c>
      <c r="D42" s="31"/>
      <c r="E42" s="31">
        <v>292.10000000000002</v>
      </c>
      <c r="F42" s="31"/>
      <c r="G42" s="31"/>
      <c r="H42" s="31"/>
      <c r="I42" s="31"/>
      <c r="J42" s="31">
        <v>275.60000000000002</v>
      </c>
      <c r="K42" s="31"/>
      <c r="L42" s="31"/>
      <c r="M42" s="31"/>
      <c r="N42" s="31"/>
      <c r="O42" s="31"/>
      <c r="P42" s="31"/>
      <c r="Q42" s="31"/>
      <c r="S42" s="14">
        <f>AVERAGE(C42:E42)</f>
        <v>292.10000000000002</v>
      </c>
      <c r="T42" s="14">
        <f>AVERAGE(G42:L42)</f>
        <v>275.60000000000002</v>
      </c>
      <c r="U42" s="14">
        <f t="shared" ref="U42:X42" si="32">T42</f>
        <v>275.60000000000002</v>
      </c>
      <c r="V42" s="14">
        <f t="shared" si="32"/>
        <v>275.60000000000002</v>
      </c>
      <c r="W42" s="14">
        <f t="shared" si="32"/>
        <v>275.60000000000002</v>
      </c>
      <c r="X42" s="14">
        <f t="shared" si="32"/>
        <v>275.60000000000002</v>
      </c>
      <c r="Y42" s="14">
        <f t="shared" ref="Y42:Z42" si="33">X42</f>
        <v>275.60000000000002</v>
      </c>
      <c r="Z42" s="14">
        <f t="shared" si="33"/>
        <v>275.60000000000002</v>
      </c>
      <c r="AA42" s="14">
        <f t="shared" ref="AA42" si="34">Z42</f>
        <v>275.60000000000002</v>
      </c>
      <c r="AB42" s="14">
        <f t="shared" ref="AB42" si="35">AA42</f>
        <v>275.60000000000002</v>
      </c>
      <c r="AC42" s="14">
        <f t="shared" ref="AC42" si="36">AB42</f>
        <v>275.60000000000002</v>
      </c>
      <c r="AD42" s="14">
        <f t="shared" ref="AD42" si="37">AC42</f>
        <v>275.60000000000002</v>
      </c>
      <c r="AE42" s="14">
        <f t="shared" ref="AE42" si="38">AD42</f>
        <v>275.60000000000002</v>
      </c>
    </row>
    <row r="44" spans="2:31" s="32" customFormat="1" ht="13">
      <c r="B44" s="32" t="s">
        <v>33</v>
      </c>
      <c r="C44" s="39" t="s">
        <v>133</v>
      </c>
      <c r="D44" s="39"/>
      <c r="E44" s="39" t="s">
        <v>133</v>
      </c>
      <c r="F44" s="39"/>
      <c r="G44" s="39"/>
      <c r="H44" s="39"/>
      <c r="I44" s="39"/>
      <c r="J44" s="39">
        <f>J26/C26-1</f>
        <v>-0.16764761723941524</v>
      </c>
      <c r="K44" s="39"/>
      <c r="L44" s="39" t="e">
        <f>L26/E26-1</f>
        <v>#REF!</v>
      </c>
      <c r="M44" s="39"/>
      <c r="N44" s="39"/>
      <c r="O44" s="39"/>
      <c r="P44" s="39"/>
      <c r="Q44" s="39"/>
      <c r="S44" s="40" t="e">
        <f>+S26/#REF!-1</f>
        <v>#REF!</v>
      </c>
      <c r="T44" s="40" t="e">
        <f t="shared" ref="T44:AE44" si="39">+T26/S26-1</f>
        <v>#REF!</v>
      </c>
      <c r="U44" s="40" t="e">
        <f t="shared" si="39"/>
        <v>#REF!</v>
      </c>
      <c r="V44" s="40" t="e">
        <f t="shared" si="39"/>
        <v>#REF!</v>
      </c>
      <c r="W44" s="40" t="e">
        <f t="shared" si="39"/>
        <v>#REF!</v>
      </c>
      <c r="X44" s="40" t="e">
        <f t="shared" si="39"/>
        <v>#REF!</v>
      </c>
      <c r="Y44" s="40" t="e">
        <f t="shared" si="39"/>
        <v>#REF!</v>
      </c>
      <c r="Z44" s="40" t="e">
        <f t="shared" si="39"/>
        <v>#REF!</v>
      </c>
      <c r="AA44" s="40" t="e">
        <f t="shared" si="39"/>
        <v>#REF!</v>
      </c>
      <c r="AB44" s="40" t="e">
        <f t="shared" si="39"/>
        <v>#REF!</v>
      </c>
      <c r="AC44" s="40" t="e">
        <f t="shared" si="39"/>
        <v>#REF!</v>
      </c>
      <c r="AD44" s="40" t="e">
        <f t="shared" si="39"/>
        <v>#REF!</v>
      </c>
      <c r="AE44" s="40" t="e">
        <f t="shared" si="39"/>
        <v>#REF!</v>
      </c>
    </row>
    <row r="45" spans="2:31" s="15" customFormat="1">
      <c r="B45" s="14" t="s">
        <v>103</v>
      </c>
      <c r="C45" s="38" t="s">
        <v>133</v>
      </c>
      <c r="D45" s="38"/>
      <c r="E45" s="38" t="s">
        <v>133</v>
      </c>
      <c r="F45" s="38"/>
      <c r="G45" s="38"/>
      <c r="H45" s="38"/>
      <c r="I45" s="38"/>
      <c r="J45" s="38">
        <f t="shared" ref="J45:J53" si="40">J14/C14-1</f>
        <v>-0.25040916530278234</v>
      </c>
      <c r="K45" s="38"/>
      <c r="L45" s="38" t="e">
        <f>L14/E14-1</f>
        <v>#REF!</v>
      </c>
      <c r="M45" s="38"/>
      <c r="N45" s="38"/>
      <c r="O45" s="38"/>
      <c r="P45" s="38"/>
      <c r="Q45" s="38"/>
    </row>
    <row r="46" spans="2:31" s="15" customFormat="1">
      <c r="B46" s="14" t="s">
        <v>64</v>
      </c>
      <c r="C46" s="38" t="s">
        <v>133</v>
      </c>
      <c r="D46" s="38"/>
      <c r="E46" s="38" t="s">
        <v>133</v>
      </c>
      <c r="F46" s="38"/>
      <c r="G46" s="38"/>
      <c r="H46" s="38"/>
      <c r="I46" s="38"/>
      <c r="J46" s="38">
        <f t="shared" si="40"/>
        <v>-0.19345238095238093</v>
      </c>
      <c r="K46" s="38"/>
      <c r="L46" s="38"/>
      <c r="M46" s="38"/>
      <c r="N46" s="38"/>
      <c r="O46" s="38"/>
      <c r="P46" s="38"/>
      <c r="Q46" s="38"/>
    </row>
    <row r="47" spans="2:31" s="15" customFormat="1">
      <c r="B47" s="14" t="s">
        <v>65</v>
      </c>
      <c r="C47" s="38" t="s">
        <v>133</v>
      </c>
      <c r="D47" s="38"/>
      <c r="E47" s="38" t="s">
        <v>133</v>
      </c>
      <c r="F47" s="38"/>
      <c r="G47" s="38"/>
      <c r="H47" s="38"/>
      <c r="I47" s="38"/>
      <c r="J47" s="38">
        <f t="shared" si="40"/>
        <v>-0.14419087136929465</v>
      </c>
      <c r="K47" s="38"/>
      <c r="L47" s="38"/>
      <c r="M47" s="38"/>
      <c r="N47" s="38"/>
      <c r="O47" s="38"/>
      <c r="P47" s="38"/>
      <c r="Q47" s="38"/>
    </row>
    <row r="48" spans="2:31" s="15" customFormat="1">
      <c r="B48" s="14" t="s">
        <v>66</v>
      </c>
      <c r="C48" s="38" t="s">
        <v>133</v>
      </c>
      <c r="D48" s="38"/>
      <c r="E48" s="38" t="s">
        <v>133</v>
      </c>
      <c r="F48" s="38"/>
      <c r="G48" s="38"/>
      <c r="H48" s="38"/>
      <c r="I48" s="38"/>
      <c r="J48" s="38">
        <f t="shared" si="40"/>
        <v>-0.25042979942693411</v>
      </c>
      <c r="K48" s="38"/>
      <c r="L48" s="38"/>
      <c r="M48" s="38"/>
      <c r="N48" s="38"/>
      <c r="O48" s="38"/>
      <c r="P48" s="38"/>
      <c r="Q48" s="38"/>
    </row>
    <row r="49" spans="2:35" s="15" customFormat="1">
      <c r="B49" s="14" t="s">
        <v>104</v>
      </c>
      <c r="C49" s="38" t="s">
        <v>133</v>
      </c>
      <c r="D49" s="38"/>
      <c r="E49" s="38" t="s">
        <v>133</v>
      </c>
      <c r="F49" s="38"/>
      <c r="G49" s="38"/>
      <c r="H49" s="38"/>
      <c r="I49" s="38"/>
      <c r="J49" s="38">
        <f t="shared" si="40"/>
        <v>4.723127035830621E-2</v>
      </c>
      <c r="K49" s="38"/>
      <c r="L49" s="38"/>
      <c r="M49" s="38"/>
      <c r="N49" s="38"/>
      <c r="O49" s="38"/>
      <c r="P49" s="38"/>
      <c r="Q49" s="38"/>
    </row>
    <row r="50" spans="2:35" s="15" customFormat="1">
      <c r="B50" s="14" t="s">
        <v>68</v>
      </c>
      <c r="C50" s="38" t="s">
        <v>133</v>
      </c>
      <c r="D50" s="38"/>
      <c r="E50" s="38" t="s">
        <v>133</v>
      </c>
      <c r="F50" s="38"/>
      <c r="G50" s="38"/>
      <c r="H50" s="38"/>
      <c r="I50" s="38"/>
      <c r="J50" s="38">
        <f t="shared" si="40"/>
        <v>-2.634245187436679E-2</v>
      </c>
      <c r="K50" s="38"/>
      <c r="L50" s="38"/>
      <c r="M50" s="38"/>
      <c r="N50" s="38"/>
      <c r="O50" s="38"/>
      <c r="P50" s="38"/>
      <c r="Q50" s="38"/>
    </row>
    <row r="51" spans="2:35" s="15" customFormat="1">
      <c r="B51" s="14" t="s">
        <v>69</v>
      </c>
      <c r="C51" s="38" t="s">
        <v>133</v>
      </c>
      <c r="D51" s="38"/>
      <c r="E51" s="38" t="s">
        <v>133</v>
      </c>
      <c r="F51" s="38"/>
      <c r="G51" s="38"/>
      <c r="H51" s="38"/>
      <c r="I51" s="38"/>
      <c r="J51" s="38">
        <f t="shared" si="40"/>
        <v>-0.19461077844311381</v>
      </c>
      <c r="K51" s="38"/>
      <c r="L51" s="38"/>
      <c r="M51" s="38"/>
      <c r="N51" s="38"/>
      <c r="O51" s="38"/>
      <c r="P51" s="38"/>
      <c r="Q51" s="38"/>
    </row>
    <row r="52" spans="2:35" s="15" customFormat="1">
      <c r="B52" s="14" t="s">
        <v>70</v>
      </c>
      <c r="C52" s="38" t="s">
        <v>133</v>
      </c>
      <c r="D52" s="38"/>
      <c r="E52" s="38" t="s">
        <v>133</v>
      </c>
      <c r="F52" s="38"/>
      <c r="G52" s="38"/>
      <c r="H52" s="38"/>
      <c r="I52" s="38"/>
      <c r="J52" s="38">
        <f t="shared" si="40"/>
        <v>0.17279411764705888</v>
      </c>
      <c r="K52" s="38"/>
      <c r="L52" s="38"/>
      <c r="M52" s="38"/>
      <c r="N52" s="38"/>
      <c r="O52" s="38"/>
      <c r="P52" s="38"/>
      <c r="Q52" s="38"/>
    </row>
    <row r="53" spans="2:35" s="15" customFormat="1">
      <c r="B53" s="14" t="s">
        <v>71</v>
      </c>
      <c r="C53" s="38" t="s">
        <v>133</v>
      </c>
      <c r="D53" s="38"/>
      <c r="E53" s="38" t="s">
        <v>133</v>
      </c>
      <c r="F53" s="38"/>
      <c r="G53" s="38"/>
      <c r="H53" s="38"/>
      <c r="I53" s="38"/>
      <c r="J53" s="38">
        <f t="shared" si="40"/>
        <v>-0.11082474226804129</v>
      </c>
      <c r="K53" s="38"/>
      <c r="L53" s="38"/>
      <c r="M53" s="38"/>
      <c r="N53" s="38"/>
      <c r="O53" s="38"/>
      <c r="P53" s="38"/>
      <c r="Q53" s="38"/>
    </row>
    <row r="54" spans="2:35" s="15" customFormat="1">
      <c r="B54" s="15" t="s">
        <v>7</v>
      </c>
      <c r="C54" s="38" t="s">
        <v>133</v>
      </c>
      <c r="D54" s="38"/>
      <c r="E54" s="38" t="s">
        <v>133</v>
      </c>
      <c r="F54" s="38"/>
      <c r="G54" s="38"/>
      <c r="H54" s="38"/>
      <c r="I54" s="38"/>
      <c r="J54" s="38">
        <f>+J28/J26</f>
        <v>0.40328467153284669</v>
      </c>
      <c r="K54" s="38"/>
      <c r="L54" s="38" t="e">
        <f>+L28/L26</f>
        <v>#REF!</v>
      </c>
      <c r="M54" s="38"/>
      <c r="N54" s="38"/>
      <c r="O54" s="38"/>
      <c r="P54" s="38"/>
      <c r="Q54" s="38"/>
      <c r="S54" s="38">
        <f t="shared" ref="S54:AE54" si="41">+S28/S26</f>
        <v>0.24130791468083443</v>
      </c>
      <c r="T54" s="38" t="e">
        <f t="shared" si="41"/>
        <v>#REF!</v>
      </c>
      <c r="U54" s="38" t="e">
        <f t="shared" si="41"/>
        <v>#REF!</v>
      </c>
      <c r="V54" s="38" t="e">
        <f t="shared" si="41"/>
        <v>#REF!</v>
      </c>
      <c r="W54" s="38" t="e">
        <f t="shared" si="41"/>
        <v>#REF!</v>
      </c>
      <c r="X54" s="38" t="e">
        <f t="shared" si="41"/>
        <v>#REF!</v>
      </c>
      <c r="Y54" s="38" t="e">
        <f t="shared" si="41"/>
        <v>#REF!</v>
      </c>
      <c r="Z54" s="38" t="e">
        <f t="shared" si="41"/>
        <v>#REF!</v>
      </c>
      <c r="AA54" s="38" t="e">
        <f t="shared" si="41"/>
        <v>#REF!</v>
      </c>
      <c r="AB54" s="38" t="e">
        <f t="shared" si="41"/>
        <v>#REF!</v>
      </c>
      <c r="AC54" s="38" t="e">
        <f t="shared" si="41"/>
        <v>#REF!</v>
      </c>
      <c r="AD54" s="38" t="e">
        <f t="shared" si="41"/>
        <v>#REF!</v>
      </c>
      <c r="AE54" s="38" t="e">
        <f t="shared" si="41"/>
        <v>#REF!</v>
      </c>
    </row>
    <row r="55" spans="2:35"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</row>
    <row r="56" spans="2:35">
      <c r="AF56" s="2" t="s">
        <v>46</v>
      </c>
      <c r="AG56" s="9">
        <v>-0.01</v>
      </c>
      <c r="AI56" s="2" t="s">
        <v>118</v>
      </c>
    </row>
    <row r="57" spans="2:35" s="14" customFormat="1">
      <c r="B57" s="14" t="s">
        <v>14</v>
      </c>
      <c r="C57" s="31">
        <f t="shared" ref="C57:Q57" si="42">C38</f>
        <v>2978</v>
      </c>
      <c r="D57" s="31"/>
      <c r="E57" s="31">
        <f t="shared" ref="E57" si="43">E38</f>
        <v>2978</v>
      </c>
      <c r="F57" s="31"/>
      <c r="G57" s="31">
        <f t="shared" si="42"/>
        <v>0</v>
      </c>
      <c r="H57" s="31">
        <f t="shared" si="42"/>
        <v>0</v>
      </c>
      <c r="I57" s="31"/>
      <c r="J57" s="31">
        <f t="shared" si="42"/>
        <v>1734</v>
      </c>
      <c r="K57" s="31"/>
      <c r="L57" s="31" t="e">
        <f t="shared" si="42"/>
        <v>#REF!</v>
      </c>
      <c r="M57" s="31"/>
      <c r="N57" s="31">
        <f t="shared" si="42"/>
        <v>0</v>
      </c>
      <c r="O57" s="31">
        <f t="shared" si="42"/>
        <v>0</v>
      </c>
      <c r="P57" s="31">
        <f t="shared" si="42"/>
        <v>0</v>
      </c>
      <c r="Q57" s="31">
        <f t="shared" si="42"/>
        <v>0</v>
      </c>
      <c r="AF57" s="15" t="s">
        <v>47</v>
      </c>
      <c r="AG57" s="41">
        <v>0.08</v>
      </c>
      <c r="AI57" s="14" t="s">
        <v>119</v>
      </c>
    </row>
    <row r="58" spans="2:35" s="3" customFormat="1">
      <c r="B58" s="14" t="s">
        <v>15</v>
      </c>
      <c r="C58" s="6">
        <v>1878</v>
      </c>
      <c r="D58" s="6"/>
      <c r="E58" s="6">
        <v>1878</v>
      </c>
      <c r="F58" s="6"/>
      <c r="G58" s="6"/>
      <c r="H58" s="6"/>
      <c r="I58" s="6"/>
      <c r="J58" s="31"/>
      <c r="K58" s="31">
        <v>5846</v>
      </c>
      <c r="L58" s="6"/>
      <c r="M58" s="6"/>
      <c r="N58" s="6"/>
      <c r="O58" s="6"/>
      <c r="P58" s="6"/>
      <c r="Q58" s="6"/>
      <c r="AF58" s="2" t="s">
        <v>48</v>
      </c>
      <c r="AG58" s="3" t="e">
        <f>NPV(AG57,#REF!)+main!K5-main!K6</f>
        <v>#REF!</v>
      </c>
    </row>
    <row r="59" spans="2:35" s="3" customFormat="1">
      <c r="B59" s="14" t="s">
        <v>150</v>
      </c>
      <c r="C59" s="6"/>
      <c r="D59" s="6"/>
      <c r="E59" s="6"/>
      <c r="F59" s="6"/>
      <c r="G59" s="6"/>
      <c r="H59" s="6"/>
      <c r="I59" s="6"/>
      <c r="J59" s="31"/>
      <c r="K59" s="31">
        <v>222</v>
      </c>
      <c r="L59" s="6"/>
      <c r="M59" s="6"/>
      <c r="N59" s="6"/>
      <c r="O59" s="6"/>
      <c r="P59" s="6"/>
      <c r="Q59" s="6"/>
      <c r="AF59" s="2"/>
    </row>
    <row r="60" spans="2:35" s="3" customFormat="1">
      <c r="B60" s="14" t="s">
        <v>16</v>
      </c>
      <c r="C60" s="6"/>
      <c r="D60" s="6"/>
      <c r="E60" s="6"/>
      <c r="F60" s="6"/>
      <c r="G60" s="6"/>
      <c r="H60" s="6"/>
      <c r="I60" s="6"/>
      <c r="J60" s="31"/>
      <c r="K60" s="31">
        <v>1598</v>
      </c>
      <c r="L60" s="6"/>
      <c r="M60" s="6"/>
      <c r="N60" s="6"/>
      <c r="O60" s="6"/>
      <c r="P60" s="6"/>
      <c r="Q60" s="6"/>
      <c r="AF60" s="2"/>
    </row>
    <row r="61" spans="2:35" s="3" customFormat="1">
      <c r="B61" s="14" t="s">
        <v>151</v>
      </c>
      <c r="C61" s="6"/>
      <c r="D61" s="6"/>
      <c r="E61" s="6"/>
      <c r="F61" s="6"/>
      <c r="G61" s="6"/>
      <c r="H61" s="6"/>
      <c r="I61" s="6"/>
      <c r="J61" s="31"/>
      <c r="K61" s="31">
        <v>53</v>
      </c>
      <c r="L61" s="6"/>
      <c r="M61" s="6"/>
      <c r="N61" s="6"/>
      <c r="O61" s="6"/>
      <c r="P61" s="6"/>
      <c r="Q61" s="6"/>
      <c r="AF61" s="2"/>
    </row>
    <row r="62" spans="2:35" s="3" customFormat="1">
      <c r="B62" s="14" t="s">
        <v>143</v>
      </c>
      <c r="C62" s="6"/>
      <c r="D62" s="6"/>
      <c r="E62" s="6"/>
      <c r="F62" s="6"/>
      <c r="G62" s="6"/>
      <c r="H62" s="6"/>
      <c r="I62" s="6"/>
      <c r="J62" s="31"/>
      <c r="K62" s="31">
        <v>159</v>
      </c>
      <c r="L62" s="6"/>
      <c r="M62" s="6"/>
      <c r="N62" s="6"/>
      <c r="O62" s="6"/>
      <c r="P62" s="6"/>
      <c r="Q62" s="6"/>
      <c r="AF62" s="2"/>
    </row>
    <row r="63" spans="2:35" s="3" customFormat="1">
      <c r="B63" s="14" t="s">
        <v>152</v>
      </c>
      <c r="C63" s="6"/>
      <c r="D63" s="6"/>
      <c r="E63" s="6"/>
      <c r="F63" s="6"/>
      <c r="G63" s="6"/>
      <c r="H63" s="6"/>
      <c r="I63" s="6"/>
      <c r="J63" s="31"/>
      <c r="K63" s="31">
        <v>-125</v>
      </c>
      <c r="L63" s="6"/>
      <c r="M63" s="6"/>
      <c r="N63" s="6"/>
      <c r="O63" s="6"/>
      <c r="P63" s="6"/>
      <c r="Q63" s="6"/>
      <c r="AF63" s="2"/>
    </row>
    <row r="64" spans="2:35" s="3" customFormat="1">
      <c r="B64" s="14" t="s">
        <v>153</v>
      </c>
      <c r="C64" s="6"/>
      <c r="D64" s="6"/>
      <c r="E64" s="6"/>
      <c r="F64" s="6"/>
      <c r="G64" s="6"/>
      <c r="H64" s="6"/>
      <c r="I64" s="6"/>
      <c r="J64" s="31"/>
      <c r="K64" s="31">
        <v>-2446</v>
      </c>
      <c r="L64" s="6"/>
      <c r="M64" s="6"/>
      <c r="N64" s="6"/>
      <c r="O64" s="6"/>
      <c r="P64" s="6"/>
      <c r="Q64" s="6"/>
      <c r="AF64" s="2"/>
    </row>
    <row r="65" spans="2:33" s="3" customFormat="1">
      <c r="B65" s="14" t="s">
        <v>154</v>
      </c>
      <c r="C65" s="6"/>
      <c r="D65" s="6"/>
      <c r="E65" s="6"/>
      <c r="F65" s="6"/>
      <c r="G65" s="6"/>
      <c r="H65" s="6"/>
      <c r="I65" s="6"/>
      <c r="J65" s="31"/>
      <c r="K65" s="31">
        <v>234</v>
      </c>
      <c r="L65" s="6"/>
      <c r="M65" s="6"/>
      <c r="N65" s="6"/>
      <c r="O65" s="6"/>
      <c r="P65" s="6"/>
      <c r="Q65" s="6"/>
      <c r="AF65" s="2"/>
    </row>
    <row r="66" spans="2:33" s="3" customFormat="1">
      <c r="B66" s="14" t="s">
        <v>155</v>
      </c>
      <c r="C66" s="6"/>
      <c r="D66" s="6"/>
      <c r="E66" s="6"/>
      <c r="F66" s="6"/>
      <c r="G66" s="6"/>
      <c r="H66" s="6"/>
      <c r="I66" s="6"/>
      <c r="J66" s="31"/>
      <c r="K66" s="31">
        <v>-1015</v>
      </c>
      <c r="L66" s="6"/>
      <c r="M66" s="6"/>
      <c r="N66" s="6"/>
      <c r="O66" s="6"/>
      <c r="P66" s="6"/>
      <c r="Q66" s="6"/>
      <c r="AF66" s="2"/>
    </row>
    <row r="67" spans="2:33" s="3" customFormat="1">
      <c r="B67" s="14" t="s">
        <v>156</v>
      </c>
      <c r="C67" s="6"/>
      <c r="D67" s="6"/>
      <c r="E67" s="6"/>
      <c r="F67" s="6"/>
      <c r="G67" s="6"/>
      <c r="H67" s="6"/>
      <c r="I67" s="6"/>
      <c r="J67" s="31"/>
      <c r="K67" s="31">
        <v>31</v>
      </c>
      <c r="L67" s="6"/>
      <c r="M67" s="6"/>
      <c r="N67" s="6"/>
      <c r="O67" s="6"/>
      <c r="P67" s="6"/>
      <c r="Q67" s="6"/>
      <c r="AF67" s="2"/>
    </row>
    <row r="68" spans="2:33" s="3" customFormat="1">
      <c r="B68" s="14" t="s">
        <v>157</v>
      </c>
      <c r="C68" s="6"/>
      <c r="D68" s="6"/>
      <c r="E68" s="6"/>
      <c r="F68" s="6"/>
      <c r="G68" s="6"/>
      <c r="H68" s="6"/>
      <c r="I68" s="6"/>
      <c r="J68" s="31"/>
      <c r="K68" s="31">
        <v>-246</v>
      </c>
      <c r="L68" s="6"/>
      <c r="M68" s="6"/>
      <c r="N68" s="6"/>
      <c r="O68" s="6"/>
      <c r="P68" s="6"/>
      <c r="Q68" s="6"/>
      <c r="AF68" s="2"/>
    </row>
    <row r="69" spans="2:33" s="3" customFormat="1">
      <c r="B69" s="14" t="s">
        <v>71</v>
      </c>
      <c r="C69" s="6"/>
      <c r="D69" s="6"/>
      <c r="E69" s="6"/>
      <c r="F69" s="6"/>
      <c r="G69" s="6"/>
      <c r="H69" s="6"/>
      <c r="I69" s="6"/>
      <c r="J69" s="31"/>
      <c r="K69" s="31">
        <v>-172</v>
      </c>
      <c r="L69" s="6"/>
      <c r="M69" s="6"/>
      <c r="N69" s="6"/>
      <c r="O69" s="6"/>
      <c r="P69" s="6"/>
      <c r="Q69" s="6"/>
      <c r="AF69" s="2"/>
    </row>
    <row r="70" spans="2:33" s="3" customFormat="1">
      <c r="B70" s="14" t="s">
        <v>20</v>
      </c>
      <c r="C70" s="6"/>
      <c r="D70" s="6"/>
      <c r="E70" s="6"/>
      <c r="F70" s="6"/>
      <c r="G70" s="6"/>
      <c r="H70" s="6"/>
      <c r="I70" s="6"/>
      <c r="J70" s="31">
        <f>SUM(J58:J69)</f>
        <v>0</v>
      </c>
      <c r="K70" s="31">
        <f>SUM(K58:K69)</f>
        <v>4139</v>
      </c>
      <c r="L70" s="6"/>
      <c r="M70" s="6"/>
      <c r="N70" s="6"/>
      <c r="O70" s="6"/>
      <c r="P70" s="6"/>
      <c r="Q70" s="6"/>
      <c r="AF70" s="2"/>
    </row>
    <row r="71" spans="2:33" s="3" customFormat="1"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AF71" s="2"/>
    </row>
    <row r="72" spans="2:33" s="3" customFormat="1"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AF72" s="2"/>
    </row>
    <row r="73" spans="2:33" s="3" customFormat="1"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AF73" s="2"/>
    </row>
    <row r="74" spans="2:33" s="14" customFormat="1">
      <c r="B74" s="14" t="s">
        <v>16</v>
      </c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AF74" s="15" t="s">
        <v>50</v>
      </c>
      <c r="AG74" s="44">
        <v>0.1</v>
      </c>
    </row>
    <row r="75" spans="2:33" s="3" customFormat="1">
      <c r="B75" s="3" t="s">
        <v>143</v>
      </c>
      <c r="C75" s="6">
        <v>465</v>
      </c>
      <c r="D75" s="6"/>
      <c r="E75" s="6">
        <v>465</v>
      </c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AF75" s="2" t="s">
        <v>49</v>
      </c>
      <c r="AG75" s="10" t="e">
        <f>AG58/main!K3</f>
        <v>#REF!</v>
      </c>
    </row>
    <row r="76" spans="2:33" s="3" customFormat="1">
      <c r="B76" s="3" t="s">
        <v>17</v>
      </c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</row>
    <row r="77" spans="2:33" s="3" customFormat="1">
      <c r="B77" s="3" t="s">
        <v>27</v>
      </c>
      <c r="C77" s="6">
        <f>-113+145</f>
        <v>32</v>
      </c>
      <c r="D77" s="6"/>
      <c r="E77" s="6">
        <f>-113+145</f>
        <v>32</v>
      </c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</row>
    <row r="78" spans="2:33" s="3" customFormat="1">
      <c r="B78" s="3" t="s">
        <v>18</v>
      </c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</row>
    <row r="79" spans="2:33" s="3" customFormat="1">
      <c r="B79" s="3" t="s">
        <v>22</v>
      </c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</row>
    <row r="80" spans="2:33" s="3" customFormat="1">
      <c r="B80" s="3" t="s">
        <v>19</v>
      </c>
      <c r="C80" s="6">
        <v>-302</v>
      </c>
      <c r="D80" s="6"/>
      <c r="E80" s="6">
        <v>-302</v>
      </c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</row>
    <row r="81" spans="2:31" s="3" customFormat="1">
      <c r="B81" s="3" t="s">
        <v>20</v>
      </c>
      <c r="C81" s="6">
        <f t="shared" ref="C81:E81" si="44">SUM(C58:C80)</f>
        <v>2073</v>
      </c>
      <c r="D81" s="6"/>
      <c r="E81" s="6">
        <f t="shared" si="44"/>
        <v>2073</v>
      </c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S81" s="3">
        <f>SUM(C81:E81)</f>
        <v>4146</v>
      </c>
    </row>
    <row r="82" spans="2:31" s="3" customFormat="1"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</row>
    <row r="83" spans="2:31" s="3" customFormat="1">
      <c r="B83" s="3" t="s">
        <v>28</v>
      </c>
      <c r="C83" s="6">
        <v>2460</v>
      </c>
      <c r="D83" s="6"/>
      <c r="E83" s="6">
        <v>2460</v>
      </c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S83" s="3">
        <f>SUM(C83:E83)</f>
        <v>4920</v>
      </c>
    </row>
    <row r="84" spans="2:31" s="3" customFormat="1">
      <c r="B84" s="3" t="s">
        <v>29</v>
      </c>
      <c r="C84" s="6">
        <f>C81-C83</f>
        <v>-387</v>
      </c>
      <c r="D84" s="6"/>
      <c r="E84" s="6">
        <f>E81-E83</f>
        <v>-387</v>
      </c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S84" s="3">
        <f>+S81-S83</f>
        <v>-774</v>
      </c>
    </row>
    <row r="85" spans="2:31" s="3" customFormat="1" ht="13">
      <c r="B85" s="3" t="s">
        <v>30</v>
      </c>
      <c r="C85" s="7">
        <f>SUM(C84:C84)</f>
        <v>-387</v>
      </c>
      <c r="D85" s="7"/>
      <c r="E85" s="7">
        <f>SUM(E84:E84)</f>
        <v>-387</v>
      </c>
      <c r="F85" s="7"/>
      <c r="G85" s="7"/>
      <c r="H85" s="7"/>
      <c r="I85" s="7"/>
      <c r="J85" s="6"/>
      <c r="K85" s="6"/>
      <c r="L85" s="6"/>
      <c r="M85" s="6"/>
      <c r="N85" s="6"/>
      <c r="O85" s="6"/>
      <c r="P85" s="6"/>
      <c r="Q85" s="6"/>
    </row>
    <row r="86" spans="2:31" s="3" customFormat="1"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</row>
    <row r="87" spans="2:31" s="3" customFormat="1">
      <c r="B87" s="14" t="s">
        <v>51</v>
      </c>
      <c r="C87" s="31">
        <f t="shared" ref="C87:H87" si="45">C88-C104-C105-C108</f>
        <v>-54446</v>
      </c>
      <c r="D87" s="31"/>
      <c r="E87" s="31">
        <f t="shared" si="45"/>
        <v>-54446</v>
      </c>
      <c r="F87" s="31"/>
      <c r="G87" s="31">
        <f t="shared" si="45"/>
        <v>0</v>
      </c>
      <c r="H87" s="31">
        <f t="shared" si="45"/>
        <v>0</v>
      </c>
      <c r="I87" s="31"/>
      <c r="J87" s="31">
        <f>J88-J104-J105-J108</f>
        <v>-57711</v>
      </c>
      <c r="K87" s="31"/>
      <c r="L87" s="6"/>
      <c r="M87" s="6"/>
      <c r="N87" s="6"/>
      <c r="O87" s="6"/>
      <c r="P87" s="6"/>
      <c r="Q87" s="6"/>
      <c r="S87" s="3">
        <f>E87</f>
        <v>-54446</v>
      </c>
      <c r="T87" s="3" t="e">
        <f>S87+#REF!</f>
        <v>#REF!</v>
      </c>
      <c r="U87" s="3" t="e">
        <f>T87+#REF!</f>
        <v>#REF!</v>
      </c>
      <c r="V87" s="3" t="e">
        <f>U87+#REF!</f>
        <v>#REF!</v>
      </c>
      <c r="W87" s="3" t="e">
        <f>V87+#REF!</f>
        <v>#REF!</v>
      </c>
      <c r="X87" s="3" t="e">
        <f>W87+#REF!</f>
        <v>#REF!</v>
      </c>
      <c r="Y87" s="3" t="e">
        <f>X87+#REF!</f>
        <v>#REF!</v>
      </c>
      <c r="Z87" s="3" t="e">
        <f>Y87+#REF!</f>
        <v>#REF!</v>
      </c>
      <c r="AA87" s="3" t="e">
        <f>Z87+#REF!</f>
        <v>#REF!</v>
      </c>
      <c r="AB87" s="3" t="e">
        <f>AA87+#REF!</f>
        <v>#REF!</v>
      </c>
      <c r="AC87" s="3" t="e">
        <f>AB87+#REF!</f>
        <v>#REF!</v>
      </c>
      <c r="AD87" s="3" t="e">
        <f>AC87+#REF!</f>
        <v>#REF!</v>
      </c>
      <c r="AE87" s="3" t="e">
        <f>AD87+#REF!</f>
        <v>#REF!</v>
      </c>
    </row>
    <row r="88" spans="2:31" s="3" customFormat="1">
      <c r="B88" s="14" t="s">
        <v>3</v>
      </c>
      <c r="C88" s="31">
        <f>6576+841</f>
        <v>7417</v>
      </c>
      <c r="D88" s="31"/>
      <c r="E88" s="31">
        <f>6576+841</f>
        <v>7417</v>
      </c>
      <c r="F88" s="31"/>
      <c r="G88" s="31"/>
      <c r="H88" s="31"/>
      <c r="I88" s="31"/>
      <c r="J88" s="31">
        <f>7004+1140</f>
        <v>8144</v>
      </c>
      <c r="K88" s="31"/>
      <c r="L88" s="6"/>
      <c r="M88" s="6"/>
      <c r="N88" s="6"/>
      <c r="O88" s="6"/>
      <c r="P88" s="6"/>
      <c r="Q88" s="6"/>
    </row>
    <row r="89" spans="2:31" s="3" customFormat="1">
      <c r="B89" s="14" t="s">
        <v>120</v>
      </c>
      <c r="C89" s="31">
        <v>9297</v>
      </c>
      <c r="D89" s="31"/>
      <c r="E89" s="31">
        <v>9297</v>
      </c>
      <c r="F89" s="31"/>
      <c r="G89" s="31"/>
      <c r="H89" s="31"/>
      <c r="I89" s="31"/>
      <c r="J89" s="31">
        <v>7469</v>
      </c>
      <c r="K89" s="31"/>
      <c r="L89" s="6"/>
      <c r="M89" s="6"/>
      <c r="N89" s="6"/>
      <c r="O89" s="6"/>
      <c r="P89" s="6"/>
      <c r="Q89" s="6"/>
    </row>
    <row r="90" spans="2:31" s="3" customFormat="1">
      <c r="B90" s="14" t="s">
        <v>121</v>
      </c>
      <c r="C90" s="31">
        <v>41302</v>
      </c>
      <c r="D90" s="31"/>
      <c r="E90" s="31">
        <v>41302</v>
      </c>
      <c r="F90" s="31"/>
      <c r="G90" s="31"/>
      <c r="H90" s="31"/>
      <c r="I90" s="31"/>
      <c r="J90" s="31">
        <v>43869</v>
      </c>
      <c r="K90" s="31"/>
      <c r="L90" s="6"/>
      <c r="M90" s="6"/>
      <c r="N90" s="6"/>
      <c r="O90" s="6"/>
      <c r="P90" s="6"/>
      <c r="Q90" s="6"/>
    </row>
    <row r="91" spans="2:31" s="3" customFormat="1">
      <c r="B91" s="14" t="s">
        <v>122</v>
      </c>
      <c r="C91" s="31">
        <v>7001</v>
      </c>
      <c r="D91" s="31"/>
      <c r="E91" s="31">
        <v>7001</v>
      </c>
      <c r="F91" s="31"/>
      <c r="G91" s="31"/>
      <c r="H91" s="31"/>
      <c r="I91" s="31"/>
      <c r="J91" s="31">
        <v>8274</v>
      </c>
      <c r="K91" s="31"/>
      <c r="L91" s="6"/>
      <c r="M91" s="6"/>
      <c r="N91" s="6"/>
      <c r="O91" s="6"/>
      <c r="P91" s="6"/>
      <c r="Q91" s="6"/>
    </row>
    <row r="92" spans="2:31" s="3" customFormat="1">
      <c r="B92" s="14" t="s">
        <v>123</v>
      </c>
      <c r="C92" s="31">
        <v>3118</v>
      </c>
      <c r="D92" s="31"/>
      <c r="E92" s="31">
        <v>3118</v>
      </c>
      <c r="F92" s="31"/>
      <c r="G92" s="31"/>
      <c r="H92" s="31"/>
      <c r="I92" s="31"/>
      <c r="J92" s="31">
        <v>2270</v>
      </c>
      <c r="K92" s="31"/>
      <c r="L92" s="6"/>
      <c r="M92" s="6"/>
      <c r="N92" s="6"/>
      <c r="O92" s="6"/>
      <c r="P92" s="6"/>
      <c r="Q92" s="6"/>
    </row>
    <row r="93" spans="2:31" s="3" customFormat="1">
      <c r="B93" s="14" t="s">
        <v>124</v>
      </c>
      <c r="C93" s="31">
        <v>6709</v>
      </c>
      <c r="D93" s="31"/>
      <c r="E93" s="31">
        <v>6709</v>
      </c>
      <c r="F93" s="31"/>
      <c r="G93" s="31"/>
      <c r="H93" s="31"/>
      <c r="I93" s="31"/>
      <c r="J93" s="31">
        <v>7118</v>
      </c>
      <c r="K93" s="31"/>
      <c r="L93" s="6"/>
      <c r="M93" s="6"/>
      <c r="N93" s="6"/>
      <c r="O93" s="6"/>
      <c r="P93" s="6"/>
      <c r="Q93" s="6"/>
    </row>
    <row r="94" spans="2:31" s="3" customFormat="1">
      <c r="B94" s="14" t="s">
        <v>125</v>
      </c>
      <c r="C94" s="31">
        <v>9350</v>
      </c>
      <c r="D94" s="31"/>
      <c r="E94" s="31">
        <v>9350</v>
      </c>
      <c r="F94" s="31"/>
      <c r="G94" s="31"/>
      <c r="H94" s="31"/>
      <c r="I94" s="31"/>
      <c r="J94" s="31">
        <v>7696</v>
      </c>
      <c r="K94" s="31"/>
      <c r="L94" s="6"/>
      <c r="M94" s="6"/>
      <c r="N94" s="6"/>
      <c r="O94" s="6"/>
      <c r="P94" s="6"/>
      <c r="Q94" s="6"/>
    </row>
    <row r="95" spans="2:31" s="3" customFormat="1">
      <c r="B95" s="14" t="s">
        <v>21</v>
      </c>
      <c r="C95" s="31">
        <v>6418</v>
      </c>
      <c r="D95" s="31"/>
      <c r="E95" s="31">
        <v>6418</v>
      </c>
      <c r="F95" s="31"/>
      <c r="G95" s="31"/>
      <c r="H95" s="31"/>
      <c r="I95" s="31"/>
      <c r="J95" s="31">
        <v>7092</v>
      </c>
      <c r="K95" s="31"/>
      <c r="L95" s="6"/>
      <c r="M95" s="6"/>
      <c r="N95" s="6"/>
      <c r="O95" s="6"/>
      <c r="P95" s="6"/>
      <c r="Q95" s="6"/>
    </row>
    <row r="96" spans="2:31" s="3" customFormat="1">
      <c r="B96" s="14" t="s">
        <v>23</v>
      </c>
      <c r="C96" s="31">
        <v>3994</v>
      </c>
      <c r="D96" s="31"/>
      <c r="E96" s="31">
        <v>3994</v>
      </c>
      <c r="F96" s="31"/>
      <c r="G96" s="31"/>
      <c r="H96" s="31"/>
      <c r="I96" s="31"/>
      <c r="J96" s="31">
        <v>3960</v>
      </c>
      <c r="K96" s="31"/>
      <c r="L96" s="6"/>
      <c r="M96" s="6"/>
      <c r="N96" s="6"/>
      <c r="O96" s="6"/>
      <c r="P96" s="6"/>
      <c r="Q96" s="6"/>
    </row>
    <row r="97" spans="2:10" s="3" customFormat="1">
      <c r="B97" s="14" t="s">
        <v>126</v>
      </c>
      <c r="C97" s="31">
        <v>1199</v>
      </c>
      <c r="D97" s="31"/>
      <c r="E97" s="31">
        <v>1199</v>
      </c>
      <c r="F97" s="31"/>
      <c r="G97" s="31"/>
      <c r="H97" s="31"/>
      <c r="I97" s="31"/>
      <c r="J97" s="31">
        <v>1030</v>
      </c>
    </row>
    <row r="98" spans="2:10" s="3" customFormat="1">
      <c r="B98" s="14" t="s">
        <v>127</v>
      </c>
      <c r="C98" s="31">
        <v>3573</v>
      </c>
      <c r="D98" s="31"/>
      <c r="E98" s="31">
        <v>3573</v>
      </c>
      <c r="F98" s="31"/>
      <c r="G98" s="31"/>
      <c r="H98" s="31"/>
      <c r="I98" s="31"/>
      <c r="J98" s="31">
        <v>3126</v>
      </c>
    </row>
    <row r="99" spans="2:10" s="3" customFormat="1">
      <c r="B99" s="14" t="s">
        <v>128</v>
      </c>
      <c r="C99" s="31">
        <v>1360</v>
      </c>
      <c r="D99" s="31"/>
      <c r="E99" s="31">
        <v>1360</v>
      </c>
      <c r="F99" s="31"/>
      <c r="G99" s="31"/>
      <c r="H99" s="31"/>
      <c r="I99" s="31"/>
      <c r="J99" s="31">
        <v>1898</v>
      </c>
    </row>
    <row r="100" spans="2:10" s="3" customFormat="1">
      <c r="B100" s="14" t="s">
        <v>129</v>
      </c>
      <c r="C100" s="31">
        <v>2659</v>
      </c>
      <c r="D100" s="31"/>
      <c r="E100" s="31">
        <v>2659</v>
      </c>
      <c r="F100" s="31"/>
      <c r="G100" s="31"/>
      <c r="H100" s="31"/>
      <c r="I100" s="31"/>
      <c r="J100" s="31">
        <v>2903</v>
      </c>
    </row>
    <row r="101" spans="2:10" s="3" customFormat="1">
      <c r="B101" s="14" t="s">
        <v>130</v>
      </c>
      <c r="G101" s="31"/>
      <c r="H101" s="31"/>
      <c r="I101" s="31"/>
      <c r="J101" s="31">
        <v>2965</v>
      </c>
    </row>
    <row r="102" spans="2:10" s="3" customFormat="1">
      <c r="B102" s="14" t="s">
        <v>24</v>
      </c>
      <c r="C102" s="31">
        <f>SUM(C88:C100)</f>
        <v>103397</v>
      </c>
      <c r="D102" s="31"/>
      <c r="E102" s="31">
        <f>SUM(E88:E100)</f>
        <v>103397</v>
      </c>
      <c r="F102" s="31"/>
      <c r="G102" s="31">
        <f t="shared" ref="G102:J102" si="46">SUM(G88:G101)</f>
        <v>0</v>
      </c>
      <c r="H102" s="31">
        <f t="shared" si="46"/>
        <v>0</v>
      </c>
      <c r="I102" s="31"/>
      <c r="J102" s="31">
        <f t="shared" si="46"/>
        <v>107814</v>
      </c>
    </row>
    <row r="103" spans="2:10">
      <c r="G103" s="6"/>
      <c r="H103" s="6"/>
      <c r="I103" s="6"/>
    </row>
    <row r="104" spans="2:10" s="15" customFormat="1">
      <c r="B104" s="15" t="s">
        <v>134</v>
      </c>
      <c r="C104" s="13">
        <v>17143</v>
      </c>
      <c r="D104" s="13"/>
      <c r="E104" s="13">
        <v>17143</v>
      </c>
      <c r="F104" s="13"/>
      <c r="G104" s="13"/>
      <c r="H104" s="13"/>
      <c r="I104" s="13"/>
      <c r="J104" s="13">
        <v>15294</v>
      </c>
    </row>
    <row r="105" spans="2:10" s="15" customFormat="1">
      <c r="B105" s="15" t="s">
        <v>135</v>
      </c>
      <c r="C105" s="13">
        <v>6608</v>
      </c>
      <c r="D105" s="13"/>
      <c r="E105" s="13">
        <v>6608</v>
      </c>
      <c r="F105" s="13"/>
      <c r="G105" s="13"/>
      <c r="H105" s="13"/>
      <c r="I105" s="13"/>
      <c r="J105" s="13">
        <v>7869</v>
      </c>
    </row>
    <row r="106" spans="2:10" s="15" customFormat="1">
      <c r="B106" s="15" t="s">
        <v>136</v>
      </c>
      <c r="C106" s="13">
        <v>15340</v>
      </c>
      <c r="D106" s="13"/>
      <c r="E106" s="13">
        <v>15340</v>
      </c>
      <c r="F106" s="13"/>
      <c r="G106" s="13"/>
      <c r="H106" s="13"/>
      <c r="I106" s="13"/>
      <c r="J106" s="13">
        <v>14397</v>
      </c>
    </row>
    <row r="107" spans="2:10" s="15" customFormat="1">
      <c r="B107" s="15" t="s">
        <v>137</v>
      </c>
      <c r="C107" s="13">
        <v>506</v>
      </c>
      <c r="D107" s="13"/>
      <c r="E107" s="13">
        <v>506</v>
      </c>
      <c r="F107" s="13"/>
      <c r="G107" s="13"/>
      <c r="H107" s="13"/>
      <c r="I107" s="13"/>
      <c r="J107" s="13">
        <v>481</v>
      </c>
    </row>
    <row r="108" spans="2:10" s="15" customFormat="1">
      <c r="B108" s="15" t="s">
        <v>138</v>
      </c>
      <c r="C108" s="13">
        <v>38112</v>
      </c>
      <c r="D108" s="13"/>
      <c r="E108" s="13">
        <v>38112</v>
      </c>
      <c r="F108" s="13"/>
      <c r="G108" s="13"/>
      <c r="H108" s="13"/>
      <c r="I108" s="13"/>
      <c r="J108" s="13">
        <v>42692</v>
      </c>
    </row>
    <row r="109" spans="2:10" s="15" customFormat="1">
      <c r="B109" s="15" t="s">
        <v>139</v>
      </c>
      <c r="C109" s="13">
        <v>2536</v>
      </c>
      <c r="D109" s="13"/>
      <c r="E109" s="13">
        <v>2536</v>
      </c>
      <c r="F109" s="13"/>
      <c r="G109" s="13"/>
      <c r="H109" s="13"/>
      <c r="I109" s="13"/>
      <c r="J109" s="13">
        <v>2156</v>
      </c>
    </row>
    <row r="110" spans="2:10" s="15" customFormat="1">
      <c r="B110" s="15" t="s">
        <v>140</v>
      </c>
      <c r="C110" s="13"/>
      <c r="D110" s="13"/>
      <c r="E110" s="13"/>
      <c r="F110" s="13"/>
      <c r="G110" s="31"/>
      <c r="H110" s="31"/>
      <c r="I110" s="31"/>
      <c r="J110" s="13">
        <v>1803</v>
      </c>
    </row>
    <row r="111" spans="2:10" s="15" customFormat="1">
      <c r="B111" s="15" t="s">
        <v>141</v>
      </c>
      <c r="C111" s="13">
        <f>SUM(C104:C110)</f>
        <v>80245</v>
      </c>
      <c r="D111" s="13"/>
      <c r="E111" s="13">
        <f>SUM(E104:E110)</f>
        <v>80245</v>
      </c>
      <c r="F111" s="13"/>
      <c r="G111" s="31"/>
      <c r="H111" s="31"/>
      <c r="I111" s="31"/>
      <c r="J111" s="13">
        <f>SUM(J104:J110)</f>
        <v>84692</v>
      </c>
    </row>
    <row r="112" spans="2:10" s="15" customFormat="1">
      <c r="B112" s="15" t="s">
        <v>142</v>
      </c>
      <c r="C112" s="13">
        <v>101</v>
      </c>
      <c r="D112" s="13"/>
      <c r="E112" s="13">
        <v>101</v>
      </c>
      <c r="F112" s="13"/>
      <c r="G112" s="31"/>
      <c r="H112" s="31"/>
      <c r="I112" s="31"/>
      <c r="J112" s="13">
        <v>84</v>
      </c>
    </row>
    <row r="113" spans="2:10" s="15" customFormat="1">
      <c r="B113" s="15" t="s">
        <v>25</v>
      </c>
      <c r="C113" s="31">
        <f>C102-C111-C112</f>
        <v>23051</v>
      </c>
      <c r="D113" s="31"/>
      <c r="E113" s="31">
        <f>E102-E111-E112</f>
        <v>23051</v>
      </c>
      <c r="F113" s="31"/>
      <c r="G113" s="31"/>
      <c r="H113" s="31"/>
      <c r="I113" s="31"/>
      <c r="J113" s="31">
        <f>J102-J111-J112</f>
        <v>23038</v>
      </c>
    </row>
    <row r="114" spans="2:10" s="15" customFormat="1">
      <c r="B114" s="15" t="s">
        <v>26</v>
      </c>
      <c r="C114" s="31">
        <f>C113+C111</f>
        <v>103296</v>
      </c>
      <c r="D114" s="31"/>
      <c r="E114" s="31">
        <f>E113+E111</f>
        <v>103296</v>
      </c>
      <c r="F114" s="31"/>
      <c r="G114" s="31"/>
      <c r="H114" s="31"/>
      <c r="I114" s="31"/>
      <c r="J114" s="31">
        <f>J113+J111</f>
        <v>107730</v>
      </c>
    </row>
  </sheetData>
  <hyperlinks>
    <hyperlink ref="A1" location="Main!A1" display="Main" xr:uid="{997EC1A7-4D47-4E8D-919D-603FB3C9B2D7}"/>
  </hyperlinks>
  <pageMargins left="0.7" right="0.7" top="0.75" bottom="0.75" header="0.3" footer="0.3"/>
  <pageSetup orientation="portrait" horizontalDpi="0" verticalDpi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81E2A2-167A-4FDD-9F1F-646C0DABC3EE}">
  <dimension ref="A1"/>
  <sheetViews>
    <sheetView zoomScale="205" zoomScaleNormal="205" workbookViewId="0">
      <selection activeCell="B5" sqref="B5"/>
    </sheetView>
  </sheetViews>
  <sheetFormatPr defaultColWidth="9.1796875" defaultRowHeight="12.5"/>
  <cols>
    <col min="1" max="1" width="5" style="1" bestFit="1" customWidth="1"/>
    <col min="2" max="16384" width="9.1796875" style="1"/>
  </cols>
  <sheetData>
    <row r="1" spans="1:1">
      <c r="A1" s="1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main</vt:lpstr>
      <vt:lpstr>model</vt:lpstr>
      <vt:lpstr>parts</vt:lpstr>
      <vt:lpstr>notes</vt:lpstr>
      <vt:lpstr>Manufacturing</vt:lpstr>
      <vt:lpstr>ModelOLD</vt:lpstr>
      <vt:lpstr>IP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corey</dc:creator>
  <cp:keywords/>
  <dc:description/>
  <cp:lastModifiedBy>Corey Christner</cp:lastModifiedBy>
  <cp:revision/>
  <dcterms:created xsi:type="dcterms:W3CDTF">2022-07-01T16:14:29Z</dcterms:created>
  <dcterms:modified xsi:type="dcterms:W3CDTF">2025-05-08T11:12:35Z</dcterms:modified>
  <cp:category/>
  <cp:contentStatus/>
</cp:coreProperties>
</file>