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https://d.docs.live.net/32906c935fa0eb4f/models/TITN/"/>
    </mc:Choice>
  </mc:AlternateContent>
  <xr:revisionPtr revIDLastSave="1206" documentId="11_F25DC773A252ABDACC104889191A52245ADE58E6" xr6:coauthVersionLast="47" xr6:coauthVersionMax="47" xr10:uidLastSave="{0C904AAE-F94B-44E9-8DB3-F35FCD6BEB19}"/>
  <bookViews>
    <workbookView xWindow="3460" yWindow="3810" windowWidth="18000" windowHeight="12750" activeTab="3" xr2:uid="{00000000-000D-0000-FFFF-FFFF00000000}"/>
  </bookViews>
  <sheets>
    <sheet name="main" sheetId="1" r:id="rId1"/>
    <sheet name="todo" sheetId="4" r:id="rId2"/>
    <sheet name="M&amp;A" sheetId="5" r:id="rId3"/>
    <sheet name="model" sheetId="2"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9" i="2" l="1"/>
  <c r="M11" i="2"/>
  <c r="M10" i="2"/>
  <c r="M7" i="2"/>
  <c r="E8" i="2"/>
  <c r="M8" i="2" s="1"/>
  <c r="B8" i="2"/>
  <c r="G8" i="2"/>
  <c r="F8" i="2"/>
  <c r="D8" i="2"/>
  <c r="C8" i="2"/>
  <c r="M5" i="2"/>
  <c r="M4" i="2"/>
  <c r="I119" i="2"/>
  <c r="H119" i="2"/>
  <c r="G119" i="2"/>
  <c r="F119" i="2"/>
  <c r="E119" i="2"/>
  <c r="D119" i="2"/>
  <c r="C119" i="2"/>
  <c r="B119" i="2"/>
  <c r="M118" i="2"/>
  <c r="M128" i="2"/>
  <c r="M127" i="2"/>
  <c r="M126" i="2"/>
  <c r="M123" i="2"/>
  <c r="M122" i="2"/>
  <c r="M121" i="2"/>
  <c r="M120" i="2"/>
  <c r="M117" i="2"/>
  <c r="M116" i="2"/>
  <c r="M115" i="2"/>
  <c r="M114" i="2"/>
  <c r="M113" i="2"/>
  <c r="M112" i="2"/>
  <c r="M109" i="2"/>
  <c r="M108" i="2"/>
  <c r="M107" i="2"/>
  <c r="M106" i="2"/>
  <c r="M105" i="2"/>
  <c r="M104" i="2"/>
  <c r="M102" i="2"/>
  <c r="M101" i="2"/>
  <c r="M100" i="2"/>
  <c r="M99" i="2"/>
  <c r="E84" i="2"/>
  <c r="E67" i="2"/>
  <c r="M67" i="2" s="1"/>
  <c r="E65" i="2"/>
  <c r="M65" i="2" s="1"/>
  <c r="E64" i="2"/>
  <c r="M64" i="2" s="1"/>
  <c r="E63" i="2"/>
  <c r="M63" i="2" s="1"/>
  <c r="M61" i="2"/>
  <c r="M60" i="2"/>
  <c r="E59" i="2"/>
  <c r="M59" i="2" s="1"/>
  <c r="E52" i="2"/>
  <c r="M52" i="2" s="1"/>
  <c r="E51" i="2"/>
  <c r="M51" i="2" s="1"/>
  <c r="E50" i="2"/>
  <c r="E49" i="2"/>
  <c r="L57" i="2"/>
  <c r="L56" i="2"/>
  <c r="L55" i="2"/>
  <c r="L54" i="2"/>
  <c r="L53" i="2"/>
  <c r="E47" i="2"/>
  <c r="E46" i="2"/>
  <c r="M46" i="2" s="1"/>
  <c r="E45" i="2"/>
  <c r="E44" i="2"/>
  <c r="L48" i="2"/>
  <c r="E37" i="2"/>
  <c r="M37" i="2" s="1"/>
  <c r="E36" i="2"/>
  <c r="M36" i="2" s="1"/>
  <c r="E35" i="2"/>
  <c r="M35" i="2" s="1"/>
  <c r="E34" i="2"/>
  <c r="M34" i="2" s="1"/>
  <c r="E32" i="2"/>
  <c r="M32" i="2" s="1"/>
  <c r="E31" i="2"/>
  <c r="M31" i="2" s="1"/>
  <c r="E30" i="2"/>
  <c r="M30" i="2" s="1"/>
  <c r="E29" i="2"/>
  <c r="E27" i="2"/>
  <c r="M27" i="2" s="1"/>
  <c r="E26" i="2"/>
  <c r="M26" i="2" s="1"/>
  <c r="E25" i="2"/>
  <c r="M25" i="2" s="1"/>
  <c r="E24" i="2"/>
  <c r="M24" i="2" s="1"/>
  <c r="E22" i="2"/>
  <c r="E21" i="2"/>
  <c r="M21" i="2" s="1"/>
  <c r="E20" i="2"/>
  <c r="M20" i="2" s="1"/>
  <c r="E19" i="2"/>
  <c r="M19" i="2" s="1"/>
  <c r="L38" i="2"/>
  <c r="L33" i="2"/>
  <c r="L28" i="2"/>
  <c r="L23" i="2"/>
  <c r="L18" i="2"/>
  <c r="E17" i="2"/>
  <c r="M17" i="2" s="1"/>
  <c r="E16" i="2"/>
  <c r="M16" i="2" s="1"/>
  <c r="E15" i="2"/>
  <c r="M15" i="2" s="1"/>
  <c r="E14" i="2"/>
  <c r="N16" i="2"/>
  <c r="N15" i="2"/>
  <c r="D87" i="2"/>
  <c r="E87" i="2" s="1"/>
  <c r="D86" i="2"/>
  <c r="E86" i="2" s="1"/>
  <c r="D85" i="2"/>
  <c r="E85" i="2" s="1"/>
  <c r="D80" i="2"/>
  <c r="E80" i="2" s="1"/>
  <c r="H85" i="2"/>
  <c r="N85" i="2" s="1"/>
  <c r="G38" i="2"/>
  <c r="G33" i="2"/>
  <c r="G94" i="2"/>
  <c r="H94" i="2" s="1"/>
  <c r="G93" i="2"/>
  <c r="H93" i="2" s="1"/>
  <c r="G92" i="2"/>
  <c r="H92" i="2" s="1"/>
  <c r="G91" i="2"/>
  <c r="H91" i="2" s="1"/>
  <c r="G90" i="2"/>
  <c r="H90" i="2" s="1"/>
  <c r="G89" i="2"/>
  <c r="H89" i="2" s="1"/>
  <c r="G88" i="2"/>
  <c r="H88" i="2" s="1"/>
  <c r="N88" i="2" s="1"/>
  <c r="G87" i="2"/>
  <c r="H87" i="2" s="1"/>
  <c r="G86" i="2"/>
  <c r="G83" i="2"/>
  <c r="H83" i="2" s="1"/>
  <c r="N83" i="2" s="1"/>
  <c r="G82" i="2"/>
  <c r="G81" i="2"/>
  <c r="H81" i="2" s="1"/>
  <c r="N81" i="2" s="1"/>
  <c r="G80" i="2"/>
  <c r="H80" i="2" s="1"/>
  <c r="G79" i="2"/>
  <c r="H79" i="2" s="1"/>
  <c r="G78" i="2"/>
  <c r="H78" i="2" s="1"/>
  <c r="C90" i="2"/>
  <c r="C94" i="2"/>
  <c r="D94" i="2" s="1"/>
  <c r="E94" i="2" s="1"/>
  <c r="C93" i="2"/>
  <c r="D93" i="2" s="1"/>
  <c r="E93" i="2" s="1"/>
  <c r="C92" i="2"/>
  <c r="D92" i="2" s="1"/>
  <c r="E92" i="2" s="1"/>
  <c r="C91" i="2"/>
  <c r="D91" i="2" s="1"/>
  <c r="C89" i="2"/>
  <c r="D89" i="2" s="1"/>
  <c r="E89" i="2" s="1"/>
  <c r="C88" i="2"/>
  <c r="D88" i="2" s="1"/>
  <c r="C83" i="2"/>
  <c r="D83" i="2" s="1"/>
  <c r="E83" i="2" s="1"/>
  <c r="C82" i="2"/>
  <c r="D82" i="2" s="1"/>
  <c r="E82" i="2" s="1"/>
  <c r="C81" i="2"/>
  <c r="D81" i="2" s="1"/>
  <c r="E81" i="2" s="1"/>
  <c r="C79" i="2"/>
  <c r="D79" i="2" s="1"/>
  <c r="E79" i="2" s="1"/>
  <c r="C78" i="2"/>
  <c r="D78" i="2" s="1"/>
  <c r="E78" i="2" s="1"/>
  <c r="N61" i="2"/>
  <c r="N60" i="2"/>
  <c r="I57" i="2"/>
  <c r="H57" i="2"/>
  <c r="G57" i="2"/>
  <c r="F57" i="2"/>
  <c r="D57" i="2"/>
  <c r="C57" i="2"/>
  <c r="I56" i="2"/>
  <c r="H56" i="2"/>
  <c r="G56" i="2"/>
  <c r="F56" i="2"/>
  <c r="D56" i="2"/>
  <c r="C56" i="2"/>
  <c r="I55" i="2"/>
  <c r="H55" i="2"/>
  <c r="G55" i="2"/>
  <c r="F55" i="2"/>
  <c r="D55" i="2"/>
  <c r="C55" i="2"/>
  <c r="I54" i="2"/>
  <c r="H54" i="2"/>
  <c r="G54" i="2"/>
  <c r="F54" i="2"/>
  <c r="D54" i="2"/>
  <c r="C54" i="2"/>
  <c r="N41" i="2"/>
  <c r="N76" i="2" s="1"/>
  <c r="N97" i="2" s="1"/>
  <c r="M41" i="2"/>
  <c r="M76" i="2" s="1"/>
  <c r="M97" i="2" s="1"/>
  <c r="N128" i="2"/>
  <c r="N127" i="2"/>
  <c r="N126" i="2"/>
  <c r="N123" i="2"/>
  <c r="N122" i="2"/>
  <c r="N121" i="2"/>
  <c r="N120" i="2"/>
  <c r="N117" i="2"/>
  <c r="N116" i="2"/>
  <c r="N115" i="2"/>
  <c r="N114" i="2"/>
  <c r="N113" i="2"/>
  <c r="N112" i="2"/>
  <c r="N109" i="2"/>
  <c r="N108" i="2"/>
  <c r="N107" i="2"/>
  <c r="N106" i="2"/>
  <c r="N105" i="2"/>
  <c r="N104" i="2"/>
  <c r="N102" i="2"/>
  <c r="N101" i="2"/>
  <c r="N100" i="2"/>
  <c r="N99" i="2"/>
  <c r="N67" i="2"/>
  <c r="N65" i="2"/>
  <c r="N64" i="2"/>
  <c r="N63" i="2"/>
  <c r="N59" i="2"/>
  <c r="N52" i="2"/>
  <c r="N51" i="2"/>
  <c r="N50" i="2"/>
  <c r="N49" i="2"/>
  <c r="N47" i="2"/>
  <c r="N46" i="2"/>
  <c r="N45" i="2"/>
  <c r="N44" i="2"/>
  <c r="N37" i="2"/>
  <c r="N36" i="2"/>
  <c r="N35" i="2"/>
  <c r="N34" i="2"/>
  <c r="N32" i="2"/>
  <c r="N31" i="2"/>
  <c r="N30" i="2"/>
  <c r="N29" i="2"/>
  <c r="N27" i="2"/>
  <c r="N26" i="2"/>
  <c r="N25" i="2"/>
  <c r="N24" i="2"/>
  <c r="N22" i="2"/>
  <c r="N21" i="2"/>
  <c r="N20" i="2"/>
  <c r="N19" i="2"/>
  <c r="N17" i="2"/>
  <c r="M50" i="2"/>
  <c r="M45" i="2"/>
  <c r="M22" i="2"/>
  <c r="I133" i="2"/>
  <c r="H133" i="2"/>
  <c r="G133" i="2"/>
  <c r="I132" i="2"/>
  <c r="H132" i="2"/>
  <c r="G132" i="2"/>
  <c r="I129" i="2"/>
  <c r="H129" i="2"/>
  <c r="G129" i="2"/>
  <c r="I124" i="2"/>
  <c r="H124" i="2"/>
  <c r="G124" i="2"/>
  <c r="I110" i="2"/>
  <c r="H110" i="2"/>
  <c r="G110" i="2"/>
  <c r="I103" i="2"/>
  <c r="H103" i="2"/>
  <c r="G103" i="2"/>
  <c r="I95" i="2"/>
  <c r="I53" i="2"/>
  <c r="H53" i="2"/>
  <c r="G53" i="2"/>
  <c r="I48" i="2"/>
  <c r="H48" i="2"/>
  <c r="G48" i="2"/>
  <c r="I41" i="2"/>
  <c r="I76" i="2" s="1"/>
  <c r="I97" i="2" s="1"/>
  <c r="H41" i="2"/>
  <c r="H76" i="2" s="1"/>
  <c r="H97" i="2" s="1"/>
  <c r="G41" i="2"/>
  <c r="G76" i="2" s="1"/>
  <c r="I38" i="2"/>
  <c r="H38" i="2"/>
  <c r="I33" i="2"/>
  <c r="H33" i="2"/>
  <c r="I28" i="2"/>
  <c r="H28" i="2"/>
  <c r="G28" i="2"/>
  <c r="I23" i="2"/>
  <c r="H23" i="2"/>
  <c r="G23" i="2"/>
  <c r="H18" i="2"/>
  <c r="G18" i="2"/>
  <c r="F133" i="2"/>
  <c r="E133" i="2"/>
  <c r="D133" i="2"/>
  <c r="C133" i="2"/>
  <c r="B133" i="2"/>
  <c r="F132" i="2"/>
  <c r="E132" i="2"/>
  <c r="D132" i="2"/>
  <c r="C132" i="2"/>
  <c r="B132" i="2"/>
  <c r="F129" i="2"/>
  <c r="E129" i="2"/>
  <c r="D129" i="2"/>
  <c r="C129" i="2"/>
  <c r="B129" i="2"/>
  <c r="F124" i="2"/>
  <c r="E124" i="2"/>
  <c r="D124" i="2"/>
  <c r="C124" i="2"/>
  <c r="B124" i="2"/>
  <c r="F110" i="2"/>
  <c r="E110" i="2"/>
  <c r="D110" i="2"/>
  <c r="C110" i="2"/>
  <c r="B110" i="2"/>
  <c r="F103" i="2"/>
  <c r="E103" i="2"/>
  <c r="D103" i="2"/>
  <c r="C103" i="2"/>
  <c r="F95" i="2"/>
  <c r="F53" i="2"/>
  <c r="D53" i="2"/>
  <c r="C53" i="2"/>
  <c r="F48" i="2"/>
  <c r="D48" i="2"/>
  <c r="C48" i="2"/>
  <c r="F38" i="2"/>
  <c r="D38" i="2"/>
  <c r="C38" i="2"/>
  <c r="F33" i="2"/>
  <c r="D33" i="2"/>
  <c r="C33" i="2"/>
  <c r="F28" i="2"/>
  <c r="D28" i="2"/>
  <c r="C28" i="2"/>
  <c r="F23" i="2"/>
  <c r="D23" i="2"/>
  <c r="C23" i="2"/>
  <c r="F18" i="2"/>
  <c r="D18" i="2"/>
  <c r="C18" i="2"/>
  <c r="E41" i="2"/>
  <c r="E76" i="2" s="1"/>
  <c r="E97" i="2" s="1"/>
  <c r="D41" i="2"/>
  <c r="D76" i="2" s="1"/>
  <c r="D97" i="2" s="1"/>
  <c r="C41" i="2"/>
  <c r="C76" i="2" s="1"/>
  <c r="C97" i="2" s="1"/>
  <c r="B103" i="2"/>
  <c r="B95" i="2"/>
  <c r="B38" i="2"/>
  <c r="B33" i="2"/>
  <c r="B28" i="2"/>
  <c r="B23" i="2"/>
  <c r="B18" i="2"/>
  <c r="F41" i="2"/>
  <c r="F76" i="2" s="1"/>
  <c r="F97" i="2" s="1"/>
  <c r="B41" i="2"/>
  <c r="B76" i="2" s="1"/>
  <c r="B97" i="2" s="1"/>
  <c r="B57" i="2"/>
  <c r="B56" i="2"/>
  <c r="B55" i="2"/>
  <c r="B54" i="2"/>
  <c r="B48" i="2"/>
  <c r="B53" i="2"/>
  <c r="E57" i="2" l="1"/>
  <c r="E55" i="2"/>
  <c r="M133" i="2"/>
  <c r="M103" i="2"/>
  <c r="M119" i="2"/>
  <c r="N119" i="2"/>
  <c r="M110" i="2"/>
  <c r="M124" i="2"/>
  <c r="L39" i="2"/>
  <c r="E38" i="2"/>
  <c r="M38" i="2" s="1"/>
  <c r="M80" i="2"/>
  <c r="E91" i="2"/>
  <c r="M91" i="2" s="1"/>
  <c r="M86" i="2"/>
  <c r="E53" i="2"/>
  <c r="M53" i="2" s="1"/>
  <c r="M132" i="2"/>
  <c r="M94" i="2"/>
  <c r="M85" i="2"/>
  <c r="L88" i="2" s="1"/>
  <c r="M87" i="2"/>
  <c r="E56" i="2"/>
  <c r="M47" i="2"/>
  <c r="M57" i="2" s="1"/>
  <c r="L58" i="2"/>
  <c r="L62" i="2" s="1"/>
  <c r="L66" i="2" s="1"/>
  <c r="L68" i="2" s="1"/>
  <c r="M49" i="2"/>
  <c r="E6" i="2" s="1"/>
  <c r="M6" i="2" s="1"/>
  <c r="E33" i="2"/>
  <c r="M33" i="2" s="1"/>
  <c r="E54" i="2"/>
  <c r="M44" i="2"/>
  <c r="E48" i="2"/>
  <c r="M48" i="2" s="1"/>
  <c r="M29" i="2"/>
  <c r="E28" i="2"/>
  <c r="M28" i="2" s="1"/>
  <c r="E23" i="2"/>
  <c r="M23" i="2" s="1"/>
  <c r="I18" i="2"/>
  <c r="I39" i="2" s="1"/>
  <c r="N14" i="2"/>
  <c r="I58" i="2"/>
  <c r="I62" i="2" s="1"/>
  <c r="I66" i="2" s="1"/>
  <c r="I68" i="2" s="1"/>
  <c r="B111" i="2"/>
  <c r="N91" i="2"/>
  <c r="M92" i="2"/>
  <c r="D90" i="2"/>
  <c r="N92" i="2"/>
  <c r="N79" i="2"/>
  <c r="N94" i="2"/>
  <c r="N90" i="2"/>
  <c r="H86" i="2"/>
  <c r="N86" i="2" s="1"/>
  <c r="M93" i="2"/>
  <c r="M89" i="2"/>
  <c r="M83" i="2"/>
  <c r="M82" i="2"/>
  <c r="M81" i="2"/>
  <c r="M79" i="2"/>
  <c r="N93" i="2"/>
  <c r="N89" i="2"/>
  <c r="N87" i="2"/>
  <c r="H82" i="2"/>
  <c r="N82" i="2" s="1"/>
  <c r="N80" i="2"/>
  <c r="N57" i="2"/>
  <c r="M56" i="2"/>
  <c r="N133" i="2"/>
  <c r="G95" i="2"/>
  <c r="N78" i="2"/>
  <c r="N55" i="2"/>
  <c r="N54" i="2"/>
  <c r="N56" i="2"/>
  <c r="C58" i="2"/>
  <c r="C62" i="2" s="1"/>
  <c r="C66" i="2" s="1"/>
  <c r="C68" i="2" s="1"/>
  <c r="C70" i="2" s="1"/>
  <c r="M55" i="2"/>
  <c r="N132" i="2"/>
  <c r="G97" i="2"/>
  <c r="H58" i="2"/>
  <c r="H62" i="2" s="1"/>
  <c r="H66" i="2" s="1"/>
  <c r="H68" i="2" s="1"/>
  <c r="D58" i="2"/>
  <c r="D62" i="2" s="1"/>
  <c r="D66" i="2" s="1"/>
  <c r="D68" i="2" s="1"/>
  <c r="C95" i="2"/>
  <c r="M78" i="2"/>
  <c r="I111" i="2"/>
  <c r="N103" i="2"/>
  <c r="G39" i="2"/>
  <c r="N28" i="2"/>
  <c r="D125" i="2"/>
  <c r="D130" i="2" s="1"/>
  <c r="N38" i="2"/>
  <c r="C111" i="2"/>
  <c r="N110" i="2"/>
  <c r="N129" i="2"/>
  <c r="D111" i="2"/>
  <c r="E125" i="2"/>
  <c r="E130" i="2" s="1"/>
  <c r="H39" i="2"/>
  <c r="H111" i="2"/>
  <c r="C125" i="2"/>
  <c r="B125" i="2"/>
  <c r="B130" i="2" s="1"/>
  <c r="N23" i="2"/>
  <c r="N33" i="2"/>
  <c r="M129" i="2"/>
  <c r="N53" i="2"/>
  <c r="F125" i="2"/>
  <c r="H125" i="2"/>
  <c r="H130" i="2" s="1"/>
  <c r="I125" i="2"/>
  <c r="I130" i="2" s="1"/>
  <c r="N124" i="2"/>
  <c r="N48" i="2"/>
  <c r="G58" i="2"/>
  <c r="G125" i="2"/>
  <c r="G130" i="2" s="1"/>
  <c r="G111" i="2"/>
  <c r="C39" i="2"/>
  <c r="D39" i="2"/>
  <c r="F39" i="2"/>
  <c r="E111" i="2"/>
  <c r="F58" i="2"/>
  <c r="F62" i="2" s="1"/>
  <c r="F111" i="2"/>
  <c r="B39" i="2"/>
  <c r="B58" i="2"/>
  <c r="B62" i="2" s="1"/>
  <c r="M111" i="2" l="1"/>
  <c r="M125" i="2"/>
  <c r="E58" i="2"/>
  <c r="E62" i="2" s="1"/>
  <c r="E66" i="2" s="1"/>
  <c r="E68" i="2" s="1"/>
  <c r="E71" i="2" s="1"/>
  <c r="M54" i="2"/>
  <c r="D95" i="2"/>
  <c r="E90" i="2"/>
  <c r="M90" i="2" s="1"/>
  <c r="L95" i="2"/>
  <c r="E88" i="2"/>
  <c r="N18" i="2"/>
  <c r="N39" i="2" s="1"/>
  <c r="H95" i="2"/>
  <c r="N95" i="2" s="1"/>
  <c r="D71" i="2"/>
  <c r="D70" i="2"/>
  <c r="H71" i="2"/>
  <c r="H70" i="2"/>
  <c r="I71" i="2"/>
  <c r="I70" i="2"/>
  <c r="C71" i="2"/>
  <c r="G62" i="2"/>
  <c r="G66" i="2" s="1"/>
  <c r="G68" i="2" s="1"/>
  <c r="N111" i="2"/>
  <c r="C130" i="2"/>
  <c r="M130" i="2" s="1"/>
  <c r="F130" i="2"/>
  <c r="N130" i="2" s="1"/>
  <c r="N125" i="2"/>
  <c r="N58" i="2"/>
  <c r="N62" i="2" s="1"/>
  <c r="E70" i="2" l="1"/>
  <c r="M58" i="2"/>
  <c r="M62" i="2" s="1"/>
  <c r="E95" i="2"/>
  <c r="M95" i="2" s="1"/>
  <c r="M88" i="2"/>
  <c r="G70" i="2"/>
  <c r="G71" i="2"/>
  <c r="B66" i="2"/>
  <c r="F66" i="2"/>
  <c r="B68" i="2" l="1"/>
  <c r="M66" i="2"/>
  <c r="F68" i="2"/>
  <c r="N66" i="2"/>
  <c r="M68" i="2" l="1"/>
  <c r="B70" i="2"/>
  <c r="B71" i="2"/>
  <c r="F70" i="2"/>
  <c r="N70" i="2" s="1"/>
  <c r="N68" i="2"/>
  <c r="F71" i="2"/>
  <c r="N71" i="2" s="1"/>
  <c r="M14" i="2"/>
  <c r="E18" i="2"/>
  <c r="M18" i="2" s="1"/>
  <c r="M39" i="2" s="1"/>
  <c r="M71" i="2" l="1"/>
  <c r="M70" i="2"/>
  <c r="E39" i="2"/>
</calcChain>
</file>

<file path=xl/sharedStrings.xml><?xml version="1.0" encoding="utf-8"?>
<sst xmlns="http://schemas.openxmlformats.org/spreadsheetml/2006/main" count="295" uniqueCount="151">
  <si>
    <t>Headquarters: West Fargo, ND</t>
  </si>
  <si>
    <t>One of the largest dealers of agricultural and construction equipment, largest dealer for CNH in the world.</t>
  </si>
  <si>
    <t>Revenue</t>
  </si>
  <si>
    <t>Total Rev</t>
  </si>
  <si>
    <t>Q123</t>
  </si>
  <si>
    <t>Q124</t>
  </si>
  <si>
    <t>Equip COGS</t>
  </si>
  <si>
    <t>Parts COGS</t>
  </si>
  <si>
    <t>Service COGS</t>
  </si>
  <si>
    <t>Rental COGS</t>
  </si>
  <si>
    <t>Total COGS</t>
  </si>
  <si>
    <t>Equip GM</t>
  </si>
  <si>
    <t>Parts GM</t>
  </si>
  <si>
    <t>Service GM</t>
  </si>
  <si>
    <t>Rental GM</t>
  </si>
  <si>
    <t>Total GM</t>
  </si>
  <si>
    <t>OpEx</t>
  </si>
  <si>
    <t>OpInc</t>
  </si>
  <si>
    <t>Int and other income</t>
  </si>
  <si>
    <t>Other int exp</t>
  </si>
  <si>
    <t>Floorplan int exp</t>
  </si>
  <si>
    <t>PreTax Inc</t>
  </si>
  <si>
    <t>Ag Equip Rev</t>
  </si>
  <si>
    <t>Const Equip Rev</t>
  </si>
  <si>
    <t>Ag Service Rev</t>
  </si>
  <si>
    <t>Europe Equip Rev</t>
  </si>
  <si>
    <t>Austrailia Equip Rev</t>
  </si>
  <si>
    <t>Total Equip</t>
  </si>
  <si>
    <t>Europe Service Rev</t>
  </si>
  <si>
    <t>Austrailia Service Rev</t>
  </si>
  <si>
    <t>Total Service</t>
  </si>
  <si>
    <t>Ag Parts Rev</t>
  </si>
  <si>
    <t>Const Parts Rev</t>
  </si>
  <si>
    <t>Europe Parts Rev</t>
  </si>
  <si>
    <t>Australia Parts Rev</t>
  </si>
  <si>
    <t>Total Parts</t>
  </si>
  <si>
    <t>Ag Other Rev</t>
  </si>
  <si>
    <t>Const Other Rev</t>
  </si>
  <si>
    <t>Const Service Rev</t>
  </si>
  <si>
    <t>Total Other</t>
  </si>
  <si>
    <t>Europe Other Rev</t>
  </si>
  <si>
    <t>Australia Other Rev</t>
  </si>
  <si>
    <t>Ag Rental</t>
  </si>
  <si>
    <t>Const Rental</t>
  </si>
  <si>
    <t>Europe Rental</t>
  </si>
  <si>
    <t>Australia Rental</t>
  </si>
  <si>
    <t>Total Rental</t>
  </si>
  <si>
    <t>NI</t>
  </si>
  <si>
    <t>D&amp;A</t>
  </si>
  <si>
    <t>Def IncTax</t>
  </si>
  <si>
    <t>Stock-based comp</t>
  </si>
  <si>
    <t>Other</t>
  </si>
  <si>
    <t>Delta AR</t>
  </si>
  <si>
    <t>Delta Prepays and other</t>
  </si>
  <si>
    <t>Delta Inventories</t>
  </si>
  <si>
    <t>Delta Floorplan payable</t>
  </si>
  <si>
    <t>Delta def rev</t>
  </si>
  <si>
    <t>Delta AP</t>
  </si>
  <si>
    <t>CFFO</t>
  </si>
  <si>
    <t>Prov for IncTax</t>
  </si>
  <si>
    <t>Net income</t>
  </si>
  <si>
    <t>EPS Basic</t>
  </si>
  <si>
    <t>EPS Diluted</t>
  </si>
  <si>
    <t>Basic Shares</t>
  </si>
  <si>
    <t>Diluted Shares</t>
  </si>
  <si>
    <t>Cash</t>
  </si>
  <si>
    <t>AR</t>
  </si>
  <si>
    <t>Inv</t>
  </si>
  <si>
    <t>Prepays</t>
  </si>
  <si>
    <t>Current Assets</t>
  </si>
  <si>
    <t>Q223</t>
  </si>
  <si>
    <t>Q323</t>
  </si>
  <si>
    <t>Q423</t>
  </si>
  <si>
    <t>PPE</t>
  </si>
  <si>
    <t>OpLease Assets</t>
  </si>
  <si>
    <t>Goodwill</t>
  </si>
  <si>
    <t>Intangibles</t>
  </si>
  <si>
    <t>Total Noncurrent</t>
  </si>
  <si>
    <t>Total Assets</t>
  </si>
  <si>
    <t>Balance Sheet</t>
  </si>
  <si>
    <t>Cash flow</t>
  </si>
  <si>
    <t>Inc Statement</t>
  </si>
  <si>
    <t>AP</t>
  </si>
  <si>
    <t>Floorplan</t>
  </si>
  <si>
    <t>CPLTD</t>
  </si>
  <si>
    <t>Curr OpLease</t>
  </si>
  <si>
    <t>Def Rev</t>
  </si>
  <si>
    <t>Accrued Exp</t>
  </si>
  <si>
    <t>Current Libs</t>
  </si>
  <si>
    <t>LTD</t>
  </si>
  <si>
    <t>OpLease</t>
  </si>
  <si>
    <t>Other LT Libs</t>
  </si>
  <si>
    <t>Total LT Libs</t>
  </si>
  <si>
    <t>Total Libs</t>
  </si>
  <si>
    <t>Capital</t>
  </si>
  <si>
    <t>Ret Earnings</t>
  </si>
  <si>
    <t>Other Inc</t>
  </si>
  <si>
    <t>Total Equity</t>
  </si>
  <si>
    <t>Lib+Equity</t>
  </si>
  <si>
    <t>Floorplan Margin</t>
  </si>
  <si>
    <t>Floorplan Ratio</t>
  </si>
  <si>
    <t>Q424</t>
  </si>
  <si>
    <t>Q324</t>
  </si>
  <si>
    <t>Q224</t>
  </si>
  <si>
    <t>Impairment of Goodwill</t>
  </si>
  <si>
    <t>Impairment of Intangible</t>
  </si>
  <si>
    <t>Impairment</t>
  </si>
  <si>
    <t>Sale-Leaseback finance mod</t>
  </si>
  <si>
    <t>Gain on extinguishment of debt</t>
  </si>
  <si>
    <t>Noncash lease expense</t>
  </si>
  <si>
    <t>Noncash int</t>
  </si>
  <si>
    <t>Gain on sale of prop</t>
  </si>
  <si>
    <t>IncTaxPayable</t>
  </si>
  <si>
    <t>Employees</t>
  </si>
  <si>
    <t>Locations</t>
  </si>
  <si>
    <t>Python script to show some graphs - histograms, delta of revenues, CFFO, other useful ratios.</t>
  </si>
  <si>
    <t>Web framework to view everything: Notes, models, etc. - 'real time' stock price and/or news feed on stock ticker/business.</t>
  </si>
  <si>
    <t>Purchased J.J. O'Connor &amp; Sons Pty. Ltd. 15 CaseIH dealerships located in Australia. $66.5M cash paid - financed through available cash resources and LOC.</t>
  </si>
  <si>
    <t>*Purchase of JJ O'Connor</t>
  </si>
  <si>
    <t xml:space="preserve">Purchaed Heartland Agriculture, LLC, Heartland Solutions, LLC, and Heartland Leveraged Lender, LLC. 12 CaseIH commercial application ag locations. Opportunities for synergies due to overlap of footprints to package deals that include both commercial application equipment and other ag equipment to commercial customers. Purchased for $94.4M, financed through cash resources and LOC availability. </t>
  </si>
  <si>
    <t>Beyond equipment sales: Rentals, equipment transportation, farm data management products, GPS signal subscriptions, and CNH Industrial Finance/Insurance products.</t>
  </si>
  <si>
    <t>ALTG</t>
  </si>
  <si>
    <t>IPW</t>
  </si>
  <si>
    <t>iPower - consumer grade</t>
  </si>
  <si>
    <t>Alta Equipment Group, Inc - Construction</t>
  </si>
  <si>
    <t>Inventory Turnover (Model)</t>
  </si>
  <si>
    <t>Inventory Turnover (Reported)</t>
  </si>
  <si>
    <t>Absorption</t>
  </si>
  <si>
    <t>Same-store sales increase</t>
  </si>
  <si>
    <t>Inventory Equity (Model)</t>
  </si>
  <si>
    <t>Inventory Equity (Reported)</t>
  </si>
  <si>
    <t>RDO Equipment Co.</t>
  </si>
  <si>
    <t>Butler Machinery Co.</t>
  </si>
  <si>
    <t>Zieler Inc.</t>
  </si>
  <si>
    <t>Brandt Holdints Co.</t>
  </si>
  <si>
    <t>Wagner Equipment Co.</t>
  </si>
  <si>
    <r>
      <t>21</t>
    </r>
    <r>
      <rPr>
        <vertAlign val="superscript"/>
        <sz val="12"/>
        <color theme="1"/>
        <rFont val="Aptos"/>
        <family val="2"/>
      </rPr>
      <t>st</t>
    </r>
    <r>
      <rPr>
        <sz val="12"/>
        <color theme="1"/>
        <rFont val="Aptos"/>
        <family val="2"/>
      </rPr>
      <t xml:space="preserve"> Century Equipment, LLC</t>
    </r>
  </si>
  <si>
    <t>AKRS Equipment Solutions, Inc.</t>
  </si>
  <si>
    <t>C&amp;B Operations, LLC</t>
  </si>
  <si>
    <t>Van Wall Equipment, Inc.</t>
  </si>
  <si>
    <t>Competition: Multi-location, regional operators.</t>
  </si>
  <si>
    <t>Peer Group (according to some guy on seeking alpha):</t>
  </si>
  <si>
    <t>use for scripting</t>
  </si>
  <si>
    <t>q</t>
  </si>
  <si>
    <t>k</t>
  </si>
  <si>
    <t>Equipment Rev</t>
  </si>
  <si>
    <t>Parts Rev</t>
  </si>
  <si>
    <t>Service Rev</t>
  </si>
  <si>
    <t>Rental and other Rev</t>
  </si>
  <si>
    <t>Timeframe</t>
  </si>
  <si>
    <t>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</si>
</sst>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
    <numFmt numFmtId="165" formatCode="&quot;$&quot;#,##0.00"/>
    <numFmt numFmtId="166" formatCode="0.0%"/>
  </numFmts>
  <fonts count="4" x14ac:knownFonts="1">
    <font>
      <sz val="11"/>
      <color theme="1"/>
      <name val="Calibri"/>
      <family val="2"/>
      <scheme val="minor"/>
    </font>
    <font>
      <b/>
      <sz val="11"/>
      <color theme="1"/>
      <name val="Calibri"/>
      <family val="2"/>
      <scheme val="minor"/>
    </font>
    <font>
      <sz val="12"/>
      <color theme="1"/>
      <name val="Aptos"/>
      <family val="2"/>
    </font>
    <font>
      <vertAlign val="superscript"/>
      <sz val="12"/>
      <color theme="1"/>
      <name val="Aptos"/>
      <family val="2"/>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15">
    <xf numFmtId="0" fontId="0" fillId="0" borderId="0" xfId="0"/>
    <xf numFmtId="0" fontId="1" fillId="0" borderId="0" xfId="0" applyFont="1"/>
    <xf numFmtId="164" fontId="0" fillId="0" borderId="0" xfId="0" applyNumberFormat="1"/>
    <xf numFmtId="164" fontId="1" fillId="0" borderId="0" xfId="0" applyNumberFormat="1" applyFont="1"/>
    <xf numFmtId="3" fontId="0" fillId="0" borderId="0" xfId="0" applyNumberFormat="1"/>
    <xf numFmtId="165" fontId="1" fillId="0" borderId="0" xfId="0" applyNumberFormat="1" applyFont="1"/>
    <xf numFmtId="2" fontId="1" fillId="0" borderId="0" xfId="0" applyNumberFormat="1" applyFont="1"/>
    <xf numFmtId="3" fontId="1" fillId="0" borderId="0" xfId="0" applyNumberFormat="1" applyFont="1"/>
    <xf numFmtId="0" fontId="0" fillId="0" borderId="0" xfId="0" applyAlignment="1">
      <alignment horizontal="center"/>
    </xf>
    <xf numFmtId="4" fontId="0" fillId="0" borderId="0" xfId="0" applyNumberFormat="1"/>
    <xf numFmtId="166" fontId="0" fillId="0" borderId="0" xfId="0" applyNumberFormat="1"/>
    <xf numFmtId="39" fontId="0" fillId="0" borderId="0" xfId="0" applyNumberFormat="1"/>
    <xf numFmtId="4" fontId="1" fillId="0" borderId="0" xfId="0" applyNumberFormat="1" applyFont="1"/>
    <xf numFmtId="39" fontId="1" fillId="0" borderId="0" xfId="0" applyNumberFormat="1" applyFont="1"/>
    <xf numFmtId="3" fontId="1" fillId="0" borderId="1" xfId="0" applyNumberFormat="1"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D22"/>
  <sheetViews>
    <sheetView workbookViewId="0">
      <selection activeCell="C38" sqref="C38"/>
    </sheetView>
  </sheetViews>
  <sheetFormatPr defaultRowHeight="14.5" x14ac:dyDescent="0.35"/>
  <sheetData>
    <row r="2" spans="2:4" x14ac:dyDescent="0.35">
      <c r="B2" t="s">
        <v>1</v>
      </c>
    </row>
    <row r="3" spans="2:4" x14ac:dyDescent="0.35">
      <c r="B3" t="s">
        <v>0</v>
      </c>
    </row>
    <row r="7" spans="2:4" x14ac:dyDescent="0.35">
      <c r="B7" t="s">
        <v>120</v>
      </c>
    </row>
    <row r="9" spans="2:4" x14ac:dyDescent="0.35">
      <c r="B9" t="s">
        <v>141</v>
      </c>
    </row>
    <row r="10" spans="2:4" x14ac:dyDescent="0.35">
      <c r="C10" t="s">
        <v>121</v>
      </c>
      <c r="D10" t="s">
        <v>124</v>
      </c>
    </row>
    <row r="11" spans="2:4" x14ac:dyDescent="0.35">
      <c r="C11" t="s">
        <v>122</v>
      </c>
      <c r="D11" t="s">
        <v>123</v>
      </c>
    </row>
    <row r="13" spans="2:4" x14ac:dyDescent="0.35">
      <c r="B13" t="s">
        <v>140</v>
      </c>
    </row>
    <row r="14" spans="2:4" x14ac:dyDescent="0.35">
      <c r="C14" t="s">
        <v>131</v>
      </c>
    </row>
    <row r="15" spans="2:4" x14ac:dyDescent="0.35">
      <c r="C15" t="s">
        <v>132</v>
      </c>
    </row>
    <row r="16" spans="2:4" x14ac:dyDescent="0.35">
      <c r="C16" t="s">
        <v>133</v>
      </c>
    </row>
    <row r="17" spans="3:3" x14ac:dyDescent="0.35">
      <c r="C17" t="s">
        <v>134</v>
      </c>
    </row>
    <row r="18" spans="3:3" x14ac:dyDescent="0.35">
      <c r="C18" t="s">
        <v>135</v>
      </c>
    </row>
    <row r="19" spans="3:3" ht="18" x14ac:dyDescent="0.4">
      <c r="C19" t="s">
        <v>136</v>
      </c>
    </row>
    <row r="20" spans="3:3" x14ac:dyDescent="0.35">
      <c r="C20" t="s">
        <v>137</v>
      </c>
    </row>
    <row r="21" spans="3:3" x14ac:dyDescent="0.35">
      <c r="C21" t="s">
        <v>138</v>
      </c>
    </row>
    <row r="22" spans="3:3" x14ac:dyDescent="0.35">
      <c r="C22" t="s">
        <v>139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32B8A9-72BD-4CFE-8449-3B24FC76CA39}">
  <dimension ref="A1:B2"/>
  <sheetViews>
    <sheetView workbookViewId="0">
      <selection activeCell="B33" sqref="B33"/>
    </sheetView>
  </sheetViews>
  <sheetFormatPr defaultRowHeight="14.5" x14ac:dyDescent="0.35"/>
  <cols>
    <col min="1" max="1" width="8.7265625" style="8"/>
    <col min="2" max="2" width="104.08984375" bestFit="1" customWidth="1"/>
  </cols>
  <sheetData>
    <row r="1" spans="1:2" x14ac:dyDescent="0.35">
      <c r="A1" s="8">
        <v>1</v>
      </c>
      <c r="B1" t="s">
        <v>115</v>
      </c>
    </row>
    <row r="2" spans="1:2" x14ac:dyDescent="0.35">
      <c r="A2" s="8">
        <v>2</v>
      </c>
      <c r="B2" t="s">
        <v>116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EA54E0-299A-42E8-83C7-403ECF34C403}">
  <dimension ref="B2:C3"/>
  <sheetViews>
    <sheetView workbookViewId="0">
      <selection activeCell="D11" sqref="D11"/>
    </sheetView>
  </sheetViews>
  <sheetFormatPr defaultRowHeight="14.5" x14ac:dyDescent="0.35"/>
  <sheetData>
    <row r="2" spans="2:3" x14ac:dyDescent="0.35">
      <c r="B2" t="s">
        <v>72</v>
      </c>
      <c r="C2" t="s">
        <v>117</v>
      </c>
    </row>
    <row r="3" spans="2:3" x14ac:dyDescent="0.35">
      <c r="B3" t="s">
        <v>71</v>
      </c>
      <c r="C3" t="s">
        <v>119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AC6758-3054-45BD-A746-0979BE500444}">
  <dimension ref="A1:Q133"/>
  <sheetViews>
    <sheetView tabSelected="1" topLeftCell="A25" workbookViewId="0">
      <pane xSplit="1" topLeftCell="H1" activePane="topRight" state="frozen"/>
      <selection activeCell="A97" sqref="A97"/>
      <selection pane="topRight" activeCell="N42" sqref="N1:N1048576"/>
    </sheetView>
  </sheetViews>
  <sheetFormatPr defaultRowHeight="14.5" x14ac:dyDescent="0.35"/>
  <cols>
    <col min="1" max="1" width="27.36328125" bestFit="1" customWidth="1"/>
    <col min="2" max="3" width="9.90625" bestFit="1" customWidth="1"/>
    <col min="4" max="4" width="9.7265625" bestFit="1" customWidth="1"/>
    <col min="5" max="5" width="10.36328125" bestFit="1" customWidth="1"/>
    <col min="6" max="7" width="9.90625" bestFit="1" customWidth="1"/>
    <col min="8" max="9" width="9.7265625" bestFit="1" customWidth="1"/>
    <col min="10" max="10" width="9.7265625" customWidth="1"/>
    <col min="12" max="12" width="9.90625" hidden="1" customWidth="1"/>
    <col min="13" max="14" width="9.90625" bestFit="1" customWidth="1"/>
  </cols>
  <sheetData>
    <row r="1" spans="1:14" x14ac:dyDescent="0.35">
      <c r="A1" t="s">
        <v>142</v>
      </c>
      <c r="B1" t="s">
        <v>143</v>
      </c>
      <c r="C1" t="s">
        <v>143</v>
      </c>
      <c r="D1" t="s">
        <v>143</v>
      </c>
      <c r="E1" t="s">
        <v>143</v>
      </c>
      <c r="F1" t="s">
        <v>143</v>
      </c>
      <c r="G1" t="s">
        <v>143</v>
      </c>
      <c r="H1" t="s">
        <v>143</v>
      </c>
      <c r="J1" s="8" t="s">
        <v>150</v>
      </c>
      <c r="M1" t="s">
        <v>144</v>
      </c>
    </row>
    <row r="2" spans="1:14" s="1" customFormat="1" x14ac:dyDescent="0.35">
      <c r="A2" s="1" t="s">
        <v>149</v>
      </c>
      <c r="B2" s="1" t="s">
        <v>4</v>
      </c>
      <c r="C2" s="1" t="s">
        <v>70</v>
      </c>
      <c r="D2" s="1" t="s">
        <v>71</v>
      </c>
      <c r="E2" s="1" t="s">
        <v>72</v>
      </c>
      <c r="F2" s="1" t="s">
        <v>5</v>
      </c>
      <c r="G2" s="1" t="s">
        <v>103</v>
      </c>
      <c r="H2" s="1" t="s">
        <v>102</v>
      </c>
      <c r="I2" s="1" t="s">
        <v>101</v>
      </c>
      <c r="J2" s="8" t="s">
        <v>150</v>
      </c>
      <c r="K2" s="1">
        <v>2022</v>
      </c>
      <c r="M2" s="1">
        <v>2023</v>
      </c>
      <c r="N2" s="1">
        <v>2024</v>
      </c>
    </row>
    <row r="3" spans="1:14" s="1" customFormat="1" x14ac:dyDescent="0.35">
      <c r="J3" s="8" t="s">
        <v>150</v>
      </c>
    </row>
    <row r="4" spans="1:14" x14ac:dyDescent="0.35">
      <c r="A4" s="1" t="s">
        <v>114</v>
      </c>
      <c r="E4">
        <v>148</v>
      </c>
      <c r="J4" s="8" t="s">
        <v>150</v>
      </c>
      <c r="M4">
        <f t="shared" ref="M4:M11" si="0">E4</f>
        <v>148</v>
      </c>
    </row>
    <row r="5" spans="1:14" s="4" customFormat="1" x14ac:dyDescent="0.35">
      <c r="A5" s="7" t="s">
        <v>113</v>
      </c>
      <c r="E5" s="4">
        <v>3338</v>
      </c>
      <c r="J5" s="8" t="s">
        <v>150</v>
      </c>
      <c r="M5" s="4">
        <f t="shared" si="0"/>
        <v>3338</v>
      </c>
    </row>
    <row r="6" spans="1:14" s="7" customFormat="1" x14ac:dyDescent="0.35">
      <c r="A6" s="7" t="s">
        <v>125</v>
      </c>
      <c r="E6" s="12">
        <f>(M49+M50)/AVERAGE(B101:E101)</f>
        <v>2.0386239605066807</v>
      </c>
      <c r="J6" s="8" t="s">
        <v>150</v>
      </c>
      <c r="K6" s="12"/>
      <c r="M6" s="12">
        <f t="shared" si="0"/>
        <v>2.0386239605066807</v>
      </c>
    </row>
    <row r="7" spans="1:14" s="4" customFormat="1" x14ac:dyDescent="0.35">
      <c r="A7" s="7" t="s">
        <v>126</v>
      </c>
      <c r="E7" s="9">
        <v>2.2000000000000002</v>
      </c>
      <c r="J7" s="8" t="s">
        <v>150</v>
      </c>
      <c r="K7" s="9">
        <v>3.3</v>
      </c>
      <c r="M7" s="9">
        <f t="shared" si="0"/>
        <v>2.2000000000000002</v>
      </c>
    </row>
    <row r="8" spans="1:14" s="7" customFormat="1" x14ac:dyDescent="0.35">
      <c r="A8" s="7" t="s">
        <v>129</v>
      </c>
      <c r="B8" s="13">
        <f t="shared" ref="B8:G8" si="1">(B101-B113)/B101</f>
        <v>0.48141670003301512</v>
      </c>
      <c r="C8" s="13">
        <f t="shared" si="1"/>
        <v>0.39175865072128907</v>
      </c>
      <c r="D8" s="13">
        <f t="shared" si="1"/>
        <v>0.34122126286542281</v>
      </c>
      <c r="E8" s="13">
        <f t="shared" si="1"/>
        <v>0.31402500326162869</v>
      </c>
      <c r="F8" s="13">
        <f t="shared" si="1"/>
        <v>0.28309816598846521</v>
      </c>
      <c r="G8" s="13">
        <f t="shared" si="1"/>
        <v>0.23519300831676221</v>
      </c>
      <c r="H8" s="14"/>
      <c r="J8" s="8" t="s">
        <v>150</v>
      </c>
      <c r="K8" s="13"/>
      <c r="M8" s="13">
        <f t="shared" si="0"/>
        <v>0.31402500326162869</v>
      </c>
    </row>
    <row r="9" spans="1:14" s="4" customFormat="1" x14ac:dyDescent="0.35">
      <c r="A9" s="7" t="s">
        <v>130</v>
      </c>
      <c r="B9" s="11"/>
      <c r="C9" s="11"/>
      <c r="D9" s="11"/>
      <c r="E9" s="11">
        <v>0.182</v>
      </c>
      <c r="F9" s="11"/>
      <c r="G9" s="11"/>
      <c r="J9" s="8" t="s">
        <v>150</v>
      </c>
      <c r="K9" s="11">
        <v>51.7</v>
      </c>
      <c r="M9" s="11">
        <f t="shared" si="0"/>
        <v>0.182</v>
      </c>
    </row>
    <row r="10" spans="1:14" s="4" customFormat="1" x14ac:dyDescent="0.35">
      <c r="A10" s="7" t="s">
        <v>127</v>
      </c>
      <c r="E10" s="9">
        <v>0.79</v>
      </c>
      <c r="J10" s="8" t="s">
        <v>150</v>
      </c>
      <c r="K10" s="9">
        <v>0.82699999999999996</v>
      </c>
      <c r="M10" s="9">
        <f t="shared" si="0"/>
        <v>0.79</v>
      </c>
    </row>
    <row r="11" spans="1:14" s="4" customFormat="1" x14ac:dyDescent="0.35">
      <c r="A11" s="7" t="s">
        <v>128</v>
      </c>
      <c r="E11" s="10">
        <v>0.10100000000000001</v>
      </c>
      <c r="J11" s="8" t="s">
        <v>150</v>
      </c>
      <c r="K11" s="10"/>
      <c r="M11" s="10">
        <f t="shared" si="0"/>
        <v>0.10100000000000001</v>
      </c>
    </row>
    <row r="12" spans="1:14" s="4" customFormat="1" x14ac:dyDescent="0.35">
      <c r="A12" s="7"/>
      <c r="E12" s="10"/>
      <c r="J12" s="8" t="s">
        <v>150</v>
      </c>
    </row>
    <row r="13" spans="1:14" ht="14" customHeight="1" x14ac:dyDescent="0.35">
      <c r="E13" t="s">
        <v>118</v>
      </c>
      <c r="J13" s="8" t="s">
        <v>150</v>
      </c>
    </row>
    <row r="14" spans="1:14" x14ac:dyDescent="0.35">
      <c r="A14" t="s">
        <v>22</v>
      </c>
      <c r="B14" s="2">
        <v>325660</v>
      </c>
      <c r="C14" s="2">
        <v>352533</v>
      </c>
      <c r="D14" s="2">
        <v>408648</v>
      </c>
      <c r="E14" s="2">
        <f>L14-D14-C14-B14</f>
        <v>537169</v>
      </c>
      <c r="F14" s="2">
        <v>338713</v>
      </c>
      <c r="G14" s="2">
        <v>312556</v>
      </c>
      <c r="H14" s="2">
        <v>358430</v>
      </c>
      <c r="I14" s="2"/>
      <c r="J14" s="8" t="s">
        <v>150</v>
      </c>
      <c r="L14" s="2">
        <v>1624010</v>
      </c>
      <c r="M14" s="2">
        <f>SUM(B14:E14)</f>
        <v>1624010</v>
      </c>
      <c r="N14" s="2">
        <f>SUM(F14:I14)</f>
        <v>1009699</v>
      </c>
    </row>
    <row r="15" spans="1:14" x14ac:dyDescent="0.35">
      <c r="A15" t="s">
        <v>23</v>
      </c>
      <c r="B15" s="2">
        <v>45458</v>
      </c>
      <c r="C15" s="2">
        <v>53697</v>
      </c>
      <c r="D15" s="2">
        <v>47364</v>
      </c>
      <c r="E15" s="2">
        <f t="shared" ref="E15:E37" si="2">L15-D15-C15-B15</f>
        <v>74621</v>
      </c>
      <c r="F15" s="2">
        <v>47095</v>
      </c>
      <c r="G15" s="2">
        <v>52844</v>
      </c>
      <c r="H15" s="2">
        <v>53770</v>
      </c>
      <c r="I15" s="2"/>
      <c r="J15" s="8" t="s">
        <v>150</v>
      </c>
      <c r="L15" s="2">
        <v>221140</v>
      </c>
      <c r="M15" s="2">
        <f t="shared" ref="M15:M79" si="3">SUM(B15:E15)</f>
        <v>221140</v>
      </c>
      <c r="N15" s="2">
        <f>SUM(F15:I15)</f>
        <v>153709</v>
      </c>
    </row>
    <row r="16" spans="1:14" x14ac:dyDescent="0.35">
      <c r="A16" t="s">
        <v>25</v>
      </c>
      <c r="B16" s="2">
        <v>58258</v>
      </c>
      <c r="C16" s="2">
        <v>73892</v>
      </c>
      <c r="D16" s="2">
        <v>65763</v>
      </c>
      <c r="E16" s="2">
        <f t="shared" si="2"/>
        <v>47510</v>
      </c>
      <c r="F16" s="2">
        <v>47499</v>
      </c>
      <c r="G16" s="2">
        <v>49146</v>
      </c>
      <c r="H16" s="2">
        <v>41893</v>
      </c>
      <c r="I16" s="2"/>
      <c r="J16" s="8" t="s">
        <v>150</v>
      </c>
      <c r="L16" s="2">
        <v>245423</v>
      </c>
      <c r="M16" s="2">
        <f t="shared" si="3"/>
        <v>245423</v>
      </c>
      <c r="N16" s="2">
        <f>SUM(F16:I16)</f>
        <v>138538</v>
      </c>
    </row>
    <row r="17" spans="1:14" x14ac:dyDescent="0.35">
      <c r="A17" t="s">
        <v>26</v>
      </c>
      <c r="B17" s="2"/>
      <c r="C17" s="2"/>
      <c r="D17" s="2"/>
      <c r="E17" s="2">
        <f t="shared" si="2"/>
        <v>54743</v>
      </c>
      <c r="F17" s="2">
        <v>34782</v>
      </c>
      <c r="G17" s="2">
        <v>50687</v>
      </c>
      <c r="H17" s="2">
        <v>41054</v>
      </c>
      <c r="I17" s="2"/>
      <c r="J17" s="8" t="s">
        <v>150</v>
      </c>
      <c r="L17" s="2">
        <v>54743</v>
      </c>
      <c r="M17" s="2">
        <f t="shared" si="3"/>
        <v>54743</v>
      </c>
      <c r="N17" s="2">
        <f>SUM(F17:I17)</f>
        <v>126523</v>
      </c>
    </row>
    <row r="18" spans="1:14" s="1" customFormat="1" x14ac:dyDescent="0.35">
      <c r="A18" s="1" t="s">
        <v>27</v>
      </c>
      <c r="B18" s="3">
        <f>SUM(B14:B17)</f>
        <v>429376</v>
      </c>
      <c r="C18" s="3">
        <f t="shared" ref="C18:I18" si="4">SUM(C14:C17)</f>
        <v>480122</v>
      </c>
      <c r="D18" s="3">
        <f t="shared" si="4"/>
        <v>521775</v>
      </c>
      <c r="E18" s="3">
        <f t="shared" si="4"/>
        <v>714043</v>
      </c>
      <c r="F18" s="3">
        <f t="shared" si="4"/>
        <v>468089</v>
      </c>
      <c r="G18" s="3">
        <f t="shared" si="4"/>
        <v>465233</v>
      </c>
      <c r="H18" s="3">
        <f t="shared" si="4"/>
        <v>495147</v>
      </c>
      <c r="I18" s="3">
        <f t="shared" si="4"/>
        <v>0</v>
      </c>
      <c r="J18" s="8" t="s">
        <v>150</v>
      </c>
      <c r="L18" s="3">
        <f>SUM(L14:L17)</f>
        <v>2145316</v>
      </c>
      <c r="M18" s="3">
        <f t="shared" si="3"/>
        <v>2145316</v>
      </c>
      <c r="N18" s="3">
        <f>SUM(F18:I18)</f>
        <v>1428469</v>
      </c>
    </row>
    <row r="19" spans="1:14" x14ac:dyDescent="0.35">
      <c r="A19" t="s">
        <v>31</v>
      </c>
      <c r="B19" s="2">
        <v>69547</v>
      </c>
      <c r="C19" s="2">
        <v>82246</v>
      </c>
      <c r="D19" s="2">
        <v>86173</v>
      </c>
      <c r="E19" s="2">
        <f t="shared" si="2"/>
        <v>55588</v>
      </c>
      <c r="F19" s="2">
        <v>74965</v>
      </c>
      <c r="G19" s="2">
        <v>75430</v>
      </c>
      <c r="H19" s="2">
        <v>84763</v>
      </c>
      <c r="I19" s="2"/>
      <c r="J19" s="8" t="s">
        <v>150</v>
      </c>
      <c r="L19" s="2">
        <v>293554</v>
      </c>
      <c r="M19" s="2">
        <f t="shared" si="3"/>
        <v>293554</v>
      </c>
      <c r="N19" s="2">
        <f>SUM(F19:I19)</f>
        <v>235158</v>
      </c>
    </row>
    <row r="20" spans="1:14" x14ac:dyDescent="0.35">
      <c r="A20" t="s">
        <v>32</v>
      </c>
      <c r="B20" s="2">
        <v>13664</v>
      </c>
      <c r="C20" s="2">
        <v>12537</v>
      </c>
      <c r="D20" s="2">
        <v>12943</v>
      </c>
      <c r="E20" s="2">
        <f t="shared" si="2"/>
        <v>11875</v>
      </c>
      <c r="F20" s="2">
        <v>11830</v>
      </c>
      <c r="G20" s="2">
        <v>11049</v>
      </c>
      <c r="H20" s="2">
        <v>13704</v>
      </c>
      <c r="I20" s="2"/>
      <c r="J20" s="8" t="s">
        <v>150</v>
      </c>
      <c r="L20" s="2">
        <v>51019</v>
      </c>
      <c r="M20" s="2">
        <f t="shared" si="3"/>
        <v>51019</v>
      </c>
      <c r="N20" s="2">
        <f>SUM(F20:I20)</f>
        <v>36583</v>
      </c>
    </row>
    <row r="21" spans="1:14" x14ac:dyDescent="0.35">
      <c r="A21" t="s">
        <v>33</v>
      </c>
      <c r="B21" s="2">
        <v>13395</v>
      </c>
      <c r="C21" s="2">
        <v>13727</v>
      </c>
      <c r="D21" s="2">
        <v>15846</v>
      </c>
      <c r="E21" s="2">
        <f t="shared" si="2"/>
        <v>11388</v>
      </c>
      <c r="F21" s="2">
        <v>14524</v>
      </c>
      <c r="G21" s="2">
        <v>15407</v>
      </c>
      <c r="H21" s="2">
        <v>16290</v>
      </c>
      <c r="I21" s="2"/>
      <c r="J21" s="8" t="s">
        <v>150</v>
      </c>
      <c r="L21" s="2">
        <v>54356</v>
      </c>
      <c r="M21" s="2">
        <f t="shared" si="3"/>
        <v>54356</v>
      </c>
      <c r="N21" s="2">
        <f>SUM(F21:I21)</f>
        <v>46221</v>
      </c>
    </row>
    <row r="22" spans="1:14" x14ac:dyDescent="0.35">
      <c r="A22" t="s">
        <v>34</v>
      </c>
      <c r="B22" s="2"/>
      <c r="C22" s="2"/>
      <c r="D22" s="2"/>
      <c r="E22" s="2">
        <f t="shared" si="2"/>
        <v>11912</v>
      </c>
      <c r="F22" s="2">
        <v>6907</v>
      </c>
      <c r="G22" s="2">
        <v>7919</v>
      </c>
      <c r="H22" s="2">
        <v>6329</v>
      </c>
      <c r="I22" s="2"/>
      <c r="J22" s="8" t="s">
        <v>150</v>
      </c>
      <c r="L22" s="2">
        <v>11912</v>
      </c>
      <c r="M22" s="2">
        <f t="shared" si="3"/>
        <v>11912</v>
      </c>
      <c r="N22" s="2">
        <f>SUM(F22:I22)</f>
        <v>21155</v>
      </c>
    </row>
    <row r="23" spans="1:14" s="1" customFormat="1" x14ac:dyDescent="0.35">
      <c r="A23" s="1" t="s">
        <v>35</v>
      </c>
      <c r="B23" s="3">
        <f>SUM(B19:B22)</f>
        <v>96606</v>
      </c>
      <c r="C23" s="3">
        <f t="shared" ref="C23:I23" si="5">SUM(C19:C22)</f>
        <v>108510</v>
      </c>
      <c r="D23" s="3">
        <f t="shared" si="5"/>
        <v>114962</v>
      </c>
      <c r="E23" s="3">
        <f t="shared" si="5"/>
        <v>90763</v>
      </c>
      <c r="F23" s="3">
        <f t="shared" si="5"/>
        <v>108226</v>
      </c>
      <c r="G23" s="3">
        <f t="shared" si="5"/>
        <v>109805</v>
      </c>
      <c r="H23" s="3">
        <f t="shared" si="5"/>
        <v>121086</v>
      </c>
      <c r="I23" s="3">
        <f t="shared" si="5"/>
        <v>0</v>
      </c>
      <c r="J23" s="8" t="s">
        <v>150</v>
      </c>
      <c r="L23" s="3">
        <f t="shared" ref="L23" si="6">SUM(L19:L22)</f>
        <v>410841</v>
      </c>
      <c r="M23" s="3">
        <f t="shared" si="3"/>
        <v>410841</v>
      </c>
      <c r="N23" s="3">
        <f>SUM(F23:I23)</f>
        <v>339117</v>
      </c>
    </row>
    <row r="24" spans="1:14" x14ac:dyDescent="0.35">
      <c r="A24" t="s">
        <v>24</v>
      </c>
      <c r="B24" s="2">
        <v>26266</v>
      </c>
      <c r="C24" s="2">
        <v>32526</v>
      </c>
      <c r="D24" s="2">
        <v>34718</v>
      </c>
      <c r="E24" s="2">
        <f t="shared" si="2"/>
        <v>23577</v>
      </c>
      <c r="F24" s="2">
        <v>32943</v>
      </c>
      <c r="G24" s="2">
        <v>34570</v>
      </c>
      <c r="H24" s="2">
        <v>37275</v>
      </c>
      <c r="I24" s="2"/>
      <c r="J24" s="8" t="s">
        <v>150</v>
      </c>
      <c r="L24" s="2">
        <v>117087</v>
      </c>
      <c r="M24" s="2">
        <f t="shared" si="3"/>
        <v>117087</v>
      </c>
      <c r="N24" s="2">
        <f>SUM(F24:I24)</f>
        <v>104788</v>
      </c>
    </row>
    <row r="25" spans="1:14" x14ac:dyDescent="0.35">
      <c r="A25" t="s">
        <v>38</v>
      </c>
      <c r="B25" s="2">
        <v>6336</v>
      </c>
      <c r="C25" s="2">
        <v>7347</v>
      </c>
      <c r="D25" s="2">
        <v>7084</v>
      </c>
      <c r="E25" s="2">
        <f t="shared" si="2"/>
        <v>6146</v>
      </c>
      <c r="F25" s="2">
        <v>6800</v>
      </c>
      <c r="G25" s="2">
        <v>7214</v>
      </c>
      <c r="H25" s="2">
        <v>7730</v>
      </c>
      <c r="I25" s="2"/>
      <c r="J25" s="8" t="s">
        <v>150</v>
      </c>
      <c r="L25" s="2">
        <v>26913</v>
      </c>
      <c r="M25" s="2">
        <f t="shared" si="3"/>
        <v>26913</v>
      </c>
      <c r="N25" s="2">
        <f>SUM(F25:I25)</f>
        <v>21744</v>
      </c>
    </row>
    <row r="26" spans="1:14" x14ac:dyDescent="0.35">
      <c r="A26" t="s">
        <v>28</v>
      </c>
      <c r="B26" s="2">
        <v>2331</v>
      </c>
      <c r="C26" s="2">
        <v>2605</v>
      </c>
      <c r="D26" s="2">
        <v>2965</v>
      </c>
      <c r="E26" s="2">
        <f t="shared" si="2"/>
        <v>2536</v>
      </c>
      <c r="F26" s="2">
        <v>2757</v>
      </c>
      <c r="G26" s="2">
        <v>3076</v>
      </c>
      <c r="H26" s="2">
        <v>3516</v>
      </c>
      <c r="I26" s="2"/>
      <c r="J26" s="8" t="s">
        <v>150</v>
      </c>
      <c r="L26" s="2">
        <v>10437</v>
      </c>
      <c r="M26" s="2">
        <f t="shared" si="3"/>
        <v>10437</v>
      </c>
      <c r="N26" s="2">
        <f>SUM(F26:I26)</f>
        <v>9349</v>
      </c>
    </row>
    <row r="27" spans="1:14" x14ac:dyDescent="0.35">
      <c r="A27" t="s">
        <v>29</v>
      </c>
      <c r="B27" s="2"/>
      <c r="C27" s="2"/>
      <c r="D27" s="2"/>
      <c r="E27" s="2">
        <f t="shared" si="2"/>
        <v>2878</v>
      </c>
      <c r="F27" s="2">
        <v>2579</v>
      </c>
      <c r="G27" s="2">
        <v>2408</v>
      </c>
      <c r="H27" s="2">
        <v>2601</v>
      </c>
      <c r="I27" s="2"/>
      <c r="J27" s="8" t="s">
        <v>150</v>
      </c>
      <c r="L27" s="2">
        <v>2878</v>
      </c>
      <c r="M27" s="2">
        <f t="shared" si="3"/>
        <v>2878</v>
      </c>
      <c r="N27" s="2">
        <f>SUM(F27:I27)</f>
        <v>7588</v>
      </c>
    </row>
    <row r="28" spans="1:14" s="1" customFormat="1" x14ac:dyDescent="0.35">
      <c r="A28" s="1" t="s">
        <v>30</v>
      </c>
      <c r="B28" s="3">
        <f>SUM(B24:B27)</f>
        <v>34933</v>
      </c>
      <c r="C28" s="3">
        <f t="shared" ref="C28:I28" si="7">SUM(C24:C27)</f>
        <v>42478</v>
      </c>
      <c r="D28" s="3">
        <f t="shared" si="7"/>
        <v>44767</v>
      </c>
      <c r="E28" s="3">
        <f t="shared" si="7"/>
        <v>35137</v>
      </c>
      <c r="F28" s="3">
        <f t="shared" si="7"/>
        <v>45079</v>
      </c>
      <c r="G28" s="3">
        <f t="shared" si="7"/>
        <v>47268</v>
      </c>
      <c r="H28" s="3">
        <f t="shared" si="7"/>
        <v>51122</v>
      </c>
      <c r="I28" s="3">
        <f t="shared" si="7"/>
        <v>0</v>
      </c>
      <c r="J28" s="8" t="s">
        <v>150</v>
      </c>
      <c r="L28" s="3">
        <f t="shared" ref="L28" si="8">SUM(L24:L27)</f>
        <v>157315</v>
      </c>
      <c r="M28" s="3">
        <f t="shared" si="3"/>
        <v>157315</v>
      </c>
      <c r="N28" s="3">
        <f>SUM(F28:I28)</f>
        <v>143469</v>
      </c>
    </row>
    <row r="29" spans="1:14" x14ac:dyDescent="0.35">
      <c r="A29" t="s">
        <v>36</v>
      </c>
      <c r="B29" s="2">
        <v>1167</v>
      </c>
      <c r="C29" s="2">
        <v>1235</v>
      </c>
      <c r="D29" s="2">
        <v>1333</v>
      </c>
      <c r="E29" s="2">
        <f t="shared" si="2"/>
        <v>1445</v>
      </c>
      <c r="F29" s="2">
        <v>875</v>
      </c>
      <c r="G29" s="2">
        <v>1000</v>
      </c>
      <c r="H29" s="2">
        <v>1056</v>
      </c>
      <c r="I29" s="2"/>
      <c r="J29" s="8" t="s">
        <v>150</v>
      </c>
      <c r="L29" s="2">
        <v>5180</v>
      </c>
      <c r="M29" s="2">
        <f t="shared" si="3"/>
        <v>5180</v>
      </c>
      <c r="N29" s="2">
        <f>SUM(F29:I29)</f>
        <v>2931</v>
      </c>
    </row>
    <row r="30" spans="1:14" x14ac:dyDescent="0.35">
      <c r="A30" t="s">
        <v>37</v>
      </c>
      <c r="B30" s="2">
        <v>360</v>
      </c>
      <c r="C30" s="2">
        <v>588</v>
      </c>
      <c r="D30" s="2">
        <v>547</v>
      </c>
      <c r="E30" s="2">
        <f t="shared" si="2"/>
        <v>503</v>
      </c>
      <c r="F30" s="2">
        <v>316</v>
      </c>
      <c r="G30" s="2">
        <v>520</v>
      </c>
      <c r="H30" s="2">
        <v>490</v>
      </c>
      <c r="I30" s="2"/>
      <c r="J30" s="8" t="s">
        <v>150</v>
      </c>
      <c r="L30" s="2">
        <v>1998</v>
      </c>
      <c r="M30" s="2">
        <f t="shared" si="3"/>
        <v>1998</v>
      </c>
      <c r="N30" s="2">
        <f>SUM(F30:I30)</f>
        <v>1326</v>
      </c>
    </row>
    <row r="31" spans="1:14" x14ac:dyDescent="0.35">
      <c r="A31" t="s">
        <v>40</v>
      </c>
      <c r="B31" s="2">
        <v>359</v>
      </c>
      <c r="C31" s="2">
        <v>193</v>
      </c>
      <c r="D31" s="2">
        <v>318</v>
      </c>
      <c r="E31" s="2">
        <f t="shared" si="2"/>
        <v>-110</v>
      </c>
      <c r="F31" s="2">
        <v>153</v>
      </c>
      <c r="G31" s="2">
        <v>198</v>
      </c>
      <c r="H31" s="2">
        <v>196</v>
      </c>
      <c r="I31" s="2"/>
      <c r="J31" s="8" t="s">
        <v>150</v>
      </c>
      <c r="L31" s="2">
        <v>760</v>
      </c>
      <c r="M31" s="2">
        <f t="shared" si="3"/>
        <v>760</v>
      </c>
      <c r="N31" s="2">
        <f>SUM(F31:I31)</f>
        <v>547</v>
      </c>
    </row>
    <row r="32" spans="1:14" x14ac:dyDescent="0.35">
      <c r="A32" t="s">
        <v>41</v>
      </c>
      <c r="B32" s="2"/>
      <c r="C32" s="2"/>
      <c r="D32" s="2"/>
      <c r="E32" s="2">
        <f t="shared" si="2"/>
        <v>276</v>
      </c>
      <c r="F32" s="2">
        <v>151</v>
      </c>
      <c r="G32" s="2">
        <v>284</v>
      </c>
      <c r="H32" s="2">
        <v>151</v>
      </c>
      <c r="I32" s="2"/>
      <c r="J32" s="8" t="s">
        <v>150</v>
      </c>
      <c r="L32" s="2">
        <v>276</v>
      </c>
      <c r="M32" s="2">
        <f t="shared" si="3"/>
        <v>276</v>
      </c>
      <c r="N32" s="2">
        <f>SUM(F32:I32)</f>
        <v>586</v>
      </c>
    </row>
    <row r="33" spans="1:14" s="1" customFormat="1" x14ac:dyDescent="0.35">
      <c r="A33" s="1" t="s">
        <v>39</v>
      </c>
      <c r="B33" s="3">
        <f>SUM(B29:B32)</f>
        <v>1886</v>
      </c>
      <c r="C33" s="3">
        <f t="shared" ref="C33:I33" si="9">SUM(C29:C32)</f>
        <v>2016</v>
      </c>
      <c r="D33" s="3">
        <f t="shared" si="9"/>
        <v>2198</v>
      </c>
      <c r="E33" s="3">
        <f t="shared" si="9"/>
        <v>2114</v>
      </c>
      <c r="F33" s="3">
        <f t="shared" si="9"/>
        <v>1495</v>
      </c>
      <c r="G33" s="3">
        <f t="shared" si="9"/>
        <v>2002</v>
      </c>
      <c r="H33" s="3">
        <f t="shared" si="9"/>
        <v>1893</v>
      </c>
      <c r="I33" s="3">
        <f t="shared" si="9"/>
        <v>0</v>
      </c>
      <c r="J33" s="8" t="s">
        <v>150</v>
      </c>
      <c r="L33" s="3">
        <f t="shared" ref="L33" si="10">SUM(L29:L32)</f>
        <v>8214</v>
      </c>
      <c r="M33" s="3">
        <f t="shared" si="3"/>
        <v>8214</v>
      </c>
      <c r="N33" s="3">
        <f>SUM(F33:I33)</f>
        <v>5390</v>
      </c>
    </row>
    <row r="34" spans="1:14" x14ac:dyDescent="0.35">
      <c r="A34" t="s">
        <v>42</v>
      </c>
      <c r="B34" s="2">
        <v>555</v>
      </c>
      <c r="C34" s="2">
        <v>529</v>
      </c>
      <c r="D34" s="2">
        <v>532</v>
      </c>
      <c r="E34" s="2">
        <f t="shared" si="2"/>
        <v>2816</v>
      </c>
      <c r="F34" s="2">
        <v>191</v>
      </c>
      <c r="G34" s="2">
        <v>480</v>
      </c>
      <c r="H34" s="2">
        <v>498</v>
      </c>
      <c r="I34" s="2"/>
      <c r="J34" s="8" t="s">
        <v>150</v>
      </c>
      <c r="L34" s="2">
        <v>4432</v>
      </c>
      <c r="M34" s="2">
        <f t="shared" si="3"/>
        <v>4432</v>
      </c>
      <c r="N34" s="2">
        <f>SUM(F34:I34)</f>
        <v>1169</v>
      </c>
    </row>
    <row r="35" spans="1:14" x14ac:dyDescent="0.35">
      <c r="A35" t="s">
        <v>43</v>
      </c>
      <c r="B35" s="2">
        <v>6178</v>
      </c>
      <c r="C35" s="2">
        <v>8694</v>
      </c>
      <c r="D35" s="2">
        <v>9570</v>
      </c>
      <c r="E35" s="2">
        <f t="shared" si="2"/>
        <v>6951</v>
      </c>
      <c r="F35" s="2">
        <v>5451</v>
      </c>
      <c r="G35" s="2">
        <v>8564</v>
      </c>
      <c r="H35" s="2">
        <v>9591</v>
      </c>
      <c r="I35" s="2"/>
      <c r="J35" s="8" t="s">
        <v>150</v>
      </c>
      <c r="L35" s="2">
        <v>31393</v>
      </c>
      <c r="M35" s="2">
        <f t="shared" si="3"/>
        <v>31393</v>
      </c>
      <c r="N35" s="2">
        <f>SUM(F35:I35)</f>
        <v>23606</v>
      </c>
    </row>
    <row r="36" spans="1:14" x14ac:dyDescent="0.35">
      <c r="A36" t="s">
        <v>44</v>
      </c>
      <c r="B36" s="2">
        <v>97</v>
      </c>
      <c r="C36" s="2">
        <v>219</v>
      </c>
      <c r="D36" s="2">
        <v>311</v>
      </c>
      <c r="E36" s="2">
        <f t="shared" si="2"/>
        <v>307</v>
      </c>
      <c r="F36" s="2">
        <v>172</v>
      </c>
      <c r="G36" s="2">
        <v>322</v>
      </c>
      <c r="H36" s="2">
        <v>487</v>
      </c>
      <c r="I36" s="2"/>
      <c r="J36" s="8" t="s">
        <v>150</v>
      </c>
      <c r="L36" s="2">
        <v>934</v>
      </c>
      <c r="M36" s="2">
        <f t="shared" si="3"/>
        <v>934</v>
      </c>
      <c r="N36" s="2">
        <f>SUM(F36:I36)</f>
        <v>981</v>
      </c>
    </row>
    <row r="37" spans="1:14" x14ac:dyDescent="0.35">
      <c r="A37" t="s">
        <v>45</v>
      </c>
      <c r="B37" s="2"/>
      <c r="C37" s="2"/>
      <c r="D37" s="2"/>
      <c r="E37" s="2">
        <f t="shared" si="2"/>
        <v>0</v>
      </c>
      <c r="F37" s="2">
        <v>0</v>
      </c>
      <c r="H37" s="2"/>
      <c r="I37" s="2"/>
      <c r="J37" s="8" t="s">
        <v>150</v>
      </c>
      <c r="L37" s="2"/>
      <c r="M37" s="2">
        <f t="shared" si="3"/>
        <v>0</v>
      </c>
      <c r="N37" s="2">
        <f>SUM(F37:I37)</f>
        <v>0</v>
      </c>
    </row>
    <row r="38" spans="1:14" x14ac:dyDescent="0.35">
      <c r="A38" s="1" t="s">
        <v>46</v>
      </c>
      <c r="B38" s="3">
        <f>SUM(B34:B37)</f>
        <v>6830</v>
      </c>
      <c r="C38" s="3">
        <f t="shared" ref="C38:F38" si="11">SUM(C34:C37)</f>
        <v>9442</v>
      </c>
      <c r="D38" s="3">
        <f t="shared" si="11"/>
        <v>10413</v>
      </c>
      <c r="E38" s="3">
        <f t="shared" si="11"/>
        <v>10074</v>
      </c>
      <c r="F38" s="3">
        <f t="shared" si="11"/>
        <v>5814</v>
      </c>
      <c r="G38" s="3">
        <f>SUM(G34:G37)</f>
        <v>9366</v>
      </c>
      <c r="H38" s="3">
        <f t="shared" ref="H38:I38" si="12">SUM(H34:H37)</f>
        <v>10576</v>
      </c>
      <c r="I38" s="3">
        <f t="shared" si="12"/>
        <v>0</v>
      </c>
      <c r="J38" s="8" t="s">
        <v>150</v>
      </c>
      <c r="L38" s="3">
        <f t="shared" ref="L38" si="13">SUM(L34:L37)</f>
        <v>36759</v>
      </c>
      <c r="M38" s="3">
        <f t="shared" si="3"/>
        <v>36759</v>
      </c>
      <c r="N38" s="3">
        <f>SUM(F38:I38)</f>
        <v>25756</v>
      </c>
    </row>
    <row r="39" spans="1:14" s="1" customFormat="1" x14ac:dyDescent="0.35">
      <c r="A39" s="1" t="s">
        <v>3</v>
      </c>
      <c r="B39" s="3">
        <f>B38+B33+B28+B23+B18</f>
        <v>569631</v>
      </c>
      <c r="C39" s="3">
        <f t="shared" ref="C39:F39" si="14">C38+C33+C28+C23+C18</f>
        <v>642568</v>
      </c>
      <c r="D39" s="3">
        <f t="shared" si="14"/>
        <v>694115</v>
      </c>
      <c r="E39" s="3">
        <f t="shared" si="14"/>
        <v>852131</v>
      </c>
      <c r="F39" s="3">
        <f t="shared" si="14"/>
        <v>628703</v>
      </c>
      <c r="G39" s="3">
        <f t="shared" ref="G39:N39" si="15">G38+G33+G28+G23+G18</f>
        <v>633674</v>
      </c>
      <c r="H39" s="3">
        <f t="shared" si="15"/>
        <v>679824</v>
      </c>
      <c r="I39" s="3">
        <f t="shared" si="15"/>
        <v>0</v>
      </c>
      <c r="J39" s="8" t="s">
        <v>150</v>
      </c>
      <c r="L39" s="3">
        <f t="shared" ref="L39" si="16">L38+L33+L28+L23+L18</f>
        <v>2758445</v>
      </c>
      <c r="M39" s="3">
        <f t="shared" si="15"/>
        <v>2758445</v>
      </c>
      <c r="N39" s="3">
        <f t="shared" si="15"/>
        <v>1942201</v>
      </c>
    </row>
    <row r="40" spans="1:14" x14ac:dyDescent="0.35">
      <c r="J40" s="8" t="s">
        <v>150</v>
      </c>
    </row>
    <row r="41" spans="1:14" s="1" customFormat="1" x14ac:dyDescent="0.35">
      <c r="B41" s="1" t="str">
        <f>B2</f>
        <v>Q123</v>
      </c>
      <c r="C41" s="1" t="str">
        <f t="shared" ref="C41:E41" si="17">C2</f>
        <v>Q223</v>
      </c>
      <c r="D41" s="1" t="str">
        <f t="shared" si="17"/>
        <v>Q323</v>
      </c>
      <c r="E41" s="1" t="str">
        <f t="shared" si="17"/>
        <v>Q423</v>
      </c>
      <c r="F41" s="1" t="str">
        <f>F2</f>
        <v>Q124</v>
      </c>
      <c r="G41" s="1" t="str">
        <f t="shared" ref="G41:N41" si="18">G2</f>
        <v>Q224</v>
      </c>
      <c r="H41" s="1" t="str">
        <f t="shared" si="18"/>
        <v>Q324</v>
      </c>
      <c r="I41" s="1" t="str">
        <f t="shared" si="18"/>
        <v>Q424</v>
      </c>
      <c r="J41" s="8" t="s">
        <v>150</v>
      </c>
      <c r="M41" s="1">
        <f t="shared" si="18"/>
        <v>2023</v>
      </c>
      <c r="N41" s="1">
        <f t="shared" si="18"/>
        <v>2024</v>
      </c>
    </row>
    <row r="42" spans="1:14" x14ac:dyDescent="0.35">
      <c r="A42" s="1" t="s">
        <v>81</v>
      </c>
      <c r="J42" s="8" t="s">
        <v>150</v>
      </c>
    </row>
    <row r="43" spans="1:14" s="1" customFormat="1" x14ac:dyDescent="0.35">
      <c r="A43" s="1" t="s">
        <v>2</v>
      </c>
      <c r="J43" s="8" t="s">
        <v>150</v>
      </c>
    </row>
    <row r="44" spans="1:14" x14ac:dyDescent="0.35">
      <c r="A44" t="s">
        <v>145</v>
      </c>
      <c r="B44" s="2">
        <v>429376</v>
      </c>
      <c r="C44" s="2">
        <v>480122</v>
      </c>
      <c r="D44" s="2">
        <v>521775</v>
      </c>
      <c r="E44" s="2">
        <f>L44-D44-C44-B44</f>
        <v>714043</v>
      </c>
      <c r="F44" s="2">
        <v>468089</v>
      </c>
      <c r="G44" s="2">
        <v>465233</v>
      </c>
      <c r="H44" s="2">
        <v>495147</v>
      </c>
      <c r="I44" s="2"/>
      <c r="J44" s="8" t="s">
        <v>150</v>
      </c>
      <c r="L44" s="2">
        <v>2145316</v>
      </c>
      <c r="M44" s="2">
        <f t="shared" si="3"/>
        <v>2145316</v>
      </c>
      <c r="N44" s="2">
        <f>SUM(F44:I44)</f>
        <v>1428469</v>
      </c>
    </row>
    <row r="45" spans="1:14" x14ac:dyDescent="0.35">
      <c r="A45" t="s">
        <v>146</v>
      </c>
      <c r="B45" s="2">
        <v>96606</v>
      </c>
      <c r="C45" s="2">
        <v>108510</v>
      </c>
      <c r="D45" s="2">
        <v>114962</v>
      </c>
      <c r="E45" s="2">
        <f t="shared" ref="E45:E47" si="19">L45-D45-C45-B45</f>
        <v>90763</v>
      </c>
      <c r="F45" s="2">
        <v>108226</v>
      </c>
      <c r="G45" s="2">
        <v>109805</v>
      </c>
      <c r="H45" s="2">
        <v>121086</v>
      </c>
      <c r="I45" s="2"/>
      <c r="J45" s="8" t="s">
        <v>150</v>
      </c>
      <c r="L45" s="2">
        <v>410841</v>
      </c>
      <c r="M45" s="2">
        <f t="shared" si="3"/>
        <v>410841</v>
      </c>
      <c r="N45" s="2">
        <f>SUM(F45:I45)</f>
        <v>339117</v>
      </c>
    </row>
    <row r="46" spans="1:14" x14ac:dyDescent="0.35">
      <c r="A46" t="s">
        <v>147</v>
      </c>
      <c r="B46" s="2">
        <v>34933</v>
      </c>
      <c r="C46" s="2">
        <v>42478</v>
      </c>
      <c r="D46" s="2">
        <v>44767</v>
      </c>
      <c r="E46" s="2">
        <f t="shared" si="19"/>
        <v>35137</v>
      </c>
      <c r="F46" s="2">
        <v>45079</v>
      </c>
      <c r="G46" s="2">
        <v>47268</v>
      </c>
      <c r="H46" s="2">
        <v>51122</v>
      </c>
      <c r="I46" s="2"/>
      <c r="J46" s="8" t="s">
        <v>150</v>
      </c>
      <c r="L46" s="2">
        <v>157315</v>
      </c>
      <c r="M46" s="2">
        <f t="shared" si="3"/>
        <v>157315</v>
      </c>
      <c r="N46" s="2">
        <f>SUM(F46:I46)</f>
        <v>143469</v>
      </c>
    </row>
    <row r="47" spans="1:14" x14ac:dyDescent="0.35">
      <c r="A47" t="s">
        <v>148</v>
      </c>
      <c r="B47" s="2">
        <v>8716</v>
      </c>
      <c r="C47" s="2">
        <v>11458</v>
      </c>
      <c r="D47" s="2">
        <v>12611</v>
      </c>
      <c r="E47" s="2">
        <f t="shared" si="19"/>
        <v>12188</v>
      </c>
      <c r="F47" s="2">
        <v>7309</v>
      </c>
      <c r="G47" s="2">
        <v>11368</v>
      </c>
      <c r="H47" s="2">
        <v>12469</v>
      </c>
      <c r="I47" s="2"/>
      <c r="J47" s="8" t="s">
        <v>150</v>
      </c>
      <c r="L47" s="2">
        <v>44973</v>
      </c>
      <c r="M47" s="2">
        <f t="shared" si="3"/>
        <v>44973</v>
      </c>
      <c r="N47" s="2">
        <f>SUM(F47:I47)</f>
        <v>31146</v>
      </c>
    </row>
    <row r="48" spans="1:14" s="1" customFormat="1" x14ac:dyDescent="0.35">
      <c r="A48" s="1" t="s">
        <v>3</v>
      </c>
      <c r="B48" s="3">
        <f>SUM(B44:B47)</f>
        <v>569631</v>
      </c>
      <c r="C48" s="3">
        <f t="shared" ref="C48:I48" si="20">SUM(C44:C47)</f>
        <v>642568</v>
      </c>
      <c r="D48" s="3">
        <f t="shared" si="20"/>
        <v>694115</v>
      </c>
      <c r="E48" s="3">
        <f t="shared" si="20"/>
        <v>852131</v>
      </c>
      <c r="F48" s="3">
        <f t="shared" si="20"/>
        <v>628703</v>
      </c>
      <c r="G48" s="3">
        <f t="shared" si="20"/>
        <v>633674</v>
      </c>
      <c r="H48" s="3">
        <f t="shared" si="20"/>
        <v>679824</v>
      </c>
      <c r="I48" s="3">
        <f t="shared" si="20"/>
        <v>0</v>
      </c>
      <c r="J48" s="8" t="s">
        <v>150</v>
      </c>
      <c r="L48" s="3">
        <f>SUM(L44:L47)</f>
        <v>2758445</v>
      </c>
      <c r="M48" s="3">
        <f t="shared" si="3"/>
        <v>2758445</v>
      </c>
      <c r="N48" s="3">
        <f>SUM(F48:I48)</f>
        <v>1942201</v>
      </c>
    </row>
    <row r="49" spans="1:17" x14ac:dyDescent="0.35">
      <c r="A49" t="s">
        <v>6</v>
      </c>
      <c r="B49" s="2">
        <v>368262</v>
      </c>
      <c r="C49" s="2">
        <v>414800</v>
      </c>
      <c r="D49" s="2">
        <v>454598</v>
      </c>
      <c r="E49" s="2">
        <f>L49-D49-C49-B49</f>
        <v>626898</v>
      </c>
      <c r="F49" s="2">
        <v>412239</v>
      </c>
      <c r="G49" s="2">
        <v>422236</v>
      </c>
      <c r="H49" s="2">
        <v>458345</v>
      </c>
      <c r="J49" s="8" t="s">
        <v>150</v>
      </c>
      <c r="L49" s="2">
        <v>1864558</v>
      </c>
      <c r="M49" s="2">
        <f t="shared" si="3"/>
        <v>1864558</v>
      </c>
      <c r="N49" s="2">
        <f>SUM(F49:I49)</f>
        <v>1292820</v>
      </c>
    </row>
    <row r="50" spans="1:17" x14ac:dyDescent="0.35">
      <c r="A50" t="s">
        <v>7</v>
      </c>
      <c r="B50" s="2">
        <v>65103</v>
      </c>
      <c r="C50" s="2">
        <v>73086</v>
      </c>
      <c r="D50" s="2">
        <v>78585</v>
      </c>
      <c r="E50" s="2">
        <f t="shared" ref="E50:E52" si="21">L50-D50-C50-B50</f>
        <v>63147</v>
      </c>
      <c r="F50" s="2">
        <v>73151</v>
      </c>
      <c r="G50" s="2">
        <v>74239</v>
      </c>
      <c r="H50" s="2">
        <v>83542</v>
      </c>
      <c r="J50" s="8" t="s">
        <v>150</v>
      </c>
      <c r="L50" s="2">
        <v>279921</v>
      </c>
      <c r="M50" s="2">
        <f t="shared" si="3"/>
        <v>279921</v>
      </c>
      <c r="N50" s="2">
        <f>SUM(F50:I50)</f>
        <v>230932</v>
      </c>
    </row>
    <row r="51" spans="1:17" x14ac:dyDescent="0.35">
      <c r="A51" t="s">
        <v>8</v>
      </c>
      <c r="B51" s="2">
        <v>12409</v>
      </c>
      <c r="C51" s="2">
        <v>14208</v>
      </c>
      <c r="D51" s="2">
        <v>14393</v>
      </c>
      <c r="E51" s="2">
        <f t="shared" si="21"/>
        <v>12971</v>
      </c>
      <c r="F51" s="2">
        <v>16776</v>
      </c>
      <c r="G51" s="2">
        <v>16144</v>
      </c>
      <c r="H51" s="2">
        <v>17833</v>
      </c>
      <c r="J51" s="8" t="s">
        <v>150</v>
      </c>
      <c r="L51" s="2">
        <v>53981</v>
      </c>
      <c r="M51" s="2">
        <f t="shared" si="3"/>
        <v>53981</v>
      </c>
      <c r="N51" s="2">
        <f>SUM(F51:I51)</f>
        <v>50753</v>
      </c>
    </row>
    <row r="52" spans="1:17" x14ac:dyDescent="0.35">
      <c r="A52" t="s">
        <v>9</v>
      </c>
      <c r="B52" s="2">
        <v>5277</v>
      </c>
      <c r="C52" s="2">
        <v>7075</v>
      </c>
      <c r="D52" s="2">
        <v>8198</v>
      </c>
      <c r="E52" s="2">
        <f t="shared" si="21"/>
        <v>8081</v>
      </c>
      <c r="F52" s="2">
        <v>4782</v>
      </c>
      <c r="G52" s="2">
        <v>8676</v>
      </c>
      <c r="H52" s="2">
        <v>9610</v>
      </c>
      <c r="J52" s="8" t="s">
        <v>150</v>
      </c>
      <c r="L52" s="2">
        <v>28631</v>
      </c>
      <c r="M52" s="2">
        <f t="shared" si="3"/>
        <v>28631</v>
      </c>
      <c r="N52" s="2">
        <f>SUM(F52:I52)</f>
        <v>23068</v>
      </c>
    </row>
    <row r="53" spans="1:17" s="1" customFormat="1" x14ac:dyDescent="0.35">
      <c r="A53" s="1" t="s">
        <v>10</v>
      </c>
      <c r="B53" s="3">
        <f>SUM(B49:B52)</f>
        <v>451051</v>
      </c>
      <c r="C53" s="3">
        <f t="shared" ref="C53:I53" si="22">SUM(C49:C52)</f>
        <v>509169</v>
      </c>
      <c r="D53" s="3">
        <f t="shared" si="22"/>
        <v>555774</v>
      </c>
      <c r="E53" s="3">
        <f t="shared" si="22"/>
        <v>711097</v>
      </c>
      <c r="F53" s="3">
        <f t="shared" si="22"/>
        <v>506948</v>
      </c>
      <c r="G53" s="3">
        <f t="shared" si="22"/>
        <v>521295</v>
      </c>
      <c r="H53" s="3">
        <f t="shared" si="22"/>
        <v>569330</v>
      </c>
      <c r="I53" s="3">
        <f t="shared" si="22"/>
        <v>0</v>
      </c>
      <c r="J53" s="8" t="s">
        <v>150</v>
      </c>
      <c r="L53" s="3">
        <f>SUM(L49:L52)</f>
        <v>2227091</v>
      </c>
      <c r="M53" s="3">
        <f t="shared" si="3"/>
        <v>2227091</v>
      </c>
      <c r="N53" s="3">
        <f>SUM(F53:I53)</f>
        <v>1597573</v>
      </c>
    </row>
    <row r="54" spans="1:17" s="1" customFormat="1" x14ac:dyDescent="0.35">
      <c r="A54" s="1" t="s">
        <v>11</v>
      </c>
      <c r="B54" s="3">
        <f>B44-B49</f>
        <v>61114</v>
      </c>
      <c r="C54" s="3">
        <f t="shared" ref="C54:N54" si="23">C44-C49</f>
        <v>65322</v>
      </c>
      <c r="D54" s="3">
        <f t="shared" si="23"/>
        <v>67177</v>
      </c>
      <c r="E54" s="3">
        <f t="shared" si="23"/>
        <v>87145</v>
      </c>
      <c r="F54" s="3">
        <f t="shared" si="23"/>
        <v>55850</v>
      </c>
      <c r="G54" s="3">
        <f t="shared" si="23"/>
        <v>42997</v>
      </c>
      <c r="H54" s="3">
        <f t="shared" si="23"/>
        <v>36802</v>
      </c>
      <c r="I54" s="3">
        <f t="shared" si="23"/>
        <v>0</v>
      </c>
      <c r="J54" s="8" t="s">
        <v>150</v>
      </c>
      <c r="K54" s="3"/>
      <c r="L54" s="3">
        <f t="shared" ref="L54" si="24">L44-L49</f>
        <v>280758</v>
      </c>
      <c r="M54" s="3">
        <f t="shared" si="23"/>
        <v>280758</v>
      </c>
      <c r="N54" s="3">
        <f t="shared" si="23"/>
        <v>135649</v>
      </c>
    </row>
    <row r="55" spans="1:17" s="1" customFormat="1" x14ac:dyDescent="0.35">
      <c r="A55" s="1" t="s">
        <v>12</v>
      </c>
      <c r="B55" s="3">
        <f t="shared" ref="B55:B57" si="25">B45-B50</f>
        <v>31503</v>
      </c>
      <c r="C55" s="3">
        <f t="shared" ref="C55:N55" si="26">C45-C50</f>
        <v>35424</v>
      </c>
      <c r="D55" s="3">
        <f t="shared" si="26"/>
        <v>36377</v>
      </c>
      <c r="E55" s="3">
        <f t="shared" si="26"/>
        <v>27616</v>
      </c>
      <c r="F55" s="3">
        <f t="shared" si="26"/>
        <v>35075</v>
      </c>
      <c r="G55" s="3">
        <f t="shared" si="26"/>
        <v>35566</v>
      </c>
      <c r="H55" s="3">
        <f t="shared" si="26"/>
        <v>37544</v>
      </c>
      <c r="I55" s="3">
        <f t="shared" si="26"/>
        <v>0</v>
      </c>
      <c r="J55" s="8" t="s">
        <v>150</v>
      </c>
      <c r="K55" s="3"/>
      <c r="L55" s="3">
        <f t="shared" ref="L55" si="27">L45-L50</f>
        <v>130920</v>
      </c>
      <c r="M55" s="3">
        <f t="shared" si="26"/>
        <v>130920</v>
      </c>
      <c r="N55" s="3">
        <f t="shared" si="26"/>
        <v>108185</v>
      </c>
    </row>
    <row r="56" spans="1:17" s="1" customFormat="1" x14ac:dyDescent="0.35">
      <c r="A56" s="1" t="s">
        <v>13</v>
      </c>
      <c r="B56" s="3">
        <f t="shared" si="25"/>
        <v>22524</v>
      </c>
      <c r="C56" s="3">
        <f t="shared" ref="C56:N56" si="28">C46-C51</f>
        <v>28270</v>
      </c>
      <c r="D56" s="3">
        <f t="shared" si="28"/>
        <v>30374</v>
      </c>
      <c r="E56" s="3">
        <f t="shared" si="28"/>
        <v>22166</v>
      </c>
      <c r="F56" s="3">
        <f t="shared" si="28"/>
        <v>28303</v>
      </c>
      <c r="G56" s="3">
        <f t="shared" si="28"/>
        <v>31124</v>
      </c>
      <c r="H56" s="3">
        <f t="shared" si="28"/>
        <v>33289</v>
      </c>
      <c r="I56" s="3">
        <f t="shared" si="28"/>
        <v>0</v>
      </c>
      <c r="J56" s="8" t="s">
        <v>150</v>
      </c>
      <c r="K56" s="3"/>
      <c r="L56" s="3">
        <f t="shared" ref="L56" si="29">L46-L51</f>
        <v>103334</v>
      </c>
      <c r="M56" s="3">
        <f t="shared" si="28"/>
        <v>103334</v>
      </c>
      <c r="N56" s="3">
        <f t="shared" si="28"/>
        <v>92716</v>
      </c>
    </row>
    <row r="57" spans="1:17" s="1" customFormat="1" x14ac:dyDescent="0.35">
      <c r="A57" s="1" t="s">
        <v>14</v>
      </c>
      <c r="B57" s="3">
        <f t="shared" si="25"/>
        <v>3439</v>
      </c>
      <c r="C57" s="3">
        <f t="shared" ref="C57:N57" si="30">C47-C52</f>
        <v>4383</v>
      </c>
      <c r="D57" s="3">
        <f t="shared" si="30"/>
        <v>4413</v>
      </c>
      <c r="E57" s="3">
        <f t="shared" si="30"/>
        <v>4107</v>
      </c>
      <c r="F57" s="3">
        <f t="shared" si="30"/>
        <v>2527</v>
      </c>
      <c r="G57" s="3">
        <f t="shared" si="30"/>
        <v>2692</v>
      </c>
      <c r="H57" s="3">
        <f t="shared" si="30"/>
        <v>2859</v>
      </c>
      <c r="I57" s="3">
        <f t="shared" si="30"/>
        <v>0</v>
      </c>
      <c r="J57" s="8" t="s">
        <v>150</v>
      </c>
      <c r="K57" s="3"/>
      <c r="L57" s="3">
        <f t="shared" ref="L57" si="31">L47-L52</f>
        <v>16342</v>
      </c>
      <c r="M57" s="3">
        <f t="shared" si="30"/>
        <v>16342</v>
      </c>
      <c r="N57" s="3">
        <f t="shared" si="30"/>
        <v>8078</v>
      </c>
    </row>
    <row r="58" spans="1:17" s="1" customFormat="1" x14ac:dyDescent="0.35">
      <c r="A58" s="1" t="s">
        <v>15</v>
      </c>
      <c r="B58" s="3">
        <f>SUM(B54:B57)</f>
        <v>118580</v>
      </c>
      <c r="C58" s="3">
        <f t="shared" ref="C58:I58" si="32">SUM(C54:C57)</f>
        <v>133399</v>
      </c>
      <c r="D58" s="3">
        <f t="shared" si="32"/>
        <v>138341</v>
      </c>
      <c r="E58" s="3">
        <f t="shared" si="32"/>
        <v>141034</v>
      </c>
      <c r="F58" s="3">
        <f t="shared" si="32"/>
        <v>121755</v>
      </c>
      <c r="G58" s="3">
        <f t="shared" si="32"/>
        <v>112379</v>
      </c>
      <c r="H58" s="3">
        <f t="shared" si="32"/>
        <v>110494</v>
      </c>
      <c r="I58" s="3">
        <f t="shared" si="32"/>
        <v>0</v>
      </c>
      <c r="J58" s="8" t="s">
        <v>150</v>
      </c>
      <c r="L58" s="3">
        <f t="shared" ref="L58" si="33">SUM(L54:L57)</f>
        <v>531354</v>
      </c>
      <c r="M58" s="3">
        <f t="shared" si="3"/>
        <v>531354</v>
      </c>
      <c r="N58" s="3">
        <f>SUM(F58:I58)</f>
        <v>344628</v>
      </c>
    </row>
    <row r="59" spans="1:17" s="2" customFormat="1" x14ac:dyDescent="0.35">
      <c r="A59" t="s">
        <v>16</v>
      </c>
      <c r="B59" s="2">
        <v>81315</v>
      </c>
      <c r="C59" s="2">
        <v>88751</v>
      </c>
      <c r="D59" s="2">
        <v>92115</v>
      </c>
      <c r="E59" s="2">
        <f t="shared" ref="E59" si="34">L59-D59-C59-B59</f>
        <v>100328</v>
      </c>
      <c r="F59" s="2">
        <v>99158</v>
      </c>
      <c r="G59" s="2">
        <v>95156</v>
      </c>
      <c r="H59" s="2">
        <v>98773</v>
      </c>
      <c r="J59" s="8" t="s">
        <v>150</v>
      </c>
      <c r="L59" s="2">
        <v>362509</v>
      </c>
      <c r="M59" s="2">
        <f>SUM(B59:E59)</f>
        <v>362509</v>
      </c>
      <c r="N59" s="2">
        <f>SUM(F59:I59)</f>
        <v>293087</v>
      </c>
    </row>
    <row r="60" spans="1:17" x14ac:dyDescent="0.35">
      <c r="A60" t="s">
        <v>104</v>
      </c>
      <c r="B60" s="2"/>
      <c r="C60" s="2"/>
      <c r="D60" s="2"/>
      <c r="E60" s="2"/>
      <c r="F60" s="2"/>
      <c r="G60" s="2">
        <v>531</v>
      </c>
      <c r="H60" s="2"/>
      <c r="I60" s="2"/>
      <c r="J60" s="8" t="s">
        <v>150</v>
      </c>
      <c r="M60" s="2">
        <f t="shared" ref="M60:M61" si="35">SUM(B60:E60)</f>
        <v>0</v>
      </c>
      <c r="N60" s="2">
        <f>SUM(F60:I60)</f>
        <v>531</v>
      </c>
    </row>
    <row r="61" spans="1:17" x14ac:dyDescent="0.35">
      <c r="A61" t="s">
        <v>105</v>
      </c>
      <c r="E61" s="2"/>
      <c r="G61">
        <v>942</v>
      </c>
      <c r="H61">
        <v>264</v>
      </c>
      <c r="J61" s="8" t="s">
        <v>150</v>
      </c>
      <c r="M61" s="2">
        <f t="shared" si="35"/>
        <v>0</v>
      </c>
      <c r="N61" s="2">
        <f>SUM(F61:I61)</f>
        <v>1206</v>
      </c>
    </row>
    <row r="62" spans="1:17" s="1" customFormat="1" x14ac:dyDescent="0.35">
      <c r="A62" s="1" t="s">
        <v>17</v>
      </c>
      <c r="B62" s="3">
        <f>B58-B59-B60-B61</f>
        <v>37265</v>
      </c>
      <c r="C62" s="3">
        <f t="shared" ref="C62:N62" si="36">C58-C59-C60-C61</f>
        <v>44648</v>
      </c>
      <c r="D62" s="3">
        <f t="shared" si="36"/>
        <v>46226</v>
      </c>
      <c r="E62" s="3">
        <f t="shared" si="36"/>
        <v>40706</v>
      </c>
      <c r="F62" s="3">
        <f t="shared" si="36"/>
        <v>22597</v>
      </c>
      <c r="G62" s="3">
        <f t="shared" si="36"/>
        <v>15750</v>
      </c>
      <c r="H62" s="3">
        <f t="shared" si="36"/>
        <v>11457</v>
      </c>
      <c r="I62" s="3">
        <f t="shared" si="36"/>
        <v>0</v>
      </c>
      <c r="J62" s="8" t="s">
        <v>150</v>
      </c>
      <c r="K62" s="3"/>
      <c r="L62" s="3">
        <f t="shared" si="36"/>
        <v>168845</v>
      </c>
      <c r="M62" s="3">
        <f t="shared" si="36"/>
        <v>168845</v>
      </c>
      <c r="N62" s="3">
        <f t="shared" si="36"/>
        <v>49804</v>
      </c>
    </row>
    <row r="63" spans="1:17" x14ac:dyDescent="0.35">
      <c r="A63" t="s">
        <v>18</v>
      </c>
      <c r="B63" s="2">
        <v>720</v>
      </c>
      <c r="C63" s="2">
        <v>641</v>
      </c>
      <c r="D63" s="2">
        <v>-235</v>
      </c>
      <c r="E63" s="2">
        <f t="shared" ref="E63:E67" si="37">L63-D63-C63-B63</f>
        <v>2174</v>
      </c>
      <c r="F63" s="2">
        <v>-288</v>
      </c>
      <c r="G63" s="2">
        <v>-7048</v>
      </c>
      <c r="H63" s="2">
        <v>3097</v>
      </c>
      <c r="I63" s="2"/>
      <c r="J63" s="8" t="s">
        <v>150</v>
      </c>
      <c r="K63" s="2"/>
      <c r="L63" s="2">
        <v>3300</v>
      </c>
      <c r="M63" s="2">
        <f t="shared" si="3"/>
        <v>3300</v>
      </c>
      <c r="N63" s="2">
        <f>SUM(F63:I63)</f>
        <v>-4239</v>
      </c>
      <c r="O63" s="2"/>
      <c r="P63" s="2"/>
      <c r="Q63" s="2"/>
    </row>
    <row r="64" spans="1:17" x14ac:dyDescent="0.35">
      <c r="A64" t="s">
        <v>20</v>
      </c>
      <c r="B64" s="2">
        <v>-1272</v>
      </c>
      <c r="C64" s="2">
        <v>-2457</v>
      </c>
      <c r="D64" s="2">
        <v>-4045</v>
      </c>
      <c r="E64" s="2">
        <f t="shared" si="37"/>
        <v>-6028</v>
      </c>
      <c r="F64" s="2">
        <v>-7064</v>
      </c>
      <c r="G64" s="2">
        <v>-9218</v>
      </c>
      <c r="H64" s="2">
        <v>-9993</v>
      </c>
      <c r="I64" s="2"/>
      <c r="J64" s="8" t="s">
        <v>150</v>
      </c>
      <c r="K64" s="2"/>
      <c r="L64" s="2">
        <v>-13802</v>
      </c>
      <c r="M64" s="2">
        <f t="shared" si="3"/>
        <v>-13802</v>
      </c>
      <c r="N64" s="2">
        <f>SUM(F64:I64)</f>
        <v>-26275</v>
      </c>
      <c r="O64" s="2"/>
      <c r="P64" s="2"/>
      <c r="Q64" s="2"/>
    </row>
    <row r="65" spans="1:17" x14ac:dyDescent="0.35">
      <c r="A65" t="s">
        <v>19</v>
      </c>
      <c r="B65" s="2">
        <v>-1274</v>
      </c>
      <c r="C65" s="2">
        <v>-1241</v>
      </c>
      <c r="D65" s="2">
        <v>-1494</v>
      </c>
      <c r="E65" s="2">
        <f t="shared" si="37"/>
        <v>-3294</v>
      </c>
      <c r="F65" s="2">
        <v>-2459</v>
      </c>
      <c r="G65" s="2">
        <v>-3734</v>
      </c>
      <c r="H65" s="2">
        <v>-4286</v>
      </c>
      <c r="I65" s="2"/>
      <c r="J65" s="8" t="s">
        <v>150</v>
      </c>
      <c r="K65" s="2"/>
      <c r="L65" s="2">
        <v>-7303</v>
      </c>
      <c r="M65" s="2">
        <f t="shared" si="3"/>
        <v>-7303</v>
      </c>
      <c r="N65" s="2">
        <f>SUM(F65:I65)</f>
        <v>-10479</v>
      </c>
      <c r="O65" s="2"/>
      <c r="P65" s="2"/>
      <c r="Q65" s="2"/>
    </row>
    <row r="66" spans="1:17" s="1" customFormat="1" x14ac:dyDescent="0.35">
      <c r="A66" s="1" t="s">
        <v>21</v>
      </c>
      <c r="B66" s="3">
        <f>B62+SUM(B63:B65)</f>
        <v>35439</v>
      </c>
      <c r="C66" s="3">
        <f t="shared" ref="C66:L66" si="38">C62+SUM(C63:C65)</f>
        <v>41591</v>
      </c>
      <c r="D66" s="3">
        <f t="shared" si="38"/>
        <v>40452</v>
      </c>
      <c r="E66" s="3">
        <f t="shared" si="38"/>
        <v>33558</v>
      </c>
      <c r="F66" s="3">
        <f t="shared" si="38"/>
        <v>12786</v>
      </c>
      <c r="G66" s="3">
        <f t="shared" si="38"/>
        <v>-4250</v>
      </c>
      <c r="H66" s="3">
        <f t="shared" si="38"/>
        <v>275</v>
      </c>
      <c r="I66" s="3">
        <f t="shared" si="38"/>
        <v>0</v>
      </c>
      <c r="J66" s="8" t="s">
        <v>150</v>
      </c>
      <c r="L66" s="3">
        <f t="shared" si="38"/>
        <v>151040</v>
      </c>
      <c r="M66" s="3">
        <f t="shared" si="3"/>
        <v>151040</v>
      </c>
      <c r="N66" s="3">
        <f>SUM(F66:I66)</f>
        <v>8811</v>
      </c>
    </row>
    <row r="67" spans="1:17" x14ac:dyDescent="0.35">
      <c r="A67" t="s">
        <v>59</v>
      </c>
      <c r="B67" s="2">
        <v>8474</v>
      </c>
      <c r="C67" s="2">
        <v>10270</v>
      </c>
      <c r="D67" s="2">
        <v>10259</v>
      </c>
      <c r="E67" s="2">
        <f t="shared" si="37"/>
        <v>9596</v>
      </c>
      <c r="F67" s="2">
        <v>3345</v>
      </c>
      <c r="G67" s="2">
        <v>54</v>
      </c>
      <c r="H67" s="2">
        <v>-1438</v>
      </c>
      <c r="J67" s="8" t="s">
        <v>150</v>
      </c>
      <c r="L67" s="2">
        <v>38599</v>
      </c>
      <c r="M67" s="2">
        <f t="shared" si="3"/>
        <v>38599</v>
      </c>
      <c r="N67" s="2">
        <f>SUM(F67:I67)</f>
        <v>1961</v>
      </c>
    </row>
    <row r="68" spans="1:17" s="1" customFormat="1" x14ac:dyDescent="0.35">
      <c r="A68" s="1" t="s">
        <v>60</v>
      </c>
      <c r="B68" s="3">
        <f>B66-B67</f>
        <v>26965</v>
      </c>
      <c r="C68" s="3">
        <f t="shared" ref="C68:L68" si="39">C66-C67</f>
        <v>31321</v>
      </c>
      <c r="D68" s="3">
        <f t="shared" si="39"/>
        <v>30193</v>
      </c>
      <c r="E68" s="3">
        <f t="shared" si="39"/>
        <v>23962</v>
      </c>
      <c r="F68" s="3">
        <f t="shared" si="39"/>
        <v>9441</v>
      </c>
      <c r="G68" s="3">
        <f t="shared" si="39"/>
        <v>-4304</v>
      </c>
      <c r="H68" s="3">
        <f t="shared" si="39"/>
        <v>1713</v>
      </c>
      <c r="I68" s="3">
        <f t="shared" si="39"/>
        <v>0</v>
      </c>
      <c r="J68" s="8" t="s">
        <v>150</v>
      </c>
      <c r="L68" s="3">
        <f t="shared" si="39"/>
        <v>112441</v>
      </c>
      <c r="M68" s="3">
        <f t="shared" si="3"/>
        <v>112441</v>
      </c>
      <c r="N68" s="3">
        <f>SUM(F68:I68)</f>
        <v>6850</v>
      </c>
    </row>
    <row r="69" spans="1:17" s="1" customFormat="1" x14ac:dyDescent="0.35">
      <c r="B69" s="3"/>
      <c r="C69" s="3"/>
      <c r="D69" s="3"/>
      <c r="E69" s="3"/>
      <c r="F69" s="3"/>
      <c r="J69" s="8" t="s">
        <v>150</v>
      </c>
      <c r="M69" s="3"/>
      <c r="N69" s="3"/>
    </row>
    <row r="70" spans="1:17" s="5" customFormat="1" x14ac:dyDescent="0.35">
      <c r="A70" s="1" t="s">
        <v>61</v>
      </c>
      <c r="B70" s="5">
        <f>B68/B73</f>
        <v>1.2015952943273474</v>
      </c>
      <c r="C70" s="5">
        <f t="shared" ref="C70:F70" si="40">C68/C73</f>
        <v>1.3935308773803168</v>
      </c>
      <c r="D70" s="5">
        <f t="shared" si="40"/>
        <v>1.3411958066808813</v>
      </c>
      <c r="E70" s="5">
        <f t="shared" si="40"/>
        <v>1.0653092073089405</v>
      </c>
      <c r="F70" s="5">
        <f t="shared" si="40"/>
        <v>0.41881820601543784</v>
      </c>
      <c r="G70" s="5">
        <f t="shared" ref="G70:I70" si="41">G68/G73</f>
        <v>-0.19029933236061369</v>
      </c>
      <c r="H70" s="5">
        <f t="shared" si="41"/>
        <v>7.569263399761389E-2</v>
      </c>
      <c r="I70" s="5" t="e">
        <f t="shared" si="41"/>
        <v>#DIV/0!</v>
      </c>
      <c r="J70" s="8" t="s">
        <v>150</v>
      </c>
      <c r="M70" s="5">
        <f t="shared" ref="M70" si="42">M68/M73</f>
        <v>4.998933001378207</v>
      </c>
      <c r="N70" s="5" t="e">
        <f>SUM(F70:I70)</f>
        <v>#DIV/0!</v>
      </c>
    </row>
    <row r="71" spans="1:17" s="5" customFormat="1" x14ac:dyDescent="0.35">
      <c r="A71" s="1" t="s">
        <v>62</v>
      </c>
      <c r="B71" s="5">
        <f>B68/B74</f>
        <v>1.201220598717035</v>
      </c>
      <c r="C71" s="5">
        <f t="shared" ref="C71:F71" si="43">C68/C74</f>
        <v>1.3930350471446362</v>
      </c>
      <c r="D71" s="5">
        <f t="shared" si="43"/>
        <v>1.3408979881867034</v>
      </c>
      <c r="E71" s="5">
        <f t="shared" si="43"/>
        <v>1.0650251122272101</v>
      </c>
      <c r="F71" s="5">
        <f t="shared" si="43"/>
        <v>0.41874390135722522</v>
      </c>
      <c r="G71" s="5">
        <f t="shared" ref="G71:I71" si="44">G68/G74</f>
        <v>-0.19029933236061369</v>
      </c>
      <c r="H71" s="5">
        <f t="shared" si="44"/>
        <v>7.569263399761389E-2</v>
      </c>
      <c r="I71" s="5" t="e">
        <f t="shared" si="44"/>
        <v>#DIV/0!</v>
      </c>
      <c r="J71" s="8" t="s">
        <v>150</v>
      </c>
      <c r="M71" s="5">
        <f t="shared" ref="M71" si="45">M68/M74</f>
        <v>4.9975998933285926</v>
      </c>
      <c r="N71" s="5" t="e">
        <f>SUM(F71:I71)</f>
        <v>#DIV/0!</v>
      </c>
    </row>
    <row r="72" spans="1:17" s="1" customFormat="1" x14ac:dyDescent="0.35">
      <c r="B72" s="3"/>
      <c r="C72" s="3"/>
      <c r="D72" s="3"/>
      <c r="E72" s="3"/>
      <c r="F72" s="3"/>
      <c r="J72" s="8" t="s">
        <v>150</v>
      </c>
      <c r="M72" s="3"/>
      <c r="N72" s="3"/>
    </row>
    <row r="73" spans="1:17" s="4" customFormat="1" x14ac:dyDescent="0.35">
      <c r="A73" t="s">
        <v>63</v>
      </c>
      <c r="B73" s="4">
        <v>22441</v>
      </c>
      <c r="C73" s="4">
        <v>22476</v>
      </c>
      <c r="D73" s="4">
        <v>22512</v>
      </c>
      <c r="E73" s="4">
        <v>22493</v>
      </c>
      <c r="F73" s="4">
        <v>22542</v>
      </c>
      <c r="G73" s="4">
        <v>22617</v>
      </c>
      <c r="H73" s="4">
        <v>22631</v>
      </c>
      <c r="J73" s="8" t="s">
        <v>150</v>
      </c>
      <c r="M73" s="4">
        <v>22493</v>
      </c>
    </row>
    <row r="74" spans="1:17" s="4" customFormat="1" x14ac:dyDescent="0.35">
      <c r="A74" t="s">
        <v>64</v>
      </c>
      <c r="B74" s="4">
        <v>22448</v>
      </c>
      <c r="C74" s="4">
        <v>22484</v>
      </c>
      <c r="D74" s="4">
        <v>22517</v>
      </c>
      <c r="E74" s="4">
        <v>22499</v>
      </c>
      <c r="F74" s="4">
        <v>22546</v>
      </c>
      <c r="G74" s="4">
        <v>22617</v>
      </c>
      <c r="H74" s="4">
        <v>22631</v>
      </c>
      <c r="J74" s="8" t="s">
        <v>150</v>
      </c>
      <c r="M74" s="4">
        <v>22499</v>
      </c>
    </row>
    <row r="75" spans="1:17" s="1" customFormat="1" x14ac:dyDescent="0.35">
      <c r="B75" s="3"/>
      <c r="C75" s="3"/>
      <c r="D75" s="3"/>
      <c r="E75" s="3"/>
      <c r="F75" s="3"/>
      <c r="J75" s="8" t="s">
        <v>150</v>
      </c>
      <c r="M75" s="3"/>
      <c r="N75" s="3"/>
    </row>
    <row r="76" spans="1:17" s="1" customFormat="1" x14ac:dyDescent="0.35">
      <c r="B76" s="1" t="str">
        <f>B41</f>
        <v>Q123</v>
      </c>
      <c r="C76" s="1" t="str">
        <f t="shared" ref="C76:N76" si="46">C41</f>
        <v>Q223</v>
      </c>
      <c r="D76" s="1" t="str">
        <f t="shared" si="46"/>
        <v>Q323</v>
      </c>
      <c r="E76" s="1" t="str">
        <f t="shared" si="46"/>
        <v>Q423</v>
      </c>
      <c r="F76" s="1" t="str">
        <f t="shared" si="46"/>
        <v>Q124</v>
      </c>
      <c r="G76" s="1" t="str">
        <f t="shared" si="46"/>
        <v>Q224</v>
      </c>
      <c r="H76" s="1" t="str">
        <f t="shared" si="46"/>
        <v>Q324</v>
      </c>
      <c r="I76" s="1" t="str">
        <f t="shared" si="46"/>
        <v>Q424</v>
      </c>
      <c r="J76" s="8" t="s">
        <v>150</v>
      </c>
      <c r="M76" s="1">
        <f t="shared" si="46"/>
        <v>2023</v>
      </c>
      <c r="N76" s="1">
        <f t="shared" si="46"/>
        <v>2024</v>
      </c>
    </row>
    <row r="77" spans="1:17" s="1" customFormat="1" x14ac:dyDescent="0.35">
      <c r="A77" s="1" t="s">
        <v>80</v>
      </c>
      <c r="J77" s="8" t="s">
        <v>150</v>
      </c>
    </row>
    <row r="78" spans="1:17" x14ac:dyDescent="0.35">
      <c r="A78" t="s">
        <v>47</v>
      </c>
      <c r="B78" s="2">
        <v>26965</v>
      </c>
      <c r="C78" s="2">
        <f>58287-B78</f>
        <v>31322</v>
      </c>
      <c r="D78" s="2">
        <f>88479-C78-B78</f>
        <v>30192</v>
      </c>
      <c r="E78" s="2">
        <f t="shared" ref="E78:E94" si="47">L78-D78-C78-B78</f>
        <v>23962</v>
      </c>
      <c r="F78" s="2">
        <v>9441</v>
      </c>
      <c r="G78" s="2">
        <f>5136-F78</f>
        <v>-4305</v>
      </c>
      <c r="H78" s="2">
        <f>6850-G78-F78</f>
        <v>1714</v>
      </c>
      <c r="J78" s="8" t="s">
        <v>150</v>
      </c>
      <c r="L78" s="2">
        <v>112441</v>
      </c>
      <c r="M78" s="2">
        <f t="shared" si="3"/>
        <v>112441</v>
      </c>
      <c r="N78" s="2">
        <f>SUM(F78:I78)</f>
        <v>6850</v>
      </c>
    </row>
    <row r="79" spans="1:17" x14ac:dyDescent="0.35">
      <c r="A79" t="s">
        <v>48</v>
      </c>
      <c r="B79" s="2">
        <v>6948</v>
      </c>
      <c r="C79" s="2">
        <f>14637-B79</f>
        <v>7689</v>
      </c>
      <c r="D79" s="2">
        <f>22871-C79-B79</f>
        <v>8234</v>
      </c>
      <c r="E79" s="2">
        <f t="shared" si="47"/>
        <v>8608</v>
      </c>
      <c r="F79" s="2">
        <v>8715</v>
      </c>
      <c r="G79" s="2">
        <f>18413-F79</f>
        <v>9698</v>
      </c>
      <c r="H79" s="2">
        <f>28687-G79-F79</f>
        <v>10274</v>
      </c>
      <c r="J79" s="8" t="s">
        <v>150</v>
      </c>
      <c r="L79" s="2">
        <v>31479</v>
      </c>
      <c r="M79" s="2">
        <f t="shared" si="3"/>
        <v>31479</v>
      </c>
      <c r="N79" s="2">
        <f>SUM(F79:I79)</f>
        <v>28687</v>
      </c>
    </row>
    <row r="80" spans="1:17" x14ac:dyDescent="0.35">
      <c r="A80" t="s">
        <v>106</v>
      </c>
      <c r="B80" s="2">
        <v>0</v>
      </c>
      <c r="C80" s="2">
        <v>0</v>
      </c>
      <c r="D80" s="2">
        <f>0-C80-B80</f>
        <v>0</v>
      </c>
      <c r="E80" s="2">
        <f t="shared" si="47"/>
        <v>0</v>
      </c>
      <c r="F80" s="2"/>
      <c r="G80" s="2">
        <f>1473-F80</f>
        <v>1473</v>
      </c>
      <c r="H80" s="2">
        <f>1737-G80-F80</f>
        <v>264</v>
      </c>
      <c r="J80" s="8" t="s">
        <v>150</v>
      </c>
      <c r="L80" s="2">
        <v>0</v>
      </c>
      <c r="M80" s="2">
        <f t="shared" ref="M80:M130" si="48">SUM(B80:E80)</f>
        <v>0</v>
      </c>
      <c r="N80" s="2">
        <f>SUM(F80:I80)</f>
        <v>1737</v>
      </c>
    </row>
    <row r="81" spans="1:14" x14ac:dyDescent="0.35">
      <c r="A81" t="s">
        <v>49</v>
      </c>
      <c r="B81" s="2">
        <v>-904</v>
      </c>
      <c r="C81" s="2">
        <f>-2495-B81</f>
        <v>-1591</v>
      </c>
      <c r="D81" s="2">
        <f>-3731-C81-B81</f>
        <v>-1236</v>
      </c>
      <c r="E81" s="2">
        <f t="shared" si="47"/>
        <v>6641</v>
      </c>
      <c r="F81" s="2">
        <v>-379</v>
      </c>
      <c r="G81" s="2">
        <f>-650-F81</f>
        <v>-271</v>
      </c>
      <c r="H81" s="2">
        <f>-3003-G81-F81</f>
        <v>-2353</v>
      </c>
      <c r="J81" s="8" t="s">
        <v>150</v>
      </c>
      <c r="L81" s="2">
        <v>2910</v>
      </c>
      <c r="M81" s="2">
        <f t="shared" si="48"/>
        <v>2910</v>
      </c>
      <c r="N81" s="2">
        <f>SUM(F81:I81)</f>
        <v>-3003</v>
      </c>
    </row>
    <row r="82" spans="1:14" x14ac:dyDescent="0.35">
      <c r="A82" t="s">
        <v>50</v>
      </c>
      <c r="B82" s="2">
        <v>659</v>
      </c>
      <c r="C82" s="2">
        <f>1443-B82</f>
        <v>784</v>
      </c>
      <c r="D82" s="2">
        <f>2339-C82-B82</f>
        <v>896</v>
      </c>
      <c r="E82" s="2">
        <f t="shared" si="47"/>
        <v>781</v>
      </c>
      <c r="F82" s="2">
        <v>837</v>
      </c>
      <c r="G82" s="2">
        <f>2099-F82</f>
        <v>1262</v>
      </c>
      <c r="H82" s="2">
        <f>3203-G82-F82</f>
        <v>1104</v>
      </c>
      <c r="J82" s="8" t="s">
        <v>150</v>
      </c>
      <c r="L82" s="2">
        <v>3120</v>
      </c>
      <c r="M82" s="2">
        <f t="shared" si="48"/>
        <v>3120</v>
      </c>
      <c r="N82" s="2">
        <f>SUM(F82:I82)</f>
        <v>3203</v>
      </c>
    </row>
    <row r="83" spans="1:14" x14ac:dyDescent="0.35">
      <c r="A83" t="s">
        <v>110</v>
      </c>
      <c r="B83" s="2">
        <v>64</v>
      </c>
      <c r="C83" s="2">
        <f>129-B83</f>
        <v>65</v>
      </c>
      <c r="D83" s="2">
        <f>206-C83-B83</f>
        <v>77</v>
      </c>
      <c r="E83" s="2">
        <f t="shared" si="47"/>
        <v>86</v>
      </c>
      <c r="F83" s="2">
        <v>88</v>
      </c>
      <c r="G83" s="2">
        <f>493-F83</f>
        <v>405</v>
      </c>
      <c r="H83" s="2">
        <f>537-G83-F83</f>
        <v>44</v>
      </c>
      <c r="J83" s="8" t="s">
        <v>150</v>
      </c>
      <c r="L83" s="2">
        <v>292</v>
      </c>
      <c r="M83" s="2">
        <f t="shared" si="48"/>
        <v>292</v>
      </c>
      <c r="N83" s="2">
        <f>SUM(F83:I83)</f>
        <v>537</v>
      </c>
    </row>
    <row r="84" spans="1:14" x14ac:dyDescent="0.35">
      <c r="A84" t="s">
        <v>111</v>
      </c>
      <c r="B84" s="2"/>
      <c r="C84" s="2"/>
      <c r="D84" s="2"/>
      <c r="E84" s="2">
        <f t="shared" si="47"/>
        <v>-1349</v>
      </c>
      <c r="F84" s="2"/>
      <c r="G84" s="2"/>
      <c r="H84" s="2"/>
      <c r="J84" s="8" t="s">
        <v>150</v>
      </c>
      <c r="L84" s="2">
        <v>-1349</v>
      </c>
      <c r="M84" s="2"/>
      <c r="N84" s="2"/>
    </row>
    <row r="85" spans="1:14" x14ac:dyDescent="0.35">
      <c r="A85" t="s">
        <v>109</v>
      </c>
      <c r="B85" s="2"/>
      <c r="C85" s="2"/>
      <c r="D85" s="2">
        <f>7004-C85-B85</f>
        <v>7004</v>
      </c>
      <c r="E85" s="2">
        <f t="shared" si="47"/>
        <v>0</v>
      </c>
      <c r="F85" s="2"/>
      <c r="G85" s="2"/>
      <c r="H85" s="2">
        <f>6532-G85-F85</f>
        <v>6532</v>
      </c>
      <c r="J85" s="8" t="s">
        <v>150</v>
      </c>
      <c r="L85" s="2">
        <v>7004</v>
      </c>
      <c r="M85" s="2">
        <f t="shared" si="48"/>
        <v>7004</v>
      </c>
      <c r="N85" s="2">
        <f>SUM(F85:I85)</f>
        <v>6532</v>
      </c>
    </row>
    <row r="86" spans="1:14" x14ac:dyDescent="0.35">
      <c r="A86" t="s">
        <v>107</v>
      </c>
      <c r="B86" s="2">
        <v>0</v>
      </c>
      <c r="C86" s="2">
        <v>0</v>
      </c>
      <c r="D86" s="2">
        <f>0-C86-B86</f>
        <v>0</v>
      </c>
      <c r="E86" s="2">
        <f t="shared" si="47"/>
        <v>0</v>
      </c>
      <c r="F86" s="2"/>
      <c r="G86" s="2">
        <f>11159-F86</f>
        <v>11159</v>
      </c>
      <c r="H86" s="2">
        <f>11159-G86-F86</f>
        <v>0</v>
      </c>
      <c r="J86" s="8" t="s">
        <v>150</v>
      </c>
      <c r="L86" s="2">
        <v>0</v>
      </c>
      <c r="M86" s="2">
        <f t="shared" si="48"/>
        <v>0</v>
      </c>
      <c r="N86" s="2">
        <f>SUM(F86:I86)</f>
        <v>11159</v>
      </c>
    </row>
    <row r="87" spans="1:14" x14ac:dyDescent="0.35">
      <c r="A87" t="s">
        <v>108</v>
      </c>
      <c r="B87" s="2">
        <v>0</v>
      </c>
      <c r="C87" s="2">
        <v>0</v>
      </c>
      <c r="D87" s="2">
        <f>0-C87-B87</f>
        <v>0</v>
      </c>
      <c r="E87" s="2">
        <f t="shared" si="47"/>
        <v>0</v>
      </c>
      <c r="F87" s="2"/>
      <c r="G87" s="2">
        <f>-3585-F87</f>
        <v>-3585</v>
      </c>
      <c r="H87" s="2">
        <f>-3585-G87-F87</f>
        <v>0</v>
      </c>
      <c r="J87" s="8" t="s">
        <v>150</v>
      </c>
      <c r="L87" s="2">
        <v>0</v>
      </c>
      <c r="M87" s="2">
        <f t="shared" si="48"/>
        <v>0</v>
      </c>
      <c r="N87" s="2">
        <f>SUM(F87:I87)</f>
        <v>-3585</v>
      </c>
    </row>
    <row r="88" spans="1:14" x14ac:dyDescent="0.35">
      <c r="A88" t="s">
        <v>51</v>
      </c>
      <c r="B88" s="2">
        <v>1663</v>
      </c>
      <c r="C88" s="2">
        <f>3250-B88</f>
        <v>1587</v>
      </c>
      <c r="D88" s="2">
        <f>-1376-C88-B88</f>
        <v>-4626</v>
      </c>
      <c r="E88" s="2">
        <f t="shared" si="47"/>
        <v>2340</v>
      </c>
      <c r="F88" s="2">
        <v>3767</v>
      </c>
      <c r="G88" s="2">
        <f>7319-F88</f>
        <v>3552</v>
      </c>
      <c r="H88" s="2">
        <f>-1255-G88-F88</f>
        <v>-8574</v>
      </c>
      <c r="J88" s="8" t="s">
        <v>150</v>
      </c>
      <c r="L88" s="2">
        <f>7968-M85</f>
        <v>964</v>
      </c>
      <c r="M88" s="2">
        <f t="shared" si="48"/>
        <v>964</v>
      </c>
      <c r="N88" s="2">
        <f>SUM(F88:I88)</f>
        <v>-1255</v>
      </c>
    </row>
    <row r="89" spans="1:14" x14ac:dyDescent="0.35">
      <c r="A89" t="s">
        <v>52</v>
      </c>
      <c r="B89" s="2">
        <v>-32307</v>
      </c>
      <c r="C89" s="2">
        <f>-20623-B89</f>
        <v>11684</v>
      </c>
      <c r="D89" s="2">
        <f>-31947-C89-B89</f>
        <v>-11324</v>
      </c>
      <c r="E89" s="2">
        <f t="shared" si="47"/>
        <v>-16144</v>
      </c>
      <c r="F89" s="2">
        <v>20115</v>
      </c>
      <c r="G89" s="2">
        <f>18499-F89</f>
        <v>-1616</v>
      </c>
      <c r="H89" s="2">
        <f>12541-G89-F89</f>
        <v>-5958</v>
      </c>
      <c r="J89" s="8" t="s">
        <v>150</v>
      </c>
      <c r="L89" s="2">
        <v>-48091</v>
      </c>
      <c r="M89" s="2">
        <f t="shared" si="48"/>
        <v>-48091</v>
      </c>
      <c r="N89" s="2">
        <f>SUM(F89:I89)</f>
        <v>12541</v>
      </c>
    </row>
    <row r="90" spans="1:14" x14ac:dyDescent="0.35">
      <c r="A90" t="s">
        <v>53</v>
      </c>
      <c r="B90" s="2">
        <v>1274</v>
      </c>
      <c r="C90" s="2">
        <f>7540-B90</f>
        <v>6266</v>
      </c>
      <c r="D90" s="2">
        <f>5774-C90-B90</f>
        <v>-1766</v>
      </c>
      <c r="E90" s="2">
        <f t="shared" si="47"/>
        <v>-5159</v>
      </c>
      <c r="F90" s="2">
        <v>6815</v>
      </c>
      <c r="G90" s="2">
        <f>9301-F90</f>
        <v>2486</v>
      </c>
      <c r="H90" s="2">
        <f>9124-G90-F90</f>
        <v>-177</v>
      </c>
      <c r="J90" s="8" t="s">
        <v>150</v>
      </c>
      <c r="L90" s="2">
        <v>615</v>
      </c>
      <c r="M90" s="2">
        <f t="shared" si="48"/>
        <v>615</v>
      </c>
      <c r="N90" s="2">
        <f>SUM(F90:I90)</f>
        <v>9124</v>
      </c>
    </row>
    <row r="91" spans="1:14" x14ac:dyDescent="0.35">
      <c r="A91" t="s">
        <v>54</v>
      </c>
      <c r="B91" s="2">
        <v>-140107</v>
      </c>
      <c r="C91" s="2">
        <f>-263121-B91</f>
        <v>-123014</v>
      </c>
      <c r="D91" s="2">
        <f>-358837-C91-B91</f>
        <v>-95716</v>
      </c>
      <c r="E91" s="2">
        <f t="shared" si="47"/>
        <v>-117552</v>
      </c>
      <c r="F91" s="2">
        <v>-137760</v>
      </c>
      <c r="G91" s="2">
        <f>-242113-F91</f>
        <v>-104353</v>
      </c>
      <c r="H91" s="2">
        <f>-114485-G91-F91</f>
        <v>127628</v>
      </c>
      <c r="J91" s="8" t="s">
        <v>150</v>
      </c>
      <c r="L91" s="2">
        <v>-476389</v>
      </c>
      <c r="M91" s="2">
        <f t="shared" si="48"/>
        <v>-476389</v>
      </c>
      <c r="N91" s="2">
        <f>SUM(F91:I91)</f>
        <v>-114485</v>
      </c>
    </row>
    <row r="92" spans="1:14" x14ac:dyDescent="0.35">
      <c r="A92" t="s">
        <v>55</v>
      </c>
      <c r="B92" s="2">
        <v>86259</v>
      </c>
      <c r="C92" s="2">
        <f>150906-B92</f>
        <v>64647</v>
      </c>
      <c r="D92" s="2">
        <f>274968-C92-B92</f>
        <v>124062</v>
      </c>
      <c r="E92" s="2">
        <f t="shared" si="47"/>
        <v>93143</v>
      </c>
      <c r="F92" s="2">
        <v>92084</v>
      </c>
      <c r="G92" s="2">
        <f>206103-F92</f>
        <v>114019</v>
      </c>
      <c r="H92" s="2">
        <f>78714-G92-F92</f>
        <v>-127389</v>
      </c>
      <c r="J92" s="8" t="s">
        <v>150</v>
      </c>
      <c r="L92" s="2">
        <v>368111</v>
      </c>
      <c r="M92" s="2">
        <f t="shared" si="48"/>
        <v>368111</v>
      </c>
      <c r="N92" s="2">
        <f>SUM(F92:I92)</f>
        <v>78714</v>
      </c>
    </row>
    <row r="93" spans="1:14" x14ac:dyDescent="0.35">
      <c r="A93" t="s">
        <v>56</v>
      </c>
      <c r="B93" s="2">
        <v>-23987</v>
      </c>
      <c r="C93" s="2">
        <f>-58482-B93</f>
        <v>-34495</v>
      </c>
      <c r="D93" s="2">
        <f>-77425-C93-B93</f>
        <v>-18943</v>
      </c>
      <c r="E93" s="2">
        <f t="shared" si="47"/>
        <v>61883</v>
      </c>
      <c r="F93" s="2">
        <v>-30670</v>
      </c>
      <c r="G93" s="2">
        <f>-58326-F93</f>
        <v>-27656</v>
      </c>
      <c r="H93" s="2">
        <f>-76838-G93-F93</f>
        <v>-18512</v>
      </c>
      <c r="J93" s="8" t="s">
        <v>150</v>
      </c>
      <c r="L93" s="2">
        <v>-15542</v>
      </c>
      <c r="M93" s="2">
        <f t="shared" si="48"/>
        <v>-15542</v>
      </c>
      <c r="N93" s="2">
        <f>SUM(F93:I93)</f>
        <v>-76838</v>
      </c>
    </row>
    <row r="94" spans="1:14" x14ac:dyDescent="0.35">
      <c r="A94" t="s">
        <v>57</v>
      </c>
      <c r="B94" s="2">
        <v>-4231</v>
      </c>
      <c r="C94" s="2">
        <f>-14166-B94</f>
        <v>-9935</v>
      </c>
      <c r="D94" s="2">
        <f>-10386-C94-B94</f>
        <v>3780</v>
      </c>
      <c r="E94" s="2">
        <f t="shared" si="47"/>
        <v>-7459</v>
      </c>
      <c r="F94" s="2">
        <v>-5407</v>
      </c>
      <c r="G94" s="2">
        <f>-22688-F94</f>
        <v>-17281</v>
      </c>
      <c r="H94" s="2">
        <f>-16113-G94-F94</f>
        <v>6575</v>
      </c>
      <c r="J94" s="8" t="s">
        <v>150</v>
      </c>
      <c r="L94" s="2">
        <v>-17845</v>
      </c>
      <c r="M94" s="2">
        <f t="shared" si="48"/>
        <v>-17845</v>
      </c>
      <c r="N94" s="2">
        <f>SUM(F94:I94)</f>
        <v>-16113</v>
      </c>
    </row>
    <row r="95" spans="1:14" s="1" customFormat="1" x14ac:dyDescent="0.35">
      <c r="A95" s="1" t="s">
        <v>58</v>
      </c>
      <c r="B95" s="3">
        <f>SUM(B78:B94)</f>
        <v>-77704</v>
      </c>
      <c r="C95" s="3">
        <f t="shared" ref="C95:L95" si="49">SUM(C78:C94)</f>
        <v>-44991</v>
      </c>
      <c r="D95" s="3">
        <f t="shared" si="49"/>
        <v>40634</v>
      </c>
      <c r="E95" s="3">
        <f t="shared" si="49"/>
        <v>49781</v>
      </c>
      <c r="F95" s="3">
        <f t="shared" si="49"/>
        <v>-32354</v>
      </c>
      <c r="G95" s="3">
        <f t="shared" si="49"/>
        <v>-15013</v>
      </c>
      <c r="H95" s="3">
        <f t="shared" si="49"/>
        <v>-8828</v>
      </c>
      <c r="I95" s="3">
        <f t="shared" si="49"/>
        <v>0</v>
      </c>
      <c r="J95" s="8" t="s">
        <v>150</v>
      </c>
      <c r="L95" s="3">
        <f t="shared" si="49"/>
        <v>-32280</v>
      </c>
      <c r="M95" s="3">
        <f t="shared" si="48"/>
        <v>-32280</v>
      </c>
      <c r="N95" s="3">
        <f>SUM(F95:I95)</f>
        <v>-56195</v>
      </c>
    </row>
    <row r="96" spans="1:14" s="1" customFormat="1" x14ac:dyDescent="0.35">
      <c r="B96" s="3"/>
      <c r="C96" s="3"/>
      <c r="D96" s="3"/>
      <c r="E96" s="3"/>
      <c r="F96" s="3"/>
      <c r="J96" s="8" t="s">
        <v>150</v>
      </c>
      <c r="M96" s="3"/>
      <c r="N96" s="3"/>
    </row>
    <row r="97" spans="1:14" s="1" customFormat="1" x14ac:dyDescent="0.35">
      <c r="B97" s="1" t="str">
        <f>B76</f>
        <v>Q123</v>
      </c>
      <c r="C97" s="1" t="str">
        <f t="shared" ref="C97:N97" si="50">C76</f>
        <v>Q223</v>
      </c>
      <c r="D97" s="1" t="str">
        <f t="shared" si="50"/>
        <v>Q323</v>
      </c>
      <c r="E97" s="1" t="str">
        <f t="shared" si="50"/>
        <v>Q423</v>
      </c>
      <c r="F97" s="1" t="str">
        <f t="shared" si="50"/>
        <v>Q124</v>
      </c>
      <c r="G97" s="1" t="str">
        <f t="shared" si="50"/>
        <v>Q224</v>
      </c>
      <c r="H97" s="1" t="str">
        <f t="shared" si="50"/>
        <v>Q324</v>
      </c>
      <c r="I97" s="1" t="str">
        <f t="shared" si="50"/>
        <v>Q424</v>
      </c>
      <c r="J97" s="8" t="s">
        <v>150</v>
      </c>
      <c r="M97" s="1">
        <f t="shared" si="50"/>
        <v>2023</v>
      </c>
      <c r="N97" s="1">
        <f t="shared" si="50"/>
        <v>2024</v>
      </c>
    </row>
    <row r="98" spans="1:14" s="1" customFormat="1" x14ac:dyDescent="0.35">
      <c r="A98" s="1" t="s">
        <v>79</v>
      </c>
      <c r="B98" s="3"/>
      <c r="C98" s="3"/>
      <c r="D98" s="3"/>
      <c r="E98" s="3"/>
      <c r="F98" s="3"/>
      <c r="J98" s="8" t="s">
        <v>150</v>
      </c>
      <c r="M98" s="3"/>
      <c r="N98" s="3"/>
    </row>
    <row r="99" spans="1:14" x14ac:dyDescent="0.35">
      <c r="A99" t="s">
        <v>65</v>
      </c>
      <c r="B99" s="2">
        <v>38357</v>
      </c>
      <c r="C99" s="2">
        <v>52765</v>
      </c>
      <c r="D99" s="2">
        <v>69981</v>
      </c>
      <c r="E99" s="2">
        <v>38066</v>
      </c>
      <c r="F99" s="2">
        <v>35684</v>
      </c>
      <c r="G99" s="2">
        <v>31219</v>
      </c>
      <c r="H99" s="2">
        <v>23420</v>
      </c>
      <c r="I99" s="2"/>
      <c r="J99" s="8" t="s">
        <v>150</v>
      </c>
      <c r="M99" s="2">
        <f>E99</f>
        <v>38066</v>
      </c>
      <c r="N99" s="2">
        <f>SUM(F99:I99)</f>
        <v>90323</v>
      </c>
    </row>
    <row r="100" spans="1:14" x14ac:dyDescent="0.35">
      <c r="A100" t="s">
        <v>66</v>
      </c>
      <c r="B100" s="2">
        <v>131284</v>
      </c>
      <c r="C100" s="2">
        <v>119753</v>
      </c>
      <c r="D100" s="2">
        <v>129399</v>
      </c>
      <c r="E100" s="2">
        <v>153657</v>
      </c>
      <c r="F100" s="2">
        <v>134142</v>
      </c>
      <c r="G100" s="2">
        <v>131776</v>
      </c>
      <c r="H100" s="2">
        <v>140295</v>
      </c>
      <c r="I100" s="2"/>
      <c r="J100" s="8" t="s">
        <v>150</v>
      </c>
      <c r="M100" s="2">
        <f t="shared" ref="M100:M102" si="51">E100</f>
        <v>153657</v>
      </c>
      <c r="N100" s="2">
        <f>SUM(F100:I100)</f>
        <v>406213</v>
      </c>
    </row>
    <row r="101" spans="1:14" x14ac:dyDescent="0.35">
      <c r="A101" t="s">
        <v>67</v>
      </c>
      <c r="B101" s="2">
        <v>854154</v>
      </c>
      <c r="C101" s="2">
        <v>979427</v>
      </c>
      <c r="D101" s="2">
        <v>1071088</v>
      </c>
      <c r="E101" s="2">
        <v>1303030</v>
      </c>
      <c r="F101" s="2">
        <v>1429762</v>
      </c>
      <c r="G101" s="2">
        <v>1527758</v>
      </c>
      <c r="H101" s="2">
        <v>1413088</v>
      </c>
      <c r="I101" s="2"/>
      <c r="J101" s="8" t="s">
        <v>150</v>
      </c>
      <c r="M101" s="2">
        <f t="shared" si="51"/>
        <v>1303030</v>
      </c>
      <c r="N101" s="2">
        <f>SUM(F101:I101)</f>
        <v>4370608</v>
      </c>
    </row>
    <row r="102" spans="1:14" x14ac:dyDescent="0.35">
      <c r="A102" t="s">
        <v>68</v>
      </c>
      <c r="B102" s="2">
        <v>19792</v>
      </c>
      <c r="C102" s="2">
        <v>13543</v>
      </c>
      <c r="D102" s="2">
        <v>15080</v>
      </c>
      <c r="E102" s="2">
        <v>24262</v>
      </c>
      <c r="F102" s="2">
        <v>15301</v>
      </c>
      <c r="G102" s="2">
        <v>18347</v>
      </c>
      <c r="H102" s="2">
        <v>19896</v>
      </c>
      <c r="I102" s="2"/>
      <c r="J102" s="8" t="s">
        <v>150</v>
      </c>
      <c r="M102" s="2">
        <f t="shared" si="51"/>
        <v>24262</v>
      </c>
      <c r="N102" s="2">
        <f>SUM(F102:I102)</f>
        <v>53544</v>
      </c>
    </row>
    <row r="103" spans="1:14" s="1" customFormat="1" x14ac:dyDescent="0.35">
      <c r="A103" s="1" t="s">
        <v>69</v>
      </c>
      <c r="B103" s="3">
        <f>SUM(B99:B102)</f>
        <v>1043587</v>
      </c>
      <c r="C103" s="3">
        <f t="shared" ref="C103:I103" si="52">SUM(C99:C102)</f>
        <v>1165488</v>
      </c>
      <c r="D103" s="3">
        <f t="shared" si="52"/>
        <v>1285548</v>
      </c>
      <c r="E103" s="3">
        <f>SUM(E99:E102)</f>
        <v>1519015</v>
      </c>
      <c r="F103" s="3">
        <f t="shared" si="52"/>
        <v>1614889</v>
      </c>
      <c r="G103" s="3">
        <f t="shared" si="52"/>
        <v>1709100</v>
      </c>
      <c r="H103" s="3">
        <f t="shared" si="52"/>
        <v>1596699</v>
      </c>
      <c r="I103" s="3">
        <f t="shared" si="52"/>
        <v>0</v>
      </c>
      <c r="J103" s="8" t="s">
        <v>150</v>
      </c>
      <c r="M103" s="3">
        <f t="shared" ref="M103" si="53">SUM(M99:M102)</f>
        <v>1519015</v>
      </c>
      <c r="N103" s="3">
        <f>SUM(F103:I103)</f>
        <v>4920688</v>
      </c>
    </row>
    <row r="104" spans="1:14" x14ac:dyDescent="0.35">
      <c r="A104" t="s">
        <v>73</v>
      </c>
      <c r="B104" s="2">
        <v>233830</v>
      </c>
      <c r="C104" s="2">
        <v>252187</v>
      </c>
      <c r="D104" s="2">
        <v>267155</v>
      </c>
      <c r="E104" s="2">
        <v>298774</v>
      </c>
      <c r="F104" s="2">
        <v>304472</v>
      </c>
      <c r="G104" s="2">
        <v>357346</v>
      </c>
      <c r="H104" s="2">
        <v>357056</v>
      </c>
      <c r="I104" s="2"/>
      <c r="J104" s="8" t="s">
        <v>150</v>
      </c>
      <c r="M104" s="2">
        <f t="shared" ref="M104:M109" si="54">E104</f>
        <v>298774</v>
      </c>
      <c r="N104" s="2">
        <f>SUM(F104:I104)</f>
        <v>1018874</v>
      </c>
    </row>
    <row r="105" spans="1:14" x14ac:dyDescent="0.35">
      <c r="A105" t="s">
        <v>74</v>
      </c>
      <c r="B105" s="2">
        <v>47684</v>
      </c>
      <c r="C105" s="2">
        <v>44241</v>
      </c>
      <c r="D105" s="2">
        <v>40835</v>
      </c>
      <c r="E105" s="2">
        <v>54699</v>
      </c>
      <c r="F105" s="2">
        <v>51858</v>
      </c>
      <c r="G105" s="2">
        <v>37643</v>
      </c>
      <c r="H105" s="2">
        <v>37520</v>
      </c>
      <c r="I105" s="2"/>
      <c r="J105" s="8" t="s">
        <v>150</v>
      </c>
      <c r="M105" s="2">
        <f t="shared" si="54"/>
        <v>54699</v>
      </c>
      <c r="N105" s="2">
        <f>SUM(F105:I105)</f>
        <v>127021</v>
      </c>
    </row>
    <row r="106" spans="1:14" x14ac:dyDescent="0.35">
      <c r="A106" t="s">
        <v>49</v>
      </c>
      <c r="B106" s="2">
        <v>2169</v>
      </c>
      <c r="C106" s="2">
        <v>3769</v>
      </c>
      <c r="D106" s="2">
        <v>4969</v>
      </c>
      <c r="E106" s="2">
        <v>529</v>
      </c>
      <c r="F106" s="2">
        <v>517</v>
      </c>
      <c r="G106" s="2">
        <v>512</v>
      </c>
      <c r="H106" s="2">
        <v>535</v>
      </c>
      <c r="I106" s="2"/>
      <c r="J106" s="8" t="s">
        <v>150</v>
      </c>
      <c r="M106" s="2">
        <f t="shared" si="54"/>
        <v>529</v>
      </c>
      <c r="N106" s="2">
        <f>SUM(F106:I106)</f>
        <v>1564</v>
      </c>
    </row>
    <row r="107" spans="1:14" x14ac:dyDescent="0.35">
      <c r="A107" t="s">
        <v>75</v>
      </c>
      <c r="B107" s="2">
        <v>30691</v>
      </c>
      <c r="C107" s="2">
        <v>31157</v>
      </c>
      <c r="D107" s="2">
        <v>31144</v>
      </c>
      <c r="E107" s="2">
        <v>64105</v>
      </c>
      <c r="F107" s="2">
        <v>62979</v>
      </c>
      <c r="G107" s="2">
        <v>62929</v>
      </c>
      <c r="H107" s="2">
        <v>63865</v>
      </c>
      <c r="I107" s="2"/>
      <c r="J107" s="8" t="s">
        <v>150</v>
      </c>
      <c r="M107" s="2">
        <f t="shared" si="54"/>
        <v>64105</v>
      </c>
      <c r="N107" s="2">
        <f>SUM(F107:I107)</f>
        <v>189773</v>
      </c>
    </row>
    <row r="108" spans="1:14" x14ac:dyDescent="0.35">
      <c r="A108" t="s">
        <v>76</v>
      </c>
      <c r="B108" s="2">
        <v>18330</v>
      </c>
      <c r="C108" s="2">
        <v>18354</v>
      </c>
      <c r="D108" s="2">
        <v>18266</v>
      </c>
      <c r="E108" s="2">
        <v>53356</v>
      </c>
      <c r="F108" s="2">
        <v>51301</v>
      </c>
      <c r="G108" s="2">
        <v>51367</v>
      </c>
      <c r="H108" s="2">
        <v>52074</v>
      </c>
      <c r="I108" s="2"/>
      <c r="J108" s="8" t="s">
        <v>150</v>
      </c>
      <c r="M108" s="2">
        <f t="shared" si="54"/>
        <v>53356</v>
      </c>
      <c r="N108" s="2">
        <f>SUM(F108:I108)</f>
        <v>154742</v>
      </c>
    </row>
    <row r="109" spans="1:14" x14ac:dyDescent="0.35">
      <c r="A109" t="s">
        <v>51</v>
      </c>
      <c r="B109" s="2">
        <v>1814</v>
      </c>
      <c r="C109" s="2">
        <v>1820</v>
      </c>
      <c r="D109" s="2">
        <v>1821</v>
      </c>
      <c r="E109" s="2">
        <v>1783</v>
      </c>
      <c r="F109" s="2">
        <v>1651</v>
      </c>
      <c r="G109" s="2">
        <v>1652</v>
      </c>
      <c r="H109" s="2">
        <v>1654</v>
      </c>
      <c r="I109" s="2"/>
      <c r="J109" s="8" t="s">
        <v>150</v>
      </c>
      <c r="M109" s="2">
        <f t="shared" si="54"/>
        <v>1783</v>
      </c>
      <c r="N109" s="2">
        <f>SUM(F109:I109)</f>
        <v>4957</v>
      </c>
    </row>
    <row r="110" spans="1:14" s="1" customFormat="1" x14ac:dyDescent="0.35">
      <c r="A110" s="1" t="s">
        <v>77</v>
      </c>
      <c r="B110" s="3">
        <f>SUM(B104:B109)</f>
        <v>334518</v>
      </c>
      <c r="C110" s="3">
        <f t="shared" ref="C110:F110" si="55">SUM(C104:C109)</f>
        <v>351528</v>
      </c>
      <c r="D110" s="3">
        <f t="shared" si="55"/>
        <v>364190</v>
      </c>
      <c r="E110" s="3">
        <f t="shared" si="55"/>
        <v>473246</v>
      </c>
      <c r="F110" s="3">
        <f t="shared" si="55"/>
        <v>472778</v>
      </c>
      <c r="G110" s="3">
        <f t="shared" ref="G110:I110" si="56">SUM(G104:G109)</f>
        <v>511449</v>
      </c>
      <c r="H110" s="3">
        <f t="shared" si="56"/>
        <v>512704</v>
      </c>
      <c r="I110" s="3">
        <f t="shared" si="56"/>
        <v>0</v>
      </c>
      <c r="J110" s="8" t="s">
        <v>150</v>
      </c>
      <c r="M110" s="3">
        <f t="shared" ref="M110" si="57">SUM(M104:M109)</f>
        <v>473246</v>
      </c>
      <c r="N110" s="3">
        <f>SUM(F110:I110)</f>
        <v>1496931</v>
      </c>
    </row>
    <row r="111" spans="1:14" s="1" customFormat="1" x14ac:dyDescent="0.35">
      <c r="A111" s="1" t="s">
        <v>78</v>
      </c>
      <c r="B111" s="3">
        <f>B103+B110</f>
        <v>1378105</v>
      </c>
      <c r="C111" s="3">
        <f t="shared" ref="C111:E111" si="58">C103+C110</f>
        <v>1517016</v>
      </c>
      <c r="D111" s="3">
        <f t="shared" si="58"/>
        <v>1649738</v>
      </c>
      <c r="E111" s="3">
        <f t="shared" si="58"/>
        <v>1992261</v>
      </c>
      <c r="F111" s="3">
        <f>F103+F110</f>
        <v>2087667</v>
      </c>
      <c r="G111" s="3">
        <f t="shared" ref="G111:I111" si="59">G103+G110</f>
        <v>2220549</v>
      </c>
      <c r="H111" s="3">
        <f t="shared" si="59"/>
        <v>2109403</v>
      </c>
      <c r="I111" s="3">
        <f t="shared" si="59"/>
        <v>0</v>
      </c>
      <c r="J111" s="8" t="s">
        <v>150</v>
      </c>
      <c r="M111" s="3">
        <f t="shared" ref="M111" si="60">M103+M110</f>
        <v>1992261</v>
      </c>
      <c r="N111" s="3">
        <f>SUM(F111:I111)</f>
        <v>6417619</v>
      </c>
    </row>
    <row r="112" spans="1:14" x14ac:dyDescent="0.35">
      <c r="A112" t="s">
        <v>82</v>
      </c>
      <c r="B112" s="2">
        <v>43195</v>
      </c>
      <c r="C112" s="2">
        <v>41254</v>
      </c>
      <c r="D112" s="2">
        <v>38016</v>
      </c>
      <c r="E112" s="2">
        <v>43846</v>
      </c>
      <c r="F112" s="2">
        <v>47629</v>
      </c>
      <c r="G112" s="2">
        <v>40434</v>
      </c>
      <c r="H112" s="2">
        <v>44689</v>
      </c>
      <c r="I112" s="2"/>
      <c r="J112" s="8" t="s">
        <v>150</v>
      </c>
      <c r="M112" s="2">
        <f t="shared" ref="M112:M118" si="61">E112</f>
        <v>43846</v>
      </c>
      <c r="N112" s="2">
        <f>SUM(F112:I112)</f>
        <v>132752</v>
      </c>
    </row>
    <row r="113" spans="1:14" x14ac:dyDescent="0.35">
      <c r="A113" t="s">
        <v>83</v>
      </c>
      <c r="B113" s="2">
        <v>442950</v>
      </c>
      <c r="C113" s="2">
        <v>595728</v>
      </c>
      <c r="D113" s="2">
        <v>705610</v>
      </c>
      <c r="E113" s="2">
        <v>893846</v>
      </c>
      <c r="F113" s="2">
        <v>1024999</v>
      </c>
      <c r="G113" s="2">
        <v>1168440</v>
      </c>
      <c r="H113" s="2">
        <v>1048221</v>
      </c>
      <c r="I113" s="2"/>
      <c r="J113" s="8" t="s">
        <v>150</v>
      </c>
      <c r="M113" s="2">
        <f t="shared" si="61"/>
        <v>893846</v>
      </c>
      <c r="N113" s="2">
        <f>SUM(F113:I113)</f>
        <v>3241660</v>
      </c>
    </row>
    <row r="114" spans="1:14" x14ac:dyDescent="0.35">
      <c r="A114" t="s">
        <v>84</v>
      </c>
      <c r="B114" s="2">
        <v>7481</v>
      </c>
      <c r="C114" s="2">
        <v>11174</v>
      </c>
      <c r="D114" s="2">
        <v>11586</v>
      </c>
      <c r="E114" s="2">
        <v>13706</v>
      </c>
      <c r="F114" s="2">
        <v>13890</v>
      </c>
      <c r="G114" s="2">
        <v>9940</v>
      </c>
      <c r="H114" s="2">
        <v>9500</v>
      </c>
      <c r="I114" s="2"/>
      <c r="J114" s="8" t="s">
        <v>150</v>
      </c>
      <c r="M114" s="2">
        <f t="shared" si="61"/>
        <v>13706</v>
      </c>
      <c r="N114" s="2">
        <f>SUM(F114:I114)</f>
        <v>33330</v>
      </c>
    </row>
    <row r="115" spans="1:14" x14ac:dyDescent="0.35">
      <c r="A115" t="s">
        <v>85</v>
      </c>
      <c r="B115" s="2">
        <v>9888</v>
      </c>
      <c r="C115" s="2">
        <v>9533</v>
      </c>
      <c r="D115" s="2">
        <v>9395</v>
      </c>
      <c r="E115" s="2">
        <v>10751</v>
      </c>
      <c r="F115" s="2">
        <v>10918</v>
      </c>
      <c r="G115" s="2">
        <v>7912</v>
      </c>
      <c r="H115" s="2">
        <v>8178</v>
      </c>
      <c r="I115" s="2"/>
      <c r="J115" s="8" t="s">
        <v>150</v>
      </c>
      <c r="M115" s="2">
        <f t="shared" si="61"/>
        <v>10751</v>
      </c>
      <c r="N115" s="2">
        <f>SUM(F115:I115)</f>
        <v>27008</v>
      </c>
    </row>
    <row r="116" spans="1:14" x14ac:dyDescent="0.35">
      <c r="A116" t="s">
        <v>86</v>
      </c>
      <c r="B116" s="2">
        <v>97532</v>
      </c>
      <c r="C116" s="2">
        <v>63083</v>
      </c>
      <c r="D116" s="2">
        <v>43964</v>
      </c>
      <c r="E116" s="2">
        <v>115852</v>
      </c>
      <c r="F116" s="2">
        <v>84900</v>
      </c>
      <c r="G116" s="2">
        <v>57802</v>
      </c>
      <c r="H116" s="2">
        <v>41979</v>
      </c>
      <c r="I116" s="2"/>
      <c r="J116" s="8" t="s">
        <v>150</v>
      </c>
      <c r="M116" s="2">
        <f t="shared" si="61"/>
        <v>115852</v>
      </c>
      <c r="N116" s="2">
        <f>SUM(F116:I116)</f>
        <v>184681</v>
      </c>
    </row>
    <row r="117" spans="1:14" x14ac:dyDescent="0.35">
      <c r="A117" t="s">
        <v>87</v>
      </c>
      <c r="B117" s="2">
        <v>48042</v>
      </c>
      <c r="C117" s="2">
        <v>49360</v>
      </c>
      <c r="D117" s="2">
        <v>71211</v>
      </c>
      <c r="E117" s="2">
        <v>74400</v>
      </c>
      <c r="F117" s="2">
        <v>65402</v>
      </c>
      <c r="G117" s="2">
        <v>58892</v>
      </c>
      <c r="H117" s="2">
        <v>59460</v>
      </c>
      <c r="I117" s="2"/>
      <c r="J117" s="8" t="s">
        <v>150</v>
      </c>
      <c r="M117" s="2">
        <f t="shared" si="61"/>
        <v>74400</v>
      </c>
      <c r="N117" s="2">
        <f>SUM(F117:I117)</f>
        <v>183754</v>
      </c>
    </row>
    <row r="118" spans="1:14" x14ac:dyDescent="0.35">
      <c r="A118" t="s">
        <v>112</v>
      </c>
      <c r="B118" s="2">
        <v>11151</v>
      </c>
      <c r="C118" s="2">
        <v>7870</v>
      </c>
      <c r="D118" s="2">
        <v>5622</v>
      </c>
      <c r="E118" s="2"/>
      <c r="F118" s="2"/>
      <c r="G118" s="2"/>
      <c r="H118" s="2"/>
      <c r="I118" s="2"/>
      <c r="J118" s="8" t="s">
        <v>150</v>
      </c>
      <c r="M118" s="2">
        <f t="shared" si="61"/>
        <v>0</v>
      </c>
      <c r="N118" s="2"/>
    </row>
    <row r="119" spans="1:14" s="1" customFormat="1" x14ac:dyDescent="0.35">
      <c r="A119" s="1" t="s">
        <v>88</v>
      </c>
      <c r="B119" s="3">
        <f t="shared" ref="B119:I119" si="62">SUM(B112:B118)</f>
        <v>660239</v>
      </c>
      <c r="C119" s="3">
        <f t="shared" si="62"/>
        <v>778002</v>
      </c>
      <c r="D119" s="3">
        <f t="shared" si="62"/>
        <v>885404</v>
      </c>
      <c r="E119" s="3">
        <f t="shared" si="62"/>
        <v>1152401</v>
      </c>
      <c r="F119" s="3">
        <f t="shared" si="62"/>
        <v>1247738</v>
      </c>
      <c r="G119" s="3">
        <f t="shared" si="62"/>
        <v>1343420</v>
      </c>
      <c r="H119" s="3">
        <f t="shared" si="62"/>
        <v>1212027</v>
      </c>
      <c r="I119" s="3">
        <f t="shared" si="62"/>
        <v>0</v>
      </c>
      <c r="J119" s="8" t="s">
        <v>150</v>
      </c>
      <c r="M119" s="3">
        <f>SUM(M112:M118)</f>
        <v>1152401</v>
      </c>
      <c r="N119" s="3">
        <f>SUM(N112:N118)</f>
        <v>3803185</v>
      </c>
    </row>
    <row r="120" spans="1:14" x14ac:dyDescent="0.35">
      <c r="A120" t="s">
        <v>89</v>
      </c>
      <c r="B120" s="2">
        <v>93445</v>
      </c>
      <c r="C120" s="2">
        <v>87052</v>
      </c>
      <c r="D120" s="2">
        <v>87591</v>
      </c>
      <c r="E120" s="2">
        <v>106407</v>
      </c>
      <c r="F120" s="2">
        <v>105440</v>
      </c>
      <c r="G120" s="2">
        <v>116666</v>
      </c>
      <c r="H120" s="2">
        <v>131134</v>
      </c>
      <c r="I120" s="2"/>
      <c r="J120" s="8" t="s">
        <v>150</v>
      </c>
      <c r="M120" s="2">
        <f t="shared" ref="M120:M123" si="63">E120</f>
        <v>106407</v>
      </c>
      <c r="N120" s="2">
        <f>SUM(F120:I120)</f>
        <v>353240</v>
      </c>
    </row>
    <row r="121" spans="1:14" x14ac:dyDescent="0.35">
      <c r="A121" t="s">
        <v>90</v>
      </c>
      <c r="B121" s="2">
        <v>45770</v>
      </c>
      <c r="C121" s="2">
        <v>42168</v>
      </c>
      <c r="D121" s="2">
        <v>38688</v>
      </c>
      <c r="E121" s="2">
        <v>50964</v>
      </c>
      <c r="F121" s="2">
        <v>47693</v>
      </c>
      <c r="G121" s="2">
        <v>35415</v>
      </c>
      <c r="H121" s="2">
        <v>34814</v>
      </c>
      <c r="I121" s="2"/>
      <c r="J121" s="8" t="s">
        <v>150</v>
      </c>
      <c r="M121" s="2">
        <f t="shared" si="63"/>
        <v>50964</v>
      </c>
      <c r="N121" s="2">
        <f>SUM(F121:I121)</f>
        <v>117922</v>
      </c>
    </row>
    <row r="122" spans="1:14" x14ac:dyDescent="0.35">
      <c r="A122" t="s">
        <v>49</v>
      </c>
      <c r="B122" s="2">
        <v>9567</v>
      </c>
      <c r="C122" s="2">
        <v>9569</v>
      </c>
      <c r="D122" s="2">
        <v>9561</v>
      </c>
      <c r="E122" s="2">
        <v>22607</v>
      </c>
      <c r="F122" s="2">
        <v>21740</v>
      </c>
      <c r="G122" s="2">
        <v>21662</v>
      </c>
      <c r="H122" s="2">
        <v>19701</v>
      </c>
      <c r="I122" s="2"/>
      <c r="J122" s="8" t="s">
        <v>150</v>
      </c>
      <c r="M122" s="2">
        <f t="shared" si="63"/>
        <v>22607</v>
      </c>
      <c r="N122" s="2">
        <f>SUM(F122:I122)</f>
        <v>63103</v>
      </c>
    </row>
    <row r="123" spans="1:14" x14ac:dyDescent="0.35">
      <c r="A123" t="s">
        <v>91</v>
      </c>
      <c r="B123" s="2">
        <v>5051</v>
      </c>
      <c r="C123" s="2">
        <v>3543</v>
      </c>
      <c r="D123" s="2">
        <v>2661</v>
      </c>
      <c r="E123" s="2">
        <v>2240</v>
      </c>
      <c r="F123" s="2">
        <v>2455</v>
      </c>
      <c r="G123" s="2">
        <v>43820</v>
      </c>
      <c r="H123" s="2">
        <v>43527</v>
      </c>
      <c r="I123" s="2"/>
      <c r="J123" s="8" t="s">
        <v>150</v>
      </c>
      <c r="M123" s="2">
        <f t="shared" si="63"/>
        <v>2240</v>
      </c>
      <c r="N123" s="2">
        <f>SUM(F123:I123)</f>
        <v>89802</v>
      </c>
    </row>
    <row r="124" spans="1:14" s="1" customFormat="1" x14ac:dyDescent="0.35">
      <c r="A124" s="1" t="s">
        <v>92</v>
      </c>
      <c r="B124" s="3">
        <f>SUM(B120:B123)</f>
        <v>153833</v>
      </c>
      <c r="C124" s="3">
        <f t="shared" ref="C124:F124" si="64">SUM(C120:C123)</f>
        <v>142332</v>
      </c>
      <c r="D124" s="3">
        <f t="shared" si="64"/>
        <v>138501</v>
      </c>
      <c r="E124" s="3">
        <f t="shared" si="64"/>
        <v>182218</v>
      </c>
      <c r="F124" s="3">
        <f t="shared" si="64"/>
        <v>177328</v>
      </c>
      <c r="G124" s="3">
        <f t="shared" ref="G124:I124" si="65">SUM(G120:G123)</f>
        <v>217563</v>
      </c>
      <c r="H124" s="3">
        <f t="shared" si="65"/>
        <v>229176</v>
      </c>
      <c r="I124" s="3">
        <f t="shared" si="65"/>
        <v>0</v>
      </c>
      <c r="J124" s="8" t="s">
        <v>150</v>
      </c>
      <c r="M124" s="3">
        <f t="shared" ref="M124" si="66">SUM(M120:M123)</f>
        <v>182218</v>
      </c>
      <c r="N124" s="3">
        <f>SUM(F124:I124)</f>
        <v>624067</v>
      </c>
    </row>
    <row r="125" spans="1:14" s="1" customFormat="1" x14ac:dyDescent="0.35">
      <c r="A125" s="1" t="s">
        <v>93</v>
      </c>
      <c r="B125" s="3">
        <f>B124+B119</f>
        <v>814072</v>
      </c>
      <c r="C125" s="3">
        <f t="shared" ref="C125:F125" si="67">C124+C119</f>
        <v>920334</v>
      </c>
      <c r="D125" s="3">
        <f t="shared" si="67"/>
        <v>1023905</v>
      </c>
      <c r="E125" s="3">
        <f t="shared" si="67"/>
        <v>1334619</v>
      </c>
      <c r="F125" s="3">
        <f t="shared" si="67"/>
        <v>1425066</v>
      </c>
      <c r="G125" s="3">
        <f t="shared" ref="G125:I125" si="68">G124+G119</f>
        <v>1560983</v>
      </c>
      <c r="H125" s="3">
        <f t="shared" si="68"/>
        <v>1441203</v>
      </c>
      <c r="I125" s="3">
        <f t="shared" si="68"/>
        <v>0</v>
      </c>
      <c r="J125" s="8" t="s">
        <v>150</v>
      </c>
      <c r="M125" s="3">
        <f t="shared" ref="M125" si="69">M124+M119</f>
        <v>1334619</v>
      </c>
      <c r="N125" s="3">
        <f>SUM(F125:I125)</f>
        <v>4427252</v>
      </c>
    </row>
    <row r="126" spans="1:14" x14ac:dyDescent="0.35">
      <c r="A126" t="s">
        <v>94</v>
      </c>
      <c r="B126" s="2">
        <v>256207</v>
      </c>
      <c r="C126" s="2">
        <v>256984</v>
      </c>
      <c r="D126" s="2">
        <v>257881</v>
      </c>
      <c r="E126" s="2">
        <v>258657</v>
      </c>
      <c r="F126" s="2">
        <v>258700</v>
      </c>
      <c r="G126" s="2">
        <v>259911</v>
      </c>
      <c r="H126" s="2">
        <v>261011</v>
      </c>
      <c r="I126" s="2"/>
      <c r="J126" s="8" t="s">
        <v>150</v>
      </c>
      <c r="M126" s="2">
        <f t="shared" ref="M126:M128" si="70">E126</f>
        <v>258657</v>
      </c>
      <c r="N126" s="2">
        <f>SUM(F126:I126)</f>
        <v>779622</v>
      </c>
    </row>
    <row r="127" spans="1:14" x14ac:dyDescent="0.35">
      <c r="A127" t="s">
        <v>95</v>
      </c>
      <c r="B127" s="2">
        <v>311749</v>
      </c>
      <c r="C127" s="2">
        <v>343070</v>
      </c>
      <c r="D127" s="2">
        <v>373263</v>
      </c>
      <c r="E127" s="2">
        <v>397225</v>
      </c>
      <c r="F127" s="2">
        <v>406666</v>
      </c>
      <c r="G127" s="2">
        <v>402362</v>
      </c>
      <c r="H127" s="2">
        <v>404075</v>
      </c>
      <c r="I127" s="2"/>
      <c r="J127" s="8" t="s">
        <v>150</v>
      </c>
      <c r="M127" s="2">
        <f t="shared" si="70"/>
        <v>397225</v>
      </c>
      <c r="N127" s="2">
        <f>SUM(F127:I127)</f>
        <v>1213103</v>
      </c>
    </row>
    <row r="128" spans="1:14" x14ac:dyDescent="0.35">
      <c r="A128" t="s">
        <v>96</v>
      </c>
      <c r="B128" s="2">
        <v>-3923</v>
      </c>
      <c r="C128" s="2">
        <v>-3373</v>
      </c>
      <c r="D128" s="2">
        <v>-5311</v>
      </c>
      <c r="E128" s="2">
        <v>1760</v>
      </c>
      <c r="F128" s="2">
        <v>-2765</v>
      </c>
      <c r="G128" s="2">
        <v>-2707</v>
      </c>
      <c r="H128" s="2">
        <v>3114</v>
      </c>
      <c r="I128" s="2"/>
      <c r="J128" s="8" t="s">
        <v>150</v>
      </c>
      <c r="M128" s="2">
        <f t="shared" si="70"/>
        <v>1760</v>
      </c>
      <c r="N128" s="2">
        <f>SUM(F128:I128)</f>
        <v>-2358</v>
      </c>
    </row>
    <row r="129" spans="1:14" s="1" customFormat="1" x14ac:dyDescent="0.35">
      <c r="A129" s="1" t="s">
        <v>97</v>
      </c>
      <c r="B129" s="3">
        <f>SUM(B126:B128)</f>
        <v>564033</v>
      </c>
      <c r="C129" s="3">
        <f t="shared" ref="C129:F129" si="71">SUM(C126:C128)</f>
        <v>596681</v>
      </c>
      <c r="D129" s="3">
        <f t="shared" si="71"/>
        <v>625833</v>
      </c>
      <c r="E129" s="3">
        <f t="shared" si="71"/>
        <v>657642</v>
      </c>
      <c r="F129" s="3">
        <f t="shared" si="71"/>
        <v>662601</v>
      </c>
      <c r="G129" s="3">
        <f t="shared" ref="G129:I129" si="72">SUM(G126:G128)</f>
        <v>659566</v>
      </c>
      <c r="H129" s="3">
        <f t="shared" si="72"/>
        <v>668200</v>
      </c>
      <c r="I129" s="3">
        <f t="shared" si="72"/>
        <v>0</v>
      </c>
      <c r="J129" s="8" t="s">
        <v>150</v>
      </c>
      <c r="M129" s="3">
        <f t="shared" si="48"/>
        <v>2444189</v>
      </c>
      <c r="N129" s="3">
        <f>SUM(F129:I129)</f>
        <v>1990367</v>
      </c>
    </row>
    <row r="130" spans="1:14" s="1" customFormat="1" x14ac:dyDescent="0.35">
      <c r="A130" s="1" t="s">
        <v>98</v>
      </c>
      <c r="B130" s="3">
        <f>B129+B125</f>
        <v>1378105</v>
      </c>
      <c r="C130" s="3">
        <f t="shared" ref="C130:F130" si="73">C129+C125</f>
        <v>1517015</v>
      </c>
      <c r="D130" s="3">
        <f t="shared" si="73"/>
        <v>1649738</v>
      </c>
      <c r="E130" s="3">
        <f t="shared" si="73"/>
        <v>1992261</v>
      </c>
      <c r="F130" s="3">
        <f t="shared" si="73"/>
        <v>2087667</v>
      </c>
      <c r="G130" s="3">
        <f t="shared" ref="G130:I130" si="74">G129+G125</f>
        <v>2220549</v>
      </c>
      <c r="H130" s="3">
        <f t="shared" si="74"/>
        <v>2109403</v>
      </c>
      <c r="I130" s="3">
        <f t="shared" si="74"/>
        <v>0</v>
      </c>
      <c r="J130" s="8" t="s">
        <v>150</v>
      </c>
      <c r="M130" s="3">
        <f t="shared" si="48"/>
        <v>6537119</v>
      </c>
      <c r="N130" s="3">
        <f>SUM(F130:I130)</f>
        <v>6417619</v>
      </c>
    </row>
    <row r="131" spans="1:14" x14ac:dyDescent="0.35">
      <c r="J131" s="8" t="s">
        <v>150</v>
      </c>
    </row>
    <row r="132" spans="1:14" s="1" customFormat="1" x14ac:dyDescent="0.35">
      <c r="A132" s="1" t="s">
        <v>99</v>
      </c>
      <c r="B132" s="3">
        <f>B101-B113</f>
        <v>411204</v>
      </c>
      <c r="C132" s="3">
        <f t="shared" ref="C132:F132" si="75">C101-C113</f>
        <v>383699</v>
      </c>
      <c r="D132" s="3">
        <f t="shared" si="75"/>
        <v>365478</v>
      </c>
      <c r="E132" s="3">
        <f t="shared" si="75"/>
        <v>409184</v>
      </c>
      <c r="F132" s="3">
        <f t="shared" si="75"/>
        <v>404763</v>
      </c>
      <c r="G132" s="3">
        <f t="shared" ref="G132:I132" si="76">G101-G113</f>
        <v>359318</v>
      </c>
      <c r="H132" s="3">
        <f t="shared" si="76"/>
        <v>364867</v>
      </c>
      <c r="I132" s="3">
        <f t="shared" si="76"/>
        <v>0</v>
      </c>
      <c r="J132" s="8" t="s">
        <v>150</v>
      </c>
      <c r="M132" s="3">
        <f t="shared" ref="M132" si="77">M101-M113</f>
        <v>409184</v>
      </c>
      <c r="N132" s="3">
        <f>SUM(F132:I132)</f>
        <v>1128948</v>
      </c>
    </row>
    <row r="133" spans="1:14" s="1" customFormat="1" x14ac:dyDescent="0.35">
      <c r="A133" s="1" t="s">
        <v>100</v>
      </c>
      <c r="B133" s="6">
        <f>B101/B113</f>
        <v>1.9283305113443956</v>
      </c>
      <c r="C133" s="6">
        <f t="shared" ref="C133:F133" si="78">C101/C113</f>
        <v>1.6440842129293907</v>
      </c>
      <c r="D133" s="6">
        <f t="shared" si="78"/>
        <v>1.5179603463669733</v>
      </c>
      <c r="E133" s="6">
        <f t="shared" si="78"/>
        <v>1.4577790805127506</v>
      </c>
      <c r="F133" s="6">
        <f t="shared" si="78"/>
        <v>1.3948911169669433</v>
      </c>
      <c r="G133" s="6">
        <f t="shared" ref="G133:I133" si="79">G101/G113</f>
        <v>1.3075194276128856</v>
      </c>
      <c r="H133" s="6">
        <f t="shared" si="79"/>
        <v>1.3480821315352391</v>
      </c>
      <c r="I133" s="6" t="e">
        <f t="shared" si="79"/>
        <v>#DIV/0!</v>
      </c>
      <c r="J133" s="8" t="s">
        <v>150</v>
      </c>
      <c r="M133" s="6">
        <f t="shared" ref="M133" si="80">M101/M113</f>
        <v>1.4577790805127506</v>
      </c>
      <c r="N133" s="6" t="e">
        <f>SUM(F133:I133)</f>
        <v>#DIV/0!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main</vt:lpstr>
      <vt:lpstr>todo</vt:lpstr>
      <vt:lpstr>M&amp;A</vt:lpstr>
      <vt:lpstr>model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corey</dc:creator>
  <cp:lastModifiedBy>Corey Christner</cp:lastModifiedBy>
  <dcterms:created xsi:type="dcterms:W3CDTF">2015-06-05T18:17:20Z</dcterms:created>
  <dcterms:modified xsi:type="dcterms:W3CDTF">2024-12-20T02:09:50Z</dcterms:modified>
</cp:coreProperties>
</file>