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cirelli\Desktop\repositories\gsu_fall_2020\Basic_rate_making\hw3\"/>
    </mc:Choice>
  </mc:AlternateContent>
  <xr:revisionPtr revIDLastSave="0" documentId="13_ncr:1_{00623801-1F29-4549-8128-6F81016D849C}" xr6:coauthVersionLast="45" xr6:coauthVersionMax="45" xr10:uidLastSave="{00000000-0000-0000-0000-000000000000}"/>
  <bookViews>
    <workbookView xWindow="-135" yWindow="-135" windowWidth="29070" windowHeight="15870" activeTab="6" xr2:uid="{C7E02C3E-1183-4864-B7F7-6B6E785536AD}"/>
  </bookViews>
  <sheets>
    <sheet name="Bornhuetter-Ferguson Method" sheetId="11" r:id="rId1"/>
    <sheet name="p1" sheetId="1" r:id="rId2"/>
    <sheet name="p.3" sheetId="2" r:id="rId3"/>
    <sheet name="p.4" sheetId="3" r:id="rId4"/>
    <sheet name="p.5" sheetId="4" r:id="rId5"/>
    <sheet name="p.6" sheetId="5" r:id="rId6"/>
    <sheet name="p.7" sheetId="6" r:id="rId7"/>
    <sheet name="p8." sheetId="7" r:id="rId8"/>
    <sheet name="p.9" sheetId="8" r:id="rId9"/>
    <sheet name="p.10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8" i="9" l="1"/>
  <c r="K19" i="9"/>
  <c r="K20" i="9"/>
  <c r="K21" i="9"/>
  <c r="K22" i="9"/>
  <c r="K23" i="9"/>
  <c r="K17" i="9"/>
  <c r="A18" i="9"/>
  <c r="A19" i="9" s="1"/>
  <c r="A20" i="9" s="1"/>
  <c r="A21" i="9" s="1"/>
  <c r="A22" i="9" s="1"/>
  <c r="J19" i="7"/>
  <c r="I19" i="7"/>
  <c r="H19" i="7"/>
  <c r="G19" i="7"/>
  <c r="F19" i="7"/>
  <c r="C19" i="7"/>
  <c r="J16" i="7"/>
  <c r="J17" i="7"/>
  <c r="J18" i="7"/>
  <c r="J8" i="5"/>
  <c r="G35" i="8" l="1"/>
  <c r="G34" i="8"/>
  <c r="G33" i="8"/>
  <c r="G32" i="8"/>
  <c r="F35" i="8"/>
  <c r="F28" i="8"/>
  <c r="E32" i="8"/>
  <c r="F32" i="8" s="1"/>
  <c r="D33" i="8"/>
  <c r="E33" i="8"/>
  <c r="C34" i="8"/>
  <c r="D34" i="8"/>
  <c r="E34" i="8"/>
  <c r="F31" i="8"/>
  <c r="F27" i="8"/>
  <c r="F26" i="8"/>
  <c r="F25" i="8"/>
  <c r="F24" i="8"/>
  <c r="E25" i="8"/>
  <c r="E26" i="8"/>
  <c r="D26" i="8"/>
  <c r="D27" i="8"/>
  <c r="E27" i="8"/>
  <c r="C27" i="8"/>
  <c r="H9" i="8"/>
  <c r="G9" i="8"/>
  <c r="H8" i="8"/>
  <c r="H7" i="8"/>
  <c r="H6" i="8"/>
  <c r="H5" i="8"/>
  <c r="E6" i="8"/>
  <c r="E7" i="8"/>
  <c r="D7" i="8"/>
  <c r="D8" i="8"/>
  <c r="E8" i="8" s="1"/>
  <c r="C8" i="8"/>
  <c r="G8" i="8"/>
  <c r="G7" i="8"/>
  <c r="G6" i="8"/>
  <c r="G5" i="8"/>
  <c r="F8" i="8"/>
  <c r="F7" i="8"/>
  <c r="F6" i="8"/>
  <c r="F5" i="8"/>
  <c r="D20" i="8"/>
  <c r="C20" i="8"/>
  <c r="B20" i="8"/>
  <c r="N43" i="6"/>
  <c r="E17" i="9"/>
  <c r="E18" i="9"/>
  <c r="E19" i="9"/>
  <c r="E20" i="9"/>
  <c r="E21" i="9"/>
  <c r="E22" i="9"/>
  <c r="E35" i="9"/>
  <c r="F27" i="9"/>
  <c r="F35" i="9" s="1"/>
  <c r="F38" i="9" s="1"/>
  <c r="F41" i="9" s="1"/>
  <c r="E28" i="9"/>
  <c r="E27" i="9"/>
  <c r="D29" i="9"/>
  <c r="D28" i="9"/>
  <c r="D27" i="9"/>
  <c r="D35" i="9" s="1"/>
  <c r="C30" i="9"/>
  <c r="C29" i="9"/>
  <c r="C35" i="9" s="1"/>
  <c r="C28" i="9"/>
  <c r="C27" i="9"/>
  <c r="B32" i="9"/>
  <c r="A28" i="9"/>
  <c r="A29" i="9" s="1"/>
  <c r="A30" i="9" s="1"/>
  <c r="A31" i="9" s="1"/>
  <c r="A32" i="9" s="1"/>
  <c r="B28" i="9"/>
  <c r="B29" i="9"/>
  <c r="B30" i="9"/>
  <c r="B31" i="9"/>
  <c r="B35" i="9" s="1"/>
  <c r="B27" i="9"/>
  <c r="F33" i="8" l="1"/>
  <c r="F34" i="8"/>
  <c r="E38" i="9"/>
  <c r="E41" i="9" s="1"/>
  <c r="D38" i="9"/>
  <c r="D44" i="9" s="1"/>
  <c r="F20" i="9" s="1"/>
  <c r="B38" i="9"/>
  <c r="C38" i="9"/>
  <c r="E44" i="9"/>
  <c r="F19" i="9" s="1"/>
  <c r="F44" i="9"/>
  <c r="D41" i="9" l="1"/>
  <c r="B44" i="9"/>
  <c r="F22" i="9" s="1"/>
  <c r="B41" i="9"/>
  <c r="C44" i="9"/>
  <c r="F21" i="9" s="1"/>
  <c r="C41" i="9"/>
  <c r="E23" i="9" l="1"/>
  <c r="B23" i="9"/>
  <c r="D17" i="9"/>
  <c r="G17" i="9" s="1"/>
  <c r="H17" i="9" s="1"/>
  <c r="I17" i="9" s="1"/>
  <c r="J17" i="9" s="1"/>
  <c r="C18" i="9"/>
  <c r="C19" i="9" s="1"/>
  <c r="C20" i="9" s="1"/>
  <c r="C21" i="9" s="1"/>
  <c r="C22" i="9" s="1"/>
  <c r="D22" i="9" s="1"/>
  <c r="G22" i="9" s="1"/>
  <c r="H22" i="9" s="1"/>
  <c r="I22" i="9" s="1"/>
  <c r="J22" i="9" s="1"/>
  <c r="A8" i="9"/>
  <c r="A9" i="9" s="1"/>
  <c r="A10" i="9" s="1"/>
  <c r="A11" i="9" s="1"/>
  <c r="A12" i="9" s="1"/>
  <c r="D21" i="9" l="1"/>
  <c r="D20" i="9"/>
  <c r="G20" i="9" s="1"/>
  <c r="H20" i="9" s="1"/>
  <c r="I20" i="9" s="1"/>
  <c r="J20" i="9" s="1"/>
  <c r="D18" i="9"/>
  <c r="G18" i="9" s="1"/>
  <c r="H18" i="9" s="1"/>
  <c r="I18" i="9" s="1"/>
  <c r="J18" i="9" s="1"/>
  <c r="D19" i="9"/>
  <c r="G19" i="9" s="1"/>
  <c r="H19" i="9" s="1"/>
  <c r="I19" i="9" s="1"/>
  <c r="J19" i="9" s="1"/>
  <c r="G18" i="7"/>
  <c r="G17" i="7"/>
  <c r="G16" i="7"/>
  <c r="G15" i="7"/>
  <c r="E15" i="7"/>
  <c r="C16" i="7"/>
  <c r="C17" i="7"/>
  <c r="C18" i="7"/>
  <c r="C15" i="7"/>
  <c r="F15" i="7" s="1"/>
  <c r="H15" i="7" s="1"/>
  <c r="I15" i="7" s="1"/>
  <c r="J15" i="7" s="1"/>
  <c r="J47" i="6"/>
  <c r="J46" i="6"/>
  <c r="J45" i="6"/>
  <c r="J44" i="6"/>
  <c r="J43" i="6"/>
  <c r="D24" i="7"/>
  <c r="D27" i="7" s="1"/>
  <c r="C24" i="7"/>
  <c r="C27" i="7" s="1"/>
  <c r="G23" i="9" l="1"/>
  <c r="H23" i="9" s="1"/>
  <c r="I23" i="9" s="1"/>
  <c r="J23" i="9" s="1"/>
  <c r="D23" i="9"/>
  <c r="G21" i="9"/>
  <c r="H21" i="9" s="1"/>
  <c r="I21" i="9" s="1"/>
  <c r="J21" i="9" s="1"/>
  <c r="D30" i="7"/>
  <c r="D33" i="7" s="1"/>
  <c r="D16" i="7"/>
  <c r="E16" i="7" s="1"/>
  <c r="F16" i="7" s="1"/>
  <c r="H16" i="7" s="1"/>
  <c r="I16" i="7" s="1"/>
  <c r="C30" i="7"/>
  <c r="C33" i="7" s="1"/>
  <c r="D17" i="7"/>
  <c r="E17" i="7" s="1"/>
  <c r="F17" i="7" s="1"/>
  <c r="H17" i="7" s="1"/>
  <c r="I17" i="7" s="1"/>
  <c r="B24" i="7" l="1"/>
  <c r="B27" i="7" s="1"/>
  <c r="D18" i="7" l="1"/>
  <c r="E18" i="7" s="1"/>
  <c r="F18" i="7" s="1"/>
  <c r="H18" i="7" s="1"/>
  <c r="I18" i="7" s="1"/>
  <c r="B30" i="7"/>
  <c r="B33" i="7" s="1"/>
  <c r="F51" i="6"/>
  <c r="I46" i="6"/>
  <c r="I45" i="6"/>
  <c r="I44" i="6"/>
  <c r="I43" i="6"/>
  <c r="I47" i="6" s="1"/>
  <c r="H46" i="6"/>
  <c r="H45" i="6"/>
  <c r="H44" i="6"/>
  <c r="H43" i="6"/>
  <c r="M46" i="6" l="1"/>
  <c r="N46" i="6" s="1"/>
  <c r="L46" i="6"/>
  <c r="H47" i="6"/>
  <c r="B30" i="6"/>
  <c r="D24" i="6"/>
  <c r="D30" i="6" s="1"/>
  <c r="D33" i="6" s="1"/>
  <c r="C26" i="6"/>
  <c r="C25" i="6"/>
  <c r="C30" i="6" s="1"/>
  <c r="C33" i="6" s="1"/>
  <c r="C24" i="6"/>
  <c r="B27" i="6"/>
  <c r="B26" i="6"/>
  <c r="B25" i="6"/>
  <c r="B24" i="6"/>
  <c r="F53" i="6" l="1"/>
  <c r="C36" i="6"/>
  <c r="F52" i="6"/>
  <c r="D36" i="6"/>
  <c r="B33" i="6"/>
  <c r="G44" i="5"/>
  <c r="G43" i="5"/>
  <c r="G42" i="5"/>
  <c r="G41" i="5"/>
  <c r="C36" i="5"/>
  <c r="F43" i="5" s="1"/>
  <c r="H43" i="5" s="1"/>
  <c r="B36" i="5"/>
  <c r="F44" i="5" s="1"/>
  <c r="H44" i="5" s="1"/>
  <c r="F42" i="5"/>
  <c r="F41" i="5"/>
  <c r="A27" i="5"/>
  <c r="A28" i="5" s="1"/>
  <c r="A29" i="5" s="1"/>
  <c r="B21" i="5"/>
  <c r="B29" i="5" s="1"/>
  <c r="B20" i="5"/>
  <c r="C20" i="5" s="1"/>
  <c r="B28" i="5" s="1"/>
  <c r="B19" i="5"/>
  <c r="C19" i="5" s="1"/>
  <c r="C17" i="5"/>
  <c r="D17" i="5" s="1"/>
  <c r="E17" i="5" s="1"/>
  <c r="C18" i="5"/>
  <c r="B26" i="5" s="1"/>
  <c r="A19" i="5"/>
  <c r="A20" i="5" s="1"/>
  <c r="A21" i="5" s="1"/>
  <c r="H41" i="5" l="1"/>
  <c r="H45" i="5" s="1"/>
  <c r="H42" i="5"/>
  <c r="G45" i="5"/>
  <c r="D39" i="6"/>
  <c r="K43" i="6"/>
  <c r="L43" i="6" s="1"/>
  <c r="M43" i="6" s="1"/>
  <c r="C39" i="6"/>
  <c r="K44" i="6"/>
  <c r="L44" i="6" s="1"/>
  <c r="F54" i="6"/>
  <c r="B36" i="6"/>
  <c r="F55" i="6"/>
  <c r="F45" i="5"/>
  <c r="B27" i="5"/>
  <c r="D19" i="5"/>
  <c r="C27" i="5" s="1"/>
  <c r="D18" i="5"/>
  <c r="B39" i="6" l="1"/>
  <c r="K45" i="6"/>
  <c r="L45" i="6" s="1"/>
  <c r="M45" i="6" s="1"/>
  <c r="N45" i="6" s="1"/>
  <c r="L47" i="6"/>
  <c r="M47" i="6" s="1"/>
  <c r="N47" i="6" s="1"/>
  <c r="M44" i="6"/>
  <c r="N44" i="6" s="1"/>
  <c r="E18" i="5"/>
  <c r="D26" i="5" s="1"/>
  <c r="C26" i="5"/>
  <c r="H11" i="5" l="1"/>
  <c r="H10" i="5"/>
  <c r="H9" i="5"/>
  <c r="H8" i="5"/>
  <c r="I11" i="5"/>
  <c r="I10" i="5"/>
  <c r="I9" i="5"/>
  <c r="J9" i="5" s="1"/>
  <c r="I8" i="5"/>
  <c r="I12" i="5" s="1"/>
  <c r="C7" i="5"/>
  <c r="D7" i="5" s="1"/>
  <c r="E7" i="5" s="1"/>
  <c r="A9" i="5"/>
  <c r="A10" i="5" s="1"/>
  <c r="A11" i="5" s="1"/>
  <c r="J11" i="5" l="1"/>
  <c r="J10" i="5"/>
  <c r="H12" i="5"/>
  <c r="B7" i="4"/>
  <c r="B8" i="4" s="1"/>
  <c r="B9" i="4" s="1"/>
  <c r="B6" i="4"/>
  <c r="B9" i="3"/>
  <c r="B8" i="3"/>
  <c r="B7" i="3"/>
  <c r="H7" i="2"/>
  <c r="G3" i="2"/>
  <c r="G4" i="2"/>
  <c r="G5" i="2"/>
  <c r="G6" i="2"/>
  <c r="G7" i="2"/>
  <c r="G2" i="2"/>
  <c r="F7" i="2"/>
  <c r="F5" i="2"/>
  <c r="F6" i="2"/>
  <c r="F4" i="2"/>
  <c r="F3" i="2"/>
  <c r="F2" i="2"/>
  <c r="C7" i="2"/>
  <c r="E5" i="2"/>
  <c r="E6" i="2"/>
  <c r="E2" i="2"/>
  <c r="D4" i="2"/>
  <c r="D7" i="2" s="1"/>
  <c r="D5" i="2"/>
  <c r="D6" i="2"/>
  <c r="D3" i="2"/>
  <c r="E3" i="2" s="1"/>
  <c r="B7" i="2"/>
  <c r="J12" i="5" l="1"/>
  <c r="E4" i="2"/>
  <c r="D2" i="1"/>
  <c r="E2" i="1" s="1"/>
  <c r="D3" i="1"/>
  <c r="F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D17" i="1" s="1"/>
  <c r="E17" i="1" s="1"/>
  <c r="E3" i="1" l="1"/>
  <c r="D10" i="1"/>
  <c r="D16" i="1"/>
  <c r="D8" i="1"/>
  <c r="D15" i="1"/>
  <c r="D7" i="1"/>
  <c r="D14" i="1"/>
  <c r="D13" i="1"/>
  <c r="D5" i="1"/>
  <c r="D11" i="1"/>
  <c r="D9" i="1"/>
  <c r="D6" i="1"/>
  <c r="D12" i="1"/>
  <c r="D4" i="1"/>
  <c r="E14" i="1" l="1"/>
  <c r="F14" i="1"/>
  <c r="E15" i="1"/>
  <c r="F15" i="1"/>
  <c r="E8" i="1"/>
  <c r="F8" i="1"/>
  <c r="F9" i="1"/>
  <c r="E9" i="1"/>
  <c r="E16" i="1"/>
  <c r="F16" i="1"/>
  <c r="F4" i="1"/>
  <c r="E4" i="1"/>
  <c r="E6" i="1"/>
  <c r="F6" i="1"/>
  <c r="E11" i="1"/>
  <c r="F11" i="1"/>
  <c r="F10" i="1"/>
  <c r="E10" i="1"/>
  <c r="E7" i="1"/>
  <c r="F7" i="1"/>
  <c r="F12" i="1"/>
  <c r="E12" i="1"/>
  <c r="E5" i="1"/>
  <c r="F5" i="1"/>
  <c r="F17" i="1"/>
  <c r="E13" i="1"/>
  <c r="F13" i="1"/>
  <c r="E7" i="2" l="1"/>
</calcChain>
</file>

<file path=xl/sharedStrings.xml><?xml version="1.0" encoding="utf-8"?>
<sst xmlns="http://schemas.openxmlformats.org/spreadsheetml/2006/main" count="290" uniqueCount="199">
  <si>
    <t>y1</t>
  </si>
  <si>
    <t>y0</t>
  </si>
  <si>
    <t>Pct Paid</t>
  </si>
  <si>
    <t>$ Paid</t>
  </si>
  <si>
    <t>Slope</t>
  </si>
  <si>
    <t>Size of Loss</t>
  </si>
  <si>
    <t xml:space="preserve">Number of Claims </t>
  </si>
  <si>
    <t>Ground-up Total Losses</t>
  </si>
  <si>
    <t>0-99</t>
  </si>
  <si>
    <t>100-249</t>
  </si>
  <si>
    <t>250-499</t>
  </si>
  <si>
    <t>500-999</t>
  </si>
  <si>
    <t>&gt;999</t>
  </si>
  <si>
    <t>Net Total Losses</t>
  </si>
  <si>
    <t>Total</t>
  </si>
  <si>
    <t>Reduction 100k Deductible</t>
  </si>
  <si>
    <t>* Size of Loss 0-99</t>
  </si>
  <si>
    <t>Deductible of 100 eliminates 100% of losses</t>
  </si>
  <si>
    <t>Reduction 250k Deductible</t>
  </si>
  <si>
    <t>Net Losses</t>
  </si>
  <si>
    <t>Pct Diff</t>
  </si>
  <si>
    <t>* Size 100-249</t>
  </si>
  <si>
    <t>Deductible of $250k eliminates 100% of losses</t>
  </si>
  <si>
    <t>Coinsurance</t>
  </si>
  <si>
    <t>Limit</t>
  </si>
  <si>
    <t>Home Value Start</t>
  </si>
  <si>
    <t>Damage</t>
  </si>
  <si>
    <t xml:space="preserve">Home Value End </t>
  </si>
  <si>
    <t>Times Loss</t>
  </si>
  <si>
    <t>Implied Limit</t>
  </si>
  <si>
    <t>Ratio 80% Value to Limit</t>
  </si>
  <si>
    <t xml:space="preserve">Property Limit </t>
  </si>
  <si>
    <t>Actual Value @ Time of Loss</t>
  </si>
  <si>
    <t>Deductible</t>
  </si>
  <si>
    <t>* Deductible is applied to loss before the limit or coinsurance</t>
  </si>
  <si>
    <t>Damage less deductible</t>
  </si>
  <si>
    <t>Value implied by coinsurance</t>
  </si>
  <si>
    <t>Limit divided by implied value</t>
  </si>
  <si>
    <t>AY</t>
  </si>
  <si>
    <t>Earned Premium</t>
  </si>
  <si>
    <t>Expected Loss Ratio</t>
  </si>
  <si>
    <t>i.</t>
  </si>
  <si>
    <t>Find the end-of-1999 estimated loss reserve using</t>
  </si>
  <si>
    <t>The expected loss ratio technique</t>
  </si>
  <si>
    <t>ii.</t>
  </si>
  <si>
    <t>The chain ladder thechnique with arithmetic average loss development factor</t>
  </si>
  <si>
    <t>Est Expected Losses</t>
  </si>
  <si>
    <t>Cumulative Paid Losses</t>
  </si>
  <si>
    <t>Loss Reserve</t>
  </si>
  <si>
    <t>Totals</t>
  </si>
  <si>
    <t>Solutions</t>
  </si>
  <si>
    <t>i</t>
  </si>
  <si>
    <t>Loss reserve = $10,478</t>
  </si>
  <si>
    <t>Chain Ladder Technique</t>
  </si>
  <si>
    <t>Development Periods</t>
  </si>
  <si>
    <t>Age to Age Factors</t>
  </si>
  <si>
    <t>0/1</t>
  </si>
  <si>
    <t>1/2</t>
  </si>
  <si>
    <t>2/3</t>
  </si>
  <si>
    <t>Arithmetic Average</t>
  </si>
  <si>
    <t>Factor</t>
  </si>
  <si>
    <t>1.5</t>
  </si>
  <si>
    <t>1.13</t>
  </si>
  <si>
    <t>Ultimate</t>
  </si>
  <si>
    <t>Age to Ultimate</t>
  </si>
  <si>
    <t>0 to inf</t>
  </si>
  <si>
    <t>1 to inf</t>
  </si>
  <si>
    <t>2 to inf</t>
  </si>
  <si>
    <t>Loss Paid</t>
  </si>
  <si>
    <t>Reserve</t>
  </si>
  <si>
    <t>Sum</t>
  </si>
  <si>
    <t>Reserve Calculation</t>
  </si>
  <si>
    <t>Find the end-1999 estimate loss reserve using Bornhuetter-Ferguson technique with</t>
  </si>
  <si>
    <t>geometric average loss development factors.</t>
  </si>
  <si>
    <t>Geometric Average</t>
  </si>
  <si>
    <t>Multiply all age factors together for a given development period (column) and take the nth root</t>
  </si>
  <si>
    <t>Age To Age Factors</t>
  </si>
  <si>
    <t>Technique Requirements</t>
  </si>
  <si>
    <t>Expected Losses from the expected lr technique</t>
  </si>
  <si>
    <t>Pct Unreported</t>
  </si>
  <si>
    <t>1- (1/CDF)</t>
  </si>
  <si>
    <t>Expected Claims Unreported</t>
  </si>
  <si>
    <t>Expected Claims * Pct Unreported</t>
  </si>
  <si>
    <t>Reported Claims (comes from development Triangle</t>
  </si>
  <si>
    <t>Add Reported + Unreported = Projected Ultimate Claims</t>
  </si>
  <si>
    <t>(CDF) Age to Ultimate</t>
  </si>
  <si>
    <t>CDF to ultimate (compound age-to-age factors for the current and subsequent years)</t>
  </si>
  <si>
    <t>Pct Reported (1/CDF)</t>
  </si>
  <si>
    <t>Pct Unreported (1 - Pct Reported)</t>
  </si>
  <si>
    <t>vid 1, 14:42 min</t>
  </si>
  <si>
    <t>Reported Claims</t>
  </si>
  <si>
    <t>Expected Losses</t>
  </si>
  <si>
    <t>Ultimate Losses</t>
  </si>
  <si>
    <t>Unpaid Claim Estimates</t>
  </si>
  <si>
    <t>Expected Loss Ratio Technique</t>
  </si>
  <si>
    <t>Bornhuetter-Ferguson</t>
  </si>
  <si>
    <t>Split ultimate claims into i.) Actual Reported, ii.) Expected Reported</t>
  </si>
  <si>
    <t>Formula</t>
  </si>
  <si>
    <t>Reported Claims + Unreported Claims =</t>
  </si>
  <si>
    <t>Reported Claims + (Expected Claims) * (1-%Paid)</t>
  </si>
  <si>
    <t>What is known</t>
  </si>
  <si>
    <t>Unknown</t>
  </si>
  <si>
    <t>Unreported Claims</t>
  </si>
  <si>
    <t>Pc Reported</t>
  </si>
  <si>
    <t>Ultimate Claims</t>
  </si>
  <si>
    <t>Problem</t>
  </si>
  <si>
    <t>Cumulative (Reported) Claims</t>
  </si>
  <si>
    <t>IBNR</t>
  </si>
  <si>
    <t>12 months</t>
  </si>
  <si>
    <t>24 months</t>
  </si>
  <si>
    <t>36 months</t>
  </si>
  <si>
    <t>48 months</t>
  </si>
  <si>
    <t>* No development after 48 months</t>
  </si>
  <si>
    <t>Calculate the indicated actuarial reserve using the Bornhuetter-Ferguson Technique</t>
  </si>
  <si>
    <t>and volume weighted average loss development factors</t>
  </si>
  <si>
    <t>Data</t>
  </si>
  <si>
    <t>0to1</t>
  </si>
  <si>
    <t>1to2</t>
  </si>
  <si>
    <t>2to3</t>
  </si>
  <si>
    <t>Volume Weighted Average</t>
  </si>
  <si>
    <t>Age 2 Age Factors</t>
  </si>
  <si>
    <t xml:space="preserve">Age to Ultimate </t>
  </si>
  <si>
    <t>CDF</t>
  </si>
  <si>
    <t>Pct Reported</t>
  </si>
  <si>
    <t>Expected Loss Ratio * Earned Premium</t>
  </si>
  <si>
    <t>Expected Claims</t>
  </si>
  <si>
    <t>Claims Reported</t>
  </si>
  <si>
    <t>Projected Ultimate Claims</t>
  </si>
  <si>
    <t>Calculate the ratio discounted reserves to undiscounted reserves as of December 31, 2008</t>
  </si>
  <si>
    <t>Selected Age-to-Age Paid Loss Development Factors are: 2.00 for 12/24 months, 1.20 for 24/36 months,</t>
  </si>
  <si>
    <t>1.15 for 36/48 months, and 1.00 for 48/1months.</t>
  </si>
  <si>
    <t>The interest rate is 5.0% per annum effective.</t>
  </si>
  <si>
    <t>12/24</t>
  </si>
  <si>
    <t>24/36</t>
  </si>
  <si>
    <t>36/48</t>
  </si>
  <si>
    <t>48 &gt;</t>
  </si>
  <si>
    <t xml:space="preserve">Year 0 </t>
  </si>
  <si>
    <t>Year 1</t>
  </si>
  <si>
    <t>Year2</t>
  </si>
  <si>
    <t>Year3</t>
  </si>
  <si>
    <t>Year4</t>
  </si>
  <si>
    <t>Year5</t>
  </si>
  <si>
    <t>Cumulative Loss Payments</t>
  </si>
  <si>
    <t>Calculate the total loss reserve using the Bornhuetter-Ferguson method and three year arithmetic average paid loss development factors</t>
  </si>
  <si>
    <r>
      <t>Bornhuetter-Ferguson Method</t>
    </r>
    <r>
      <rPr>
        <sz val="10"/>
        <color theme="1"/>
        <rFont val="Arial"/>
        <family val="2"/>
      </rPr>
      <t xml:space="preserve"> (Steps)</t>
    </r>
  </si>
  <si>
    <t>Technique</t>
  </si>
  <si>
    <t>Utilizes both the expected loss ratio and chain ladder techniques.</t>
  </si>
  <si>
    <t>Utilizes CDF</t>
  </si>
  <si>
    <t>Ultimate Claims = Reported Claims + Unreported Claims</t>
  </si>
  <si>
    <t>Equals Reported Claims + (Expected Claims) * (1- % Reported)</t>
  </si>
  <si>
    <t>Pct Reported is the recipricol of the CDF of the development factors.</t>
  </si>
  <si>
    <t>Calculate from the expected loss ratio * premiums earned.</t>
  </si>
  <si>
    <t>Step1</t>
  </si>
  <si>
    <t>Step2</t>
  </si>
  <si>
    <t>Step3</t>
  </si>
  <si>
    <t>Step4</t>
  </si>
  <si>
    <t>Step5</t>
  </si>
  <si>
    <t>Step6</t>
  </si>
  <si>
    <t xml:space="preserve">Expected Claims: </t>
  </si>
  <si>
    <t xml:space="preserve">CDF: </t>
  </si>
  <si>
    <t>Pct Unreported:</t>
  </si>
  <si>
    <t xml:space="preserve"> 1-(1/CDF)</t>
  </si>
  <si>
    <t xml:space="preserve">Expected Claims "Unreported":  </t>
  </si>
  <si>
    <t>Pct Unreported * Expected Claims</t>
  </si>
  <si>
    <t>Reported Claims (From triangle) + Unreported</t>
  </si>
  <si>
    <t>Case Outstanding</t>
  </si>
  <si>
    <t xml:space="preserve">Reported - Paid </t>
  </si>
  <si>
    <t>Step7</t>
  </si>
  <si>
    <t>Projected Ultimate Cliams - Reported</t>
  </si>
  <si>
    <t>Step8</t>
  </si>
  <si>
    <t>Case Outstanding + IBNR</t>
  </si>
  <si>
    <t>Total Reserve</t>
  </si>
  <si>
    <t>0 to 1</t>
  </si>
  <si>
    <t>1 to 2</t>
  </si>
  <si>
    <t>2 to 3</t>
  </si>
  <si>
    <t>3 to 4</t>
  </si>
  <si>
    <t>4 to 5</t>
  </si>
  <si>
    <t>Arithmetic Average (3 years)</t>
  </si>
  <si>
    <t>0 to 5</t>
  </si>
  <si>
    <t>1 to 5</t>
  </si>
  <si>
    <t>2 to 5</t>
  </si>
  <si>
    <t>3 to 5</t>
  </si>
  <si>
    <t>Total Reported</t>
  </si>
  <si>
    <t>12 to inf</t>
  </si>
  <si>
    <t>24 to inf</t>
  </si>
  <si>
    <t>36 to inf</t>
  </si>
  <si>
    <t>48 to inf</t>
  </si>
  <si>
    <t>Est Ultimage Claims</t>
  </si>
  <si>
    <r>
      <rPr>
        <b/>
        <sz val="10"/>
        <color theme="1"/>
        <rFont val="Arial"/>
        <family val="2"/>
      </rPr>
      <t>Differences By Period</t>
    </r>
    <r>
      <rPr>
        <sz val="10"/>
        <color theme="1"/>
        <rFont val="Arial"/>
        <family val="2"/>
      </rPr>
      <t xml:space="preserve"> (Est Amount Incremental Increase - Known)</t>
    </r>
  </si>
  <si>
    <t>Undiscounted Reserves</t>
  </si>
  <si>
    <t>Apply Interest Rate</t>
  </si>
  <si>
    <t>Discounted Reserves</t>
  </si>
  <si>
    <t>* I assume we discount the premiums based on a factor from right (most recent) to left</t>
  </si>
  <si>
    <t>* Also assuming that payments are made at the beginning of each period such that each period = 1</t>
  </si>
  <si>
    <t>Loss Payout (88% * (loss - deductible))</t>
  </si>
  <si>
    <t xml:space="preserve">Age to ultimate. </t>
  </si>
  <si>
    <t>Reserve (Solution)</t>
  </si>
  <si>
    <t>Ratio Discounted to Undiscounted (Solution)</t>
  </si>
  <si>
    <t>Total Loss Reserver (Solution)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</si>
</sst>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00_);_(* \(#,##0.000\);_(* &quot;-&quot;??_);_(@_)"/>
    <numFmt numFmtId="168" formatCode="_(* #,##0.0_);_(* \(#,##0.0\);_(* &quot;-&quot;??_);_(@_)"/>
    <numFmt numFmtId="169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9">
    <xf numFmtId="0" fontId="0" fillId="0" borderId="0" xfId="0"/>
    <xf numFmtId="44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1" xfId="0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1" applyNumberFormat="1" applyFont="1" applyFill="1" applyBorder="1"/>
    <xf numFmtId="164" fontId="0" fillId="4" borderId="1" xfId="0" applyNumberFormat="1" applyFill="1" applyBorder="1"/>
    <xf numFmtId="0" fontId="2" fillId="5" borderId="1" xfId="0" applyFont="1" applyFill="1" applyBorder="1" applyAlignment="1">
      <alignment horizontal="center" vertical="center" wrapText="1"/>
    </xf>
    <xf numFmtId="164" fontId="0" fillId="3" borderId="1" xfId="0" applyNumberFormat="1" applyFill="1" applyBorder="1"/>
    <xf numFmtId="0" fontId="0" fillId="3" borderId="1" xfId="0" applyFill="1" applyBorder="1"/>
    <xf numFmtId="0" fontId="2" fillId="2" borderId="1" xfId="0" applyFont="1" applyFill="1" applyBorder="1"/>
    <xf numFmtId="166" fontId="2" fillId="2" borderId="1" xfId="3" applyNumberFormat="1" applyFont="1" applyFill="1" applyBorder="1"/>
    <xf numFmtId="164" fontId="2" fillId="2" borderId="1" xfId="0" applyNumberFormat="1" applyFont="1" applyFill="1" applyBorder="1"/>
    <xf numFmtId="164" fontId="2" fillId="4" borderId="1" xfId="0" applyNumberFormat="1" applyFont="1" applyFill="1" applyBorder="1"/>
    <xf numFmtId="164" fontId="2" fillId="3" borderId="1" xfId="0" applyNumberFormat="1" applyFont="1" applyFill="1" applyBorder="1"/>
    <xf numFmtId="9" fontId="0" fillId="2" borderId="1" xfId="2" applyFont="1" applyFill="1" applyBorder="1"/>
    <xf numFmtId="0" fontId="3" fillId="2" borderId="0" xfId="0" applyFont="1" applyFill="1"/>
    <xf numFmtId="0" fontId="3" fillId="2" borderId="1" xfId="0" applyFont="1" applyFill="1" applyBorder="1"/>
    <xf numFmtId="164" fontId="3" fillId="2" borderId="1" xfId="1" applyNumberFormat="1" applyFont="1" applyFill="1" applyBorder="1"/>
    <xf numFmtId="9" fontId="3" fillId="2" borderId="1" xfId="2" applyFont="1" applyFill="1" applyBorder="1"/>
    <xf numFmtId="164" fontId="3" fillId="2" borderId="1" xfId="0" applyNumberFormat="1" applyFont="1" applyFill="1" applyBorder="1"/>
    <xf numFmtId="0" fontId="4" fillId="2" borderId="0" xfId="0" applyFont="1" applyFill="1"/>
    <xf numFmtId="0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3" fontId="3" fillId="2" borderId="1" xfId="3" applyFont="1" applyFill="1" applyBorder="1"/>
    <xf numFmtId="167" fontId="3" fillId="2" borderId="1" xfId="3" applyNumberFormat="1" applyFont="1" applyFill="1" applyBorder="1" applyAlignment="1">
      <alignment horizontal="center"/>
    </xf>
    <xf numFmtId="43" fontId="3" fillId="2" borderId="1" xfId="3" applyNumberFormat="1" applyFont="1" applyFill="1" applyBorder="1" applyAlignment="1">
      <alignment horizontal="center"/>
    </xf>
    <xf numFmtId="168" fontId="3" fillId="2" borderId="1" xfId="3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/>
    <xf numFmtId="164" fontId="3" fillId="2" borderId="2" xfId="1" applyNumberFormat="1" applyFont="1" applyFill="1" applyBorder="1"/>
    <xf numFmtId="0" fontId="3" fillId="2" borderId="3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11" fontId="3" fillId="2" borderId="0" xfId="0" applyNumberFormat="1" applyFont="1" applyFill="1"/>
    <xf numFmtId="11" fontId="4" fillId="2" borderId="1" xfId="0" applyNumberFormat="1" applyFont="1" applyFill="1" applyBorder="1" applyAlignment="1">
      <alignment horizontal="center"/>
    </xf>
    <xf numFmtId="12" fontId="4" fillId="2" borderId="1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3" fontId="3" fillId="2" borderId="1" xfId="0" applyNumberFormat="1" applyFont="1" applyFill="1" applyBorder="1"/>
    <xf numFmtId="43" fontId="3" fillId="2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7" borderId="0" xfId="0" applyFont="1" applyFill="1"/>
    <xf numFmtId="0" fontId="4" fillId="8" borderId="1" xfId="0" applyFont="1" applyFill="1" applyBorder="1" applyAlignment="1">
      <alignment vertical="center" wrapText="1"/>
    </xf>
    <xf numFmtId="164" fontId="3" fillId="8" borderId="1" xfId="1" applyNumberFormat="1" applyFont="1" applyFill="1" applyBorder="1"/>
    <xf numFmtId="164" fontId="4" fillId="8" borderId="1" xfId="1" applyNumberFormat="1" applyFont="1" applyFill="1" applyBorder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164" fontId="3" fillId="2" borderId="0" xfId="1" applyNumberFormat="1" applyFont="1" applyFill="1" applyBorder="1"/>
    <xf numFmtId="164" fontId="4" fillId="2" borderId="0" xfId="1" applyNumberFormat="1" applyFont="1" applyFill="1" applyBorder="1"/>
    <xf numFmtId="0" fontId="4" fillId="2" borderId="2" xfId="0" applyFont="1" applyFill="1" applyBorder="1" applyAlignment="1">
      <alignment vertical="center" wrapText="1"/>
    </xf>
    <xf numFmtId="164" fontId="3" fillId="9" borderId="1" xfId="1" applyNumberFormat="1" applyFont="1" applyFill="1" applyBorder="1"/>
    <xf numFmtId="0" fontId="4" fillId="9" borderId="1" xfId="0" applyFont="1" applyFill="1" applyBorder="1" applyAlignment="1">
      <alignment wrapText="1"/>
    </xf>
    <xf numFmtId="0" fontId="4" fillId="8" borderId="1" xfId="0" applyFont="1" applyFill="1" applyBorder="1" applyAlignment="1">
      <alignment wrapText="1"/>
    </xf>
    <xf numFmtId="164" fontId="3" fillId="8" borderId="1" xfId="0" applyNumberFormat="1" applyFont="1" applyFill="1" applyBorder="1"/>
    <xf numFmtId="0" fontId="4" fillId="8" borderId="0" xfId="0" applyFont="1" applyFill="1"/>
    <xf numFmtId="0" fontId="4" fillId="4" borderId="0" xfId="0" applyFont="1" applyFill="1"/>
    <xf numFmtId="164" fontId="4" fillId="8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43" fontId="3" fillId="4" borderId="1" xfId="2" applyNumberFormat="1" applyFont="1" applyFill="1" applyBorder="1"/>
    <xf numFmtId="164" fontId="3" fillId="4" borderId="1" xfId="0" applyNumberFormat="1" applyFont="1" applyFill="1" applyBorder="1"/>
    <xf numFmtId="164" fontId="3" fillId="4" borderId="1" xfId="0" applyNumberFormat="1" applyFont="1" applyFill="1" applyBorder="1" applyAlignment="1">
      <alignment vertical="center"/>
    </xf>
    <xf numFmtId="9" fontId="3" fillId="4" borderId="1" xfId="2" applyFont="1" applyFill="1" applyBorder="1"/>
    <xf numFmtId="0" fontId="4" fillId="4" borderId="1" xfId="0" applyFont="1" applyFill="1" applyBorder="1"/>
    <xf numFmtId="164" fontId="4" fillId="4" borderId="1" xfId="0" applyNumberFormat="1" applyFont="1" applyFill="1" applyBorder="1"/>
    <xf numFmtId="164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44" fontId="6" fillId="2" borderId="1" xfId="1" applyFont="1" applyFill="1" applyBorder="1"/>
    <xf numFmtId="164" fontId="6" fillId="2" borderId="1" xfId="1" applyNumberFormat="1" applyFont="1" applyFill="1" applyBorder="1"/>
    <xf numFmtId="0" fontId="5" fillId="2" borderId="1" xfId="0" applyFont="1" applyFill="1" applyBorder="1" applyAlignment="1">
      <alignment vertical="center" wrapText="1"/>
    </xf>
    <xf numFmtId="0" fontId="5" fillId="2" borderId="0" xfId="0" applyFont="1" applyFill="1"/>
    <xf numFmtId="49" fontId="6" fillId="2" borderId="0" xfId="0" applyNumberFormat="1" applyFont="1" applyFill="1" applyBorder="1"/>
    <xf numFmtId="0" fontId="6" fillId="2" borderId="0" xfId="0" applyFont="1" applyFill="1" applyBorder="1"/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2" fontId="6" fillId="2" borderId="1" xfId="0" applyNumberFormat="1" applyFont="1" applyFill="1" applyBorder="1" applyAlignment="1">
      <alignment horizontal="center"/>
    </xf>
    <xf numFmtId="2" fontId="6" fillId="2" borderId="1" xfId="3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9" fontId="6" fillId="2" borderId="1" xfId="2" applyFont="1" applyFill="1" applyBorder="1"/>
    <xf numFmtId="9" fontId="6" fillId="2" borderId="1" xfId="0" applyNumberFormat="1" applyFont="1" applyFill="1" applyBorder="1"/>
    <xf numFmtId="0" fontId="5" fillId="6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/>
    <xf numFmtId="164" fontId="6" fillId="6" borderId="1" xfId="0" applyNumberFormat="1" applyFont="1" applyFill="1" applyBorder="1"/>
    <xf numFmtId="0" fontId="5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2" fontId="6" fillId="10" borderId="1" xfId="0" applyNumberFormat="1" applyFont="1" applyFill="1" applyBorder="1" applyAlignment="1">
      <alignment horizontal="center" vertical="center"/>
    </xf>
    <xf numFmtId="9" fontId="6" fillId="10" borderId="1" xfId="2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wrapText="1"/>
    </xf>
    <xf numFmtId="0" fontId="5" fillId="8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/>
    <xf numFmtId="164" fontId="6" fillId="8" borderId="1" xfId="1" applyNumberFormat="1" applyFont="1" applyFill="1" applyBorder="1"/>
    <xf numFmtId="49" fontId="4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2" fontId="3" fillId="2" borderId="1" xfId="0" applyNumberFormat="1" applyFont="1" applyFill="1" applyBorder="1"/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/>
    <xf numFmtId="165" fontId="0" fillId="0" borderId="1" xfId="2" applyNumberFormat="1" applyFont="1" applyBorder="1"/>
    <xf numFmtId="164" fontId="0" fillId="0" borderId="1" xfId="1" applyNumberFormat="1" applyFon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164" fontId="3" fillId="6" borderId="1" xfId="0" applyNumberFormat="1" applyFont="1" applyFill="1" applyBorder="1"/>
    <xf numFmtId="164" fontId="4" fillId="6" borderId="1" xfId="0" applyNumberFormat="1" applyFont="1" applyFill="1" applyBorder="1"/>
    <xf numFmtId="164" fontId="7" fillId="2" borderId="1" xfId="1" applyNumberFormat="1" applyFont="1" applyFill="1" applyBorder="1"/>
    <xf numFmtId="0" fontId="4" fillId="2" borderId="0" xfId="0" applyFont="1" applyFill="1" applyBorder="1"/>
    <xf numFmtId="164" fontId="7" fillId="2" borderId="0" xfId="1" applyNumberFormat="1" applyFont="1" applyFill="1" applyBorder="1"/>
    <xf numFmtId="0" fontId="4" fillId="2" borderId="2" xfId="0" applyFont="1" applyFill="1" applyBorder="1" applyAlignment="1">
      <alignment vertical="center"/>
    </xf>
    <xf numFmtId="164" fontId="7" fillId="2" borderId="2" xfId="1" applyNumberFormat="1" applyFont="1" applyFill="1" applyBorder="1"/>
    <xf numFmtId="2" fontId="4" fillId="2" borderId="1" xfId="0" applyNumberFormat="1" applyFont="1" applyFill="1" applyBorder="1"/>
    <xf numFmtId="164" fontId="4" fillId="2" borderId="1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6" borderId="3" xfId="0" applyFont="1" applyFill="1" applyBorder="1"/>
    <xf numFmtId="164" fontId="6" fillId="6" borderId="3" xfId="0" applyNumberFormat="1" applyFont="1" applyFill="1" applyBorder="1"/>
    <xf numFmtId="2" fontId="6" fillId="10" borderId="3" xfId="0" applyNumberFormat="1" applyFont="1" applyFill="1" applyBorder="1" applyAlignment="1">
      <alignment horizontal="center" vertical="center"/>
    </xf>
    <xf numFmtId="9" fontId="6" fillId="10" borderId="3" xfId="2" applyFont="1" applyFill="1" applyBorder="1" applyAlignment="1">
      <alignment horizontal="center"/>
    </xf>
    <xf numFmtId="164" fontId="6" fillId="8" borderId="3" xfId="0" applyNumberFormat="1" applyFont="1" applyFill="1" applyBorder="1"/>
    <xf numFmtId="164" fontId="6" fillId="8" borderId="3" xfId="1" applyNumberFormat="1" applyFont="1" applyFill="1" applyBorder="1"/>
    <xf numFmtId="0" fontId="5" fillId="2" borderId="1" xfId="0" applyFont="1" applyFill="1" applyBorder="1"/>
    <xf numFmtId="164" fontId="5" fillId="2" borderId="1" xfId="0" applyNumberFormat="1" applyFont="1" applyFill="1" applyBorder="1"/>
    <xf numFmtId="0" fontId="5" fillId="7" borderId="1" xfId="0" applyFont="1" applyFill="1" applyBorder="1" applyAlignment="1">
      <alignment vertical="center" wrapText="1"/>
    </xf>
    <xf numFmtId="164" fontId="6" fillId="7" borderId="1" xfId="0" applyNumberFormat="1" applyFont="1" applyFill="1" applyBorder="1"/>
    <xf numFmtId="164" fontId="5" fillId="7" borderId="1" xfId="0" applyNumberFormat="1" applyFont="1" applyFill="1" applyBorder="1"/>
    <xf numFmtId="0" fontId="4" fillId="7" borderId="1" xfId="0" applyFont="1" applyFill="1" applyBorder="1" applyAlignment="1">
      <alignment wrapText="1"/>
    </xf>
    <xf numFmtId="0" fontId="3" fillId="7" borderId="1" xfId="0" applyFont="1" applyFill="1" applyBorder="1"/>
    <xf numFmtId="10" fontId="3" fillId="7" borderId="1" xfId="2" applyNumberFormat="1" applyFont="1" applyFill="1" applyBorder="1"/>
    <xf numFmtId="164" fontId="4" fillId="2" borderId="0" xfId="0" applyNumberFormat="1" applyFont="1" applyFill="1" applyBorder="1"/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164" fontId="4" fillId="2" borderId="1" xfId="0" applyNumberFormat="1" applyFont="1" applyFill="1" applyBorder="1" applyAlignment="1">
      <alignment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72D15-F77C-456B-A2E9-9E7BAE9EFA15}">
  <dimension ref="A1:D16"/>
  <sheetViews>
    <sheetView workbookViewId="0">
      <selection sqref="A1:I16"/>
    </sheetView>
  </sheetViews>
  <sheetFormatPr defaultRowHeight="13.2" x14ac:dyDescent="0.25"/>
  <cols>
    <col min="1" max="1" width="14.6640625" style="20" customWidth="1"/>
    <col min="2" max="2" width="17" style="20" customWidth="1"/>
    <col min="3" max="16384" width="8.88671875" style="20"/>
  </cols>
  <sheetData>
    <row r="1" spans="1:4" x14ac:dyDescent="0.25">
      <c r="A1" s="25" t="s">
        <v>144</v>
      </c>
    </row>
    <row r="2" spans="1:4" x14ac:dyDescent="0.25">
      <c r="A2" s="25" t="s">
        <v>145</v>
      </c>
      <c r="B2" s="20" t="s">
        <v>146</v>
      </c>
    </row>
    <row r="3" spans="1:4" x14ac:dyDescent="0.25">
      <c r="B3" s="20" t="s">
        <v>147</v>
      </c>
    </row>
    <row r="4" spans="1:4" x14ac:dyDescent="0.25">
      <c r="A4" s="25" t="s">
        <v>97</v>
      </c>
      <c r="B4" s="20" t="s">
        <v>148</v>
      </c>
    </row>
    <row r="5" spans="1:4" x14ac:dyDescent="0.25">
      <c r="B5" s="20" t="s">
        <v>149</v>
      </c>
    </row>
    <row r="6" spans="1:4" x14ac:dyDescent="0.25">
      <c r="B6" s="20" t="s">
        <v>150</v>
      </c>
    </row>
    <row r="8" spans="1:4" x14ac:dyDescent="0.25">
      <c r="A8" s="25"/>
    </row>
    <row r="9" spans="1:4" x14ac:dyDescent="0.25">
      <c r="A9" s="25" t="s">
        <v>152</v>
      </c>
      <c r="B9" s="20" t="s">
        <v>158</v>
      </c>
      <c r="D9" s="20" t="s">
        <v>151</v>
      </c>
    </row>
    <row r="10" spans="1:4" x14ac:dyDescent="0.25">
      <c r="A10" s="25" t="s">
        <v>153</v>
      </c>
      <c r="B10" s="20" t="s">
        <v>159</v>
      </c>
      <c r="D10" s="20" t="s">
        <v>195</v>
      </c>
    </row>
    <row r="11" spans="1:4" x14ac:dyDescent="0.25">
      <c r="A11" s="25" t="s">
        <v>154</v>
      </c>
      <c r="B11" s="20" t="s">
        <v>160</v>
      </c>
      <c r="D11" s="20" t="s">
        <v>161</v>
      </c>
    </row>
    <row r="12" spans="1:4" x14ac:dyDescent="0.25">
      <c r="A12" s="25" t="s">
        <v>155</v>
      </c>
      <c r="B12" s="20" t="s">
        <v>162</v>
      </c>
      <c r="D12" s="20" t="s">
        <v>163</v>
      </c>
    </row>
    <row r="13" spans="1:4" x14ac:dyDescent="0.25">
      <c r="A13" s="25" t="s">
        <v>156</v>
      </c>
      <c r="B13" s="20" t="s">
        <v>104</v>
      </c>
      <c r="D13" s="20" t="s">
        <v>164</v>
      </c>
    </row>
    <row r="14" spans="1:4" x14ac:dyDescent="0.25">
      <c r="A14" s="25" t="s">
        <v>157</v>
      </c>
      <c r="B14" s="20" t="s">
        <v>165</v>
      </c>
      <c r="D14" s="20" t="s">
        <v>166</v>
      </c>
    </row>
    <row r="15" spans="1:4" x14ac:dyDescent="0.25">
      <c r="A15" s="25" t="s">
        <v>167</v>
      </c>
      <c r="B15" s="20" t="s">
        <v>107</v>
      </c>
      <c r="D15" s="20" t="s">
        <v>168</v>
      </c>
    </row>
    <row r="16" spans="1:4" x14ac:dyDescent="0.25">
      <c r="A16" s="25" t="s">
        <v>169</v>
      </c>
      <c r="B16" s="20" t="s">
        <v>171</v>
      </c>
      <c r="D16" s="20" t="s">
        <v>170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E4B22-04AF-4C49-B59F-9EAB1AE6B518}">
  <dimension ref="A1:P44"/>
  <sheetViews>
    <sheetView workbookViewId="0">
      <selection activeCell="A2" sqref="A2"/>
    </sheetView>
  </sheetViews>
  <sheetFormatPr defaultRowHeight="13.2" x14ac:dyDescent="0.25"/>
  <cols>
    <col min="1" max="1" width="17.77734375" style="20" customWidth="1"/>
    <col min="2" max="3" width="10.44140625" style="20" bestFit="1" customWidth="1"/>
    <col min="4" max="6" width="11.44140625" style="20" bestFit="1" customWidth="1"/>
    <col min="7" max="7" width="10.44140625" style="20" bestFit="1" customWidth="1"/>
    <col min="8" max="8" width="11.44140625" style="20" bestFit="1" customWidth="1"/>
    <col min="9" max="10" width="8.88671875" style="20"/>
    <col min="11" max="11" width="11.109375" style="20" customWidth="1"/>
    <col min="12" max="12" width="11.88671875" style="20" customWidth="1"/>
    <col min="13" max="13" width="11.44140625" style="20" bestFit="1" customWidth="1"/>
    <col min="14" max="14" width="8.88671875" style="20"/>
    <col min="15" max="15" width="11.5546875" style="20" customWidth="1"/>
    <col min="16" max="16384" width="8.88671875" style="20"/>
  </cols>
  <sheetData>
    <row r="1" spans="1:16" x14ac:dyDescent="0.25">
      <c r="A1" s="25" t="s">
        <v>105</v>
      </c>
    </row>
    <row r="2" spans="1:16" x14ac:dyDescent="0.25">
      <c r="A2" s="20" t="s">
        <v>143</v>
      </c>
    </row>
    <row r="4" spans="1:16" x14ac:dyDescent="0.25">
      <c r="A4" s="139" t="s">
        <v>142</v>
      </c>
      <c r="B4" s="139"/>
      <c r="C4" s="139"/>
      <c r="D4" s="139"/>
      <c r="E4" s="139"/>
      <c r="F4" s="139"/>
      <c r="G4" s="139"/>
      <c r="H4" s="157"/>
      <c r="I4" s="157"/>
      <c r="J4" s="60"/>
    </row>
    <row r="5" spans="1:16" x14ac:dyDescent="0.25">
      <c r="A5" s="21"/>
      <c r="B5" s="139" t="s">
        <v>54</v>
      </c>
      <c r="C5" s="139"/>
      <c r="D5" s="139"/>
      <c r="E5" s="139"/>
      <c r="F5" s="139"/>
      <c r="G5" s="139"/>
      <c r="H5" s="60"/>
      <c r="I5" s="60"/>
      <c r="J5" s="60"/>
    </row>
    <row r="6" spans="1:16" x14ac:dyDescent="0.25">
      <c r="A6" s="117" t="s">
        <v>38</v>
      </c>
      <c r="B6" s="117" t="s">
        <v>136</v>
      </c>
      <c r="C6" s="117" t="s">
        <v>137</v>
      </c>
      <c r="D6" s="117" t="s">
        <v>138</v>
      </c>
      <c r="E6" s="117" t="s">
        <v>139</v>
      </c>
      <c r="F6" s="117" t="s">
        <v>140</v>
      </c>
      <c r="G6" s="117" t="s">
        <v>141</v>
      </c>
      <c r="H6" s="60"/>
      <c r="I6" s="60"/>
      <c r="J6" s="60"/>
    </row>
    <row r="7" spans="1:16" x14ac:dyDescent="0.25">
      <c r="A7" s="21">
        <v>2004</v>
      </c>
      <c r="B7" s="22">
        <v>1400</v>
      </c>
      <c r="C7" s="22">
        <v>5200</v>
      </c>
      <c r="D7" s="22">
        <v>7300</v>
      </c>
      <c r="E7" s="22">
        <v>8800</v>
      </c>
      <c r="F7" s="22">
        <v>9800</v>
      </c>
      <c r="G7" s="22">
        <v>9800</v>
      </c>
      <c r="H7" s="60"/>
      <c r="I7" s="60"/>
      <c r="J7" s="60"/>
    </row>
    <row r="8" spans="1:16" x14ac:dyDescent="0.25">
      <c r="A8" s="21">
        <f>A7+1</f>
        <v>2005</v>
      </c>
      <c r="B8" s="22">
        <v>2200</v>
      </c>
      <c r="C8" s="22">
        <v>6400</v>
      </c>
      <c r="D8" s="22">
        <v>8800</v>
      </c>
      <c r="E8" s="22">
        <v>10200</v>
      </c>
      <c r="F8" s="22">
        <v>11500</v>
      </c>
      <c r="G8" s="22"/>
      <c r="H8" s="60"/>
      <c r="I8" s="60"/>
      <c r="J8" s="60"/>
    </row>
    <row r="9" spans="1:16" x14ac:dyDescent="0.25">
      <c r="A9" s="21">
        <f>A8+1</f>
        <v>2006</v>
      </c>
      <c r="B9" s="22">
        <v>2500</v>
      </c>
      <c r="C9" s="22">
        <v>7500</v>
      </c>
      <c r="D9" s="22">
        <v>10700</v>
      </c>
      <c r="E9" s="22">
        <v>12600</v>
      </c>
      <c r="F9" s="22"/>
      <c r="G9" s="22"/>
    </row>
    <row r="10" spans="1:16" x14ac:dyDescent="0.25">
      <c r="A10" s="21">
        <f>A9+1</f>
        <v>2007</v>
      </c>
      <c r="B10" s="22">
        <v>2800</v>
      </c>
      <c r="C10" s="22">
        <v>8700</v>
      </c>
      <c r="D10" s="22">
        <v>12900</v>
      </c>
      <c r="E10" s="22"/>
      <c r="F10" s="22"/>
      <c r="G10" s="22"/>
    </row>
    <row r="11" spans="1:16" x14ac:dyDescent="0.25">
      <c r="A11" s="21">
        <f>A10+1</f>
        <v>2008</v>
      </c>
      <c r="B11" s="22">
        <v>2500</v>
      </c>
      <c r="C11" s="22">
        <v>7900</v>
      </c>
      <c r="D11" s="22"/>
      <c r="E11" s="22"/>
      <c r="F11" s="22"/>
      <c r="G11" s="22"/>
    </row>
    <row r="12" spans="1:16" x14ac:dyDescent="0.25">
      <c r="A12" s="21">
        <f>A11+1</f>
        <v>2009</v>
      </c>
      <c r="B12" s="22">
        <v>2600</v>
      </c>
      <c r="C12" s="22"/>
      <c r="D12" s="22"/>
      <c r="E12" s="22"/>
      <c r="F12" s="22"/>
      <c r="G12" s="22"/>
    </row>
    <row r="13" spans="1:16" x14ac:dyDescent="0.25">
      <c r="A13" s="21"/>
      <c r="B13" s="21"/>
      <c r="C13" s="21"/>
      <c r="D13" s="21"/>
      <c r="E13" s="21"/>
      <c r="F13" s="36"/>
      <c r="G13" s="21"/>
    </row>
    <row r="14" spans="1:16" x14ac:dyDescent="0.25">
      <c r="A14" s="60"/>
      <c r="B14" s="60"/>
      <c r="C14" s="60"/>
      <c r="D14" s="60"/>
      <c r="E14" s="60"/>
      <c r="F14" s="132"/>
      <c r="G14" s="132"/>
      <c r="H14" s="155"/>
      <c r="I14" s="132"/>
      <c r="J14" s="155"/>
      <c r="K14" s="155"/>
      <c r="L14" s="156"/>
      <c r="M14" s="155"/>
      <c r="N14" s="155"/>
      <c r="O14" s="155"/>
      <c r="P14" s="155"/>
    </row>
    <row r="15" spans="1:16" x14ac:dyDescent="0.25">
      <c r="A15" s="60"/>
      <c r="B15" s="60"/>
      <c r="C15" s="60"/>
      <c r="D15" s="60"/>
      <c r="E15" s="60"/>
      <c r="F15" s="132"/>
      <c r="G15" s="132"/>
      <c r="H15" s="155"/>
      <c r="I15" s="132"/>
      <c r="J15" s="155"/>
      <c r="K15" s="155"/>
      <c r="L15" s="156"/>
      <c r="M15" s="155"/>
      <c r="N15" s="155"/>
      <c r="O15" s="155"/>
      <c r="P15" s="155"/>
    </row>
    <row r="16" spans="1:16" ht="66" x14ac:dyDescent="0.25">
      <c r="A16" s="117" t="s">
        <v>38</v>
      </c>
      <c r="B16" s="117" t="s">
        <v>39</v>
      </c>
      <c r="C16" s="117" t="s">
        <v>40</v>
      </c>
      <c r="D16" s="117" t="s">
        <v>125</v>
      </c>
      <c r="E16" s="117" t="s">
        <v>182</v>
      </c>
      <c r="F16" s="117" t="s">
        <v>79</v>
      </c>
      <c r="G16" s="120" t="s">
        <v>81</v>
      </c>
      <c r="H16" s="117" t="s">
        <v>104</v>
      </c>
      <c r="I16" s="117" t="s">
        <v>165</v>
      </c>
      <c r="J16" s="37" t="s">
        <v>107</v>
      </c>
      <c r="K16" s="158" t="s">
        <v>198</v>
      </c>
      <c r="L16" s="156"/>
      <c r="M16" s="155"/>
      <c r="N16" s="155"/>
      <c r="O16" s="155"/>
      <c r="P16" s="155"/>
    </row>
    <row r="17" spans="1:16" x14ac:dyDescent="0.25">
      <c r="A17" s="21">
        <v>2004</v>
      </c>
      <c r="B17" s="22">
        <v>18000</v>
      </c>
      <c r="C17" s="21">
        <v>0.55000000000000004</v>
      </c>
      <c r="D17" s="24">
        <f>B17*C17</f>
        <v>9900</v>
      </c>
      <c r="E17" s="24">
        <f>G7</f>
        <v>9800</v>
      </c>
      <c r="F17" s="51">
        <v>0</v>
      </c>
      <c r="G17" s="24">
        <f t="shared" ref="G17:G22" si="0">F17*D17</f>
        <v>0</v>
      </c>
      <c r="H17" s="24">
        <f t="shared" ref="H17:H23" si="1">G17+E17</f>
        <v>9800</v>
      </c>
      <c r="I17" s="24">
        <f t="shared" ref="I17:I23" si="2">H17-E17</f>
        <v>0</v>
      </c>
      <c r="J17" s="24">
        <f>I17+G17</f>
        <v>0</v>
      </c>
      <c r="K17" s="38">
        <f>J17+G17</f>
        <v>0</v>
      </c>
      <c r="L17" s="156"/>
      <c r="M17" s="155"/>
      <c r="N17" s="155"/>
      <c r="O17" s="155"/>
      <c r="P17" s="155"/>
    </row>
    <row r="18" spans="1:16" x14ac:dyDescent="0.25">
      <c r="A18" s="21">
        <f>A17+1</f>
        <v>2005</v>
      </c>
      <c r="B18" s="22">
        <v>20000</v>
      </c>
      <c r="C18" s="21">
        <f>C17</f>
        <v>0.55000000000000004</v>
      </c>
      <c r="D18" s="24">
        <f t="shared" ref="D18:D22" si="3">B18*C18</f>
        <v>11000</v>
      </c>
      <c r="E18" s="24">
        <f>F8</f>
        <v>11500</v>
      </c>
      <c r="F18" s="51">
        <v>0</v>
      </c>
      <c r="G18" s="24">
        <f t="shared" si="0"/>
        <v>0</v>
      </c>
      <c r="H18" s="24">
        <f t="shared" si="1"/>
        <v>11500</v>
      </c>
      <c r="I18" s="24">
        <f t="shared" si="2"/>
        <v>0</v>
      </c>
      <c r="J18" s="24">
        <f t="shared" ref="J18:J23" si="4">I18+G18</f>
        <v>0</v>
      </c>
      <c r="K18" s="38">
        <f t="shared" ref="K18:K23" si="5">J18+G18</f>
        <v>0</v>
      </c>
      <c r="L18" s="156"/>
      <c r="M18" s="155"/>
      <c r="N18" s="155"/>
      <c r="O18" s="155"/>
      <c r="P18" s="155"/>
    </row>
    <row r="19" spans="1:16" x14ac:dyDescent="0.25">
      <c r="A19" s="21">
        <f>A18+1</f>
        <v>2006</v>
      </c>
      <c r="B19" s="22">
        <v>25000</v>
      </c>
      <c r="C19" s="21">
        <f>C18</f>
        <v>0.55000000000000004</v>
      </c>
      <c r="D19" s="24">
        <f t="shared" si="3"/>
        <v>13750.000000000002</v>
      </c>
      <c r="E19" s="24">
        <f>E9</f>
        <v>12600</v>
      </c>
      <c r="F19" s="51">
        <f>E44</f>
        <v>0.10757605885862009</v>
      </c>
      <c r="G19" s="24">
        <f t="shared" si="0"/>
        <v>1479.1708093060265</v>
      </c>
      <c r="H19" s="24">
        <f t="shared" si="1"/>
        <v>14079.170809306026</v>
      </c>
      <c r="I19" s="24">
        <f t="shared" si="2"/>
        <v>1479.1708093060261</v>
      </c>
      <c r="J19" s="24">
        <f t="shared" si="4"/>
        <v>2958.3416186120526</v>
      </c>
      <c r="K19" s="38">
        <f t="shared" si="5"/>
        <v>4437.5124279180791</v>
      </c>
      <c r="L19" s="156"/>
      <c r="M19" s="155"/>
      <c r="N19" s="155"/>
      <c r="O19" s="155"/>
      <c r="P19" s="155"/>
    </row>
    <row r="20" spans="1:16" x14ac:dyDescent="0.25">
      <c r="A20" s="21">
        <f>A19+1</f>
        <v>2007</v>
      </c>
      <c r="B20" s="22">
        <v>26000</v>
      </c>
      <c r="C20" s="21">
        <f>C19</f>
        <v>0.55000000000000004</v>
      </c>
      <c r="D20" s="24">
        <f t="shared" si="3"/>
        <v>14300.000000000002</v>
      </c>
      <c r="E20" s="24">
        <f>D10</f>
        <v>12900</v>
      </c>
      <c r="F20" s="51">
        <f>D44</f>
        <v>0.24416553839796373</v>
      </c>
      <c r="G20" s="24">
        <f t="shared" si="0"/>
        <v>3491.5671990908818</v>
      </c>
      <c r="H20" s="24">
        <f t="shared" si="1"/>
        <v>16391.567199090881</v>
      </c>
      <c r="I20" s="24">
        <f t="shared" si="2"/>
        <v>3491.5671990908813</v>
      </c>
      <c r="J20" s="24">
        <f t="shared" si="4"/>
        <v>6983.1343981817627</v>
      </c>
      <c r="K20" s="38">
        <f t="shared" si="5"/>
        <v>10474.701597272644</v>
      </c>
      <c r="L20" s="156"/>
      <c r="M20" s="155"/>
      <c r="N20" s="155"/>
      <c r="O20" s="155"/>
      <c r="P20" s="155"/>
    </row>
    <row r="21" spans="1:16" x14ac:dyDescent="0.25">
      <c r="A21" s="21">
        <f>A20+1</f>
        <v>2008</v>
      </c>
      <c r="B21" s="22">
        <v>27000</v>
      </c>
      <c r="C21" s="21">
        <f>C20</f>
        <v>0.55000000000000004</v>
      </c>
      <c r="D21" s="24">
        <f t="shared" si="3"/>
        <v>14850.000000000002</v>
      </c>
      <c r="E21" s="24">
        <f>C11</f>
        <v>7900</v>
      </c>
      <c r="F21" s="51">
        <f>C44</f>
        <v>0.47075669833765332</v>
      </c>
      <c r="G21" s="24">
        <f t="shared" si="0"/>
        <v>6990.736970314153</v>
      </c>
      <c r="H21" s="24">
        <f t="shared" si="1"/>
        <v>14890.736970314152</v>
      </c>
      <c r="I21" s="24">
        <f t="shared" si="2"/>
        <v>6990.7369703141521</v>
      </c>
      <c r="J21" s="24">
        <f t="shared" si="4"/>
        <v>13981.473940628304</v>
      </c>
      <c r="K21" s="38">
        <f t="shared" si="5"/>
        <v>20972.210910942456</v>
      </c>
      <c r="L21" s="156"/>
      <c r="M21" s="155"/>
      <c r="N21" s="155"/>
      <c r="O21" s="155"/>
      <c r="P21" s="155"/>
    </row>
    <row r="22" spans="1:16" x14ac:dyDescent="0.25">
      <c r="A22" s="21">
        <f>A21+1</f>
        <v>2009</v>
      </c>
      <c r="B22" s="22">
        <v>28000</v>
      </c>
      <c r="C22" s="21">
        <f>C21</f>
        <v>0.55000000000000004</v>
      </c>
      <c r="D22" s="24">
        <f t="shared" si="3"/>
        <v>15400.000000000002</v>
      </c>
      <c r="E22" s="24">
        <f>B12</f>
        <v>2600</v>
      </c>
      <c r="F22" s="51">
        <f>B44</f>
        <v>0.82867104462911545</v>
      </c>
      <c r="G22" s="24">
        <f t="shared" si="0"/>
        <v>12761.534087288379</v>
      </c>
      <c r="H22" s="24">
        <f t="shared" si="1"/>
        <v>15361.534087288379</v>
      </c>
      <c r="I22" s="24">
        <f t="shared" si="2"/>
        <v>12761.534087288379</v>
      </c>
      <c r="J22" s="24">
        <f t="shared" si="4"/>
        <v>25523.068174576758</v>
      </c>
      <c r="K22" s="38">
        <f t="shared" si="5"/>
        <v>38284.602261865133</v>
      </c>
      <c r="L22" s="156"/>
      <c r="M22" s="155"/>
      <c r="N22" s="155"/>
      <c r="O22" s="155"/>
      <c r="P22" s="155"/>
    </row>
    <row r="23" spans="1:16" x14ac:dyDescent="0.25">
      <c r="A23" s="36" t="s">
        <v>49</v>
      </c>
      <c r="B23" s="38">
        <f>SUM(B17:B22)</f>
        <v>144000</v>
      </c>
      <c r="C23" s="36"/>
      <c r="D23" s="38">
        <f>SUM(D17:D22)</f>
        <v>79200</v>
      </c>
      <c r="E23" s="38">
        <f>SUM(E17:E22)</f>
        <v>57300</v>
      </c>
      <c r="F23" s="116"/>
      <c r="G23" s="38">
        <f>SUM(G17:G22)</f>
        <v>24723.009065999438</v>
      </c>
      <c r="H23" s="38">
        <f t="shared" si="1"/>
        <v>82023.009065999446</v>
      </c>
      <c r="I23" s="38">
        <f t="shared" si="2"/>
        <v>24723.009065999446</v>
      </c>
      <c r="J23" s="38">
        <f t="shared" si="4"/>
        <v>49446.018131998884</v>
      </c>
      <c r="K23" s="38">
        <f t="shared" si="5"/>
        <v>74169.027197998323</v>
      </c>
      <c r="L23" s="156"/>
      <c r="M23" s="155"/>
      <c r="N23" s="155"/>
      <c r="O23" s="155"/>
      <c r="P23" s="155"/>
    </row>
    <row r="25" spans="1:16" x14ac:dyDescent="0.25">
      <c r="A25" s="25" t="s">
        <v>55</v>
      </c>
    </row>
    <row r="26" spans="1:16" x14ac:dyDescent="0.25">
      <c r="A26" s="21" t="s">
        <v>38</v>
      </c>
      <c r="B26" s="72" t="s">
        <v>172</v>
      </c>
      <c r="C26" s="72" t="s">
        <v>173</v>
      </c>
      <c r="D26" s="72" t="s">
        <v>174</v>
      </c>
      <c r="E26" s="72" t="s">
        <v>175</v>
      </c>
      <c r="F26" s="72" t="s">
        <v>176</v>
      </c>
      <c r="J26" s="25"/>
    </row>
    <row r="27" spans="1:16" x14ac:dyDescent="0.25">
      <c r="A27" s="21">
        <v>2004</v>
      </c>
      <c r="B27" s="30">
        <f>C7/B7</f>
        <v>3.7142857142857144</v>
      </c>
      <c r="C27" s="53">
        <f>D7/C7</f>
        <v>1.4038461538461537</v>
      </c>
      <c r="D27" s="53">
        <f>E7/D7</f>
        <v>1.2054794520547945</v>
      </c>
      <c r="E27" s="53">
        <f>F7/E7</f>
        <v>1.1136363636363635</v>
      </c>
      <c r="F27" s="53">
        <f>G7/F7</f>
        <v>1</v>
      </c>
      <c r="J27" s="25"/>
    </row>
    <row r="28" spans="1:16" x14ac:dyDescent="0.25">
      <c r="A28" s="21">
        <f>A27+1</f>
        <v>2005</v>
      </c>
      <c r="B28" s="30">
        <f t="shared" ref="B28:B32" si="6">C8/B8</f>
        <v>2.9090909090909092</v>
      </c>
      <c r="C28" s="53">
        <f>D8/C8</f>
        <v>1.375</v>
      </c>
      <c r="D28" s="53">
        <f>E8/D8</f>
        <v>1.1590909090909092</v>
      </c>
      <c r="E28" s="53">
        <f>F8/E8</f>
        <v>1.1274509803921569</v>
      </c>
      <c r="F28" s="53"/>
    </row>
    <row r="29" spans="1:16" x14ac:dyDescent="0.25">
      <c r="A29" s="21">
        <f>A28+1</f>
        <v>2006</v>
      </c>
      <c r="B29" s="30">
        <f t="shared" si="6"/>
        <v>3</v>
      </c>
      <c r="C29" s="53">
        <f>D9/C9</f>
        <v>1.4266666666666667</v>
      </c>
      <c r="D29" s="53">
        <f>E9/D9</f>
        <v>1.1775700934579438</v>
      </c>
      <c r="E29" s="53"/>
      <c r="F29" s="53"/>
      <c r="J29" s="25"/>
    </row>
    <row r="30" spans="1:16" x14ac:dyDescent="0.25">
      <c r="A30" s="21">
        <f>A29+1</f>
        <v>2007</v>
      </c>
      <c r="B30" s="30">
        <f t="shared" si="6"/>
        <v>3.1071428571428572</v>
      </c>
      <c r="C30" s="53">
        <f>D10/C10</f>
        <v>1.4827586206896552</v>
      </c>
      <c r="D30" s="53"/>
      <c r="E30" s="53"/>
      <c r="F30" s="53"/>
    </row>
    <row r="31" spans="1:16" x14ac:dyDescent="0.25">
      <c r="A31" s="21">
        <f>A30+1</f>
        <v>2008</v>
      </c>
      <c r="B31" s="30">
        <f t="shared" si="6"/>
        <v>3.16</v>
      </c>
      <c r="C31" s="53"/>
      <c r="D31" s="53"/>
      <c r="E31" s="53"/>
      <c r="F31" s="53"/>
    </row>
    <row r="32" spans="1:16" x14ac:dyDescent="0.25">
      <c r="A32" s="21">
        <f>A31+1</f>
        <v>2009</v>
      </c>
      <c r="B32" s="30">
        <f t="shared" si="6"/>
        <v>0</v>
      </c>
      <c r="C32" s="53"/>
      <c r="D32" s="53"/>
      <c r="E32" s="53"/>
      <c r="F32" s="53"/>
    </row>
    <row r="33" spans="1:10" x14ac:dyDescent="0.25">
      <c r="J33" s="25"/>
    </row>
    <row r="34" spans="1:10" x14ac:dyDescent="0.25">
      <c r="A34" s="25" t="s">
        <v>177</v>
      </c>
      <c r="J34" s="25"/>
    </row>
    <row r="35" spans="1:10" x14ac:dyDescent="0.25">
      <c r="A35" s="21" t="s">
        <v>60</v>
      </c>
      <c r="B35" s="52">
        <f>AVERAGE(B29:B31)</f>
        <v>3.0890476190476193</v>
      </c>
      <c r="C35" s="52">
        <f>AVERAGE(C28:C30)</f>
        <v>1.4281417624521076</v>
      </c>
      <c r="D35" s="52">
        <f>AVERAGE(D27:D29)</f>
        <v>1.1807134848678824</v>
      </c>
      <c r="E35" s="52">
        <f>AVERAGE(E27:E28)</f>
        <v>1.1205436720142603</v>
      </c>
      <c r="F35" s="52">
        <f>F27</f>
        <v>1</v>
      </c>
      <c r="J35" s="25"/>
    </row>
    <row r="36" spans="1:10" x14ac:dyDescent="0.25">
      <c r="J36" s="25"/>
    </row>
    <row r="37" spans="1:10" x14ac:dyDescent="0.25">
      <c r="A37" s="25" t="s">
        <v>64</v>
      </c>
      <c r="B37" s="118" t="s">
        <v>178</v>
      </c>
      <c r="C37" s="118" t="s">
        <v>179</v>
      </c>
      <c r="D37" s="118" t="s">
        <v>180</v>
      </c>
      <c r="E37" s="118" t="s">
        <v>181</v>
      </c>
      <c r="F37" s="118" t="s">
        <v>176</v>
      </c>
      <c r="J37" s="25"/>
    </row>
    <row r="38" spans="1:10" x14ac:dyDescent="0.25">
      <c r="A38" s="36" t="s">
        <v>60</v>
      </c>
      <c r="B38" s="53">
        <f>B35*C35*D35*E35*F35</f>
        <v>5.8367250172934799</v>
      </c>
      <c r="C38" s="53">
        <f>C35*D35*E35*F35</f>
        <v>1.8894901397127035</v>
      </c>
      <c r="D38" s="53">
        <f>D35*E35*F35</f>
        <v>1.3230410239306107</v>
      </c>
      <c r="E38" s="53">
        <f>E35*F35</f>
        <v>1.1205436720142603</v>
      </c>
      <c r="F38" s="53">
        <f>F35</f>
        <v>1</v>
      </c>
      <c r="J38" s="25"/>
    </row>
    <row r="39" spans="1:10" x14ac:dyDescent="0.25">
      <c r="J39" s="25"/>
    </row>
    <row r="40" spans="1:10" x14ac:dyDescent="0.25">
      <c r="A40" s="25" t="s">
        <v>123</v>
      </c>
      <c r="J40" s="25"/>
    </row>
    <row r="41" spans="1:10" x14ac:dyDescent="0.25">
      <c r="A41" s="21"/>
      <c r="B41" s="52">
        <f>1/B38</f>
        <v>0.17132895537088455</v>
      </c>
      <c r="C41" s="52">
        <f>1/C38</f>
        <v>0.52924330166234668</v>
      </c>
      <c r="D41" s="52">
        <f>1/D38</f>
        <v>0.75583446160203627</v>
      </c>
      <c r="E41" s="52">
        <f>1/E38</f>
        <v>0.89242394114137991</v>
      </c>
      <c r="F41" s="52">
        <f>1/F38</f>
        <v>1</v>
      </c>
      <c r="J41" s="25"/>
    </row>
    <row r="43" spans="1:10" x14ac:dyDescent="0.25">
      <c r="A43" s="25" t="s">
        <v>79</v>
      </c>
    </row>
    <row r="44" spans="1:10" x14ac:dyDescent="0.25">
      <c r="A44" s="21"/>
      <c r="B44" s="52">
        <f>1-(1/B38)</f>
        <v>0.82867104462911545</v>
      </c>
      <c r="C44" s="52">
        <f>1-(1/C38)</f>
        <v>0.47075669833765332</v>
      </c>
      <c r="D44" s="52">
        <f>1-(1/D38)</f>
        <v>0.24416553839796373</v>
      </c>
      <c r="E44" s="52">
        <f>1-(1/E38)</f>
        <v>0.10757605885862009</v>
      </c>
      <c r="F44" s="52">
        <f>1-(1/F38)</f>
        <v>0</v>
      </c>
    </row>
  </sheetData>
  <mergeCells count="2">
    <mergeCell ref="B5:G5"/>
    <mergeCell ref="A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61EA3-F82D-42B6-920E-C8759328CBDF}">
  <dimension ref="A1:J17"/>
  <sheetViews>
    <sheetView workbookViewId="0">
      <selection activeCell="I7" sqref="I7"/>
    </sheetView>
  </sheetViews>
  <sheetFormatPr defaultRowHeight="14.4" x14ac:dyDescent="0.3"/>
  <cols>
    <col min="5" max="5" width="10.109375" bestFit="1" customWidth="1"/>
  </cols>
  <sheetData>
    <row r="1" spans="1:10" x14ac:dyDescent="0.3">
      <c r="A1" s="126" t="s">
        <v>0</v>
      </c>
      <c r="B1" s="126" t="s">
        <v>1</v>
      </c>
      <c r="C1" s="126"/>
      <c r="D1" s="126" t="s">
        <v>2</v>
      </c>
      <c r="E1" s="126" t="s">
        <v>3</v>
      </c>
      <c r="F1" s="126" t="s">
        <v>4</v>
      </c>
    </row>
    <row r="2" spans="1:10" x14ac:dyDescent="0.3">
      <c r="A2" s="122">
        <v>250</v>
      </c>
      <c r="B2" s="122">
        <v>250</v>
      </c>
      <c r="C2" s="122">
        <v>1000</v>
      </c>
      <c r="D2" s="123">
        <f t="shared" ref="D2:D17" si="0">(A2-B2)/(1000-B2)</f>
        <v>0</v>
      </c>
      <c r="E2" s="124">
        <f t="shared" ref="E2:E17" si="1">D2*C2</f>
        <v>0</v>
      </c>
      <c r="F2" s="122"/>
    </row>
    <row r="3" spans="1:10" x14ac:dyDescent="0.3">
      <c r="A3" s="122">
        <v>300</v>
      </c>
      <c r="B3" s="122">
        <v>250</v>
      </c>
      <c r="C3" s="122">
        <v>1000</v>
      </c>
      <c r="D3" s="123">
        <f t="shared" si="0"/>
        <v>6.6666666666666666E-2</v>
      </c>
      <c r="E3" s="124">
        <f t="shared" si="1"/>
        <v>66.666666666666671</v>
      </c>
      <c r="F3" s="125">
        <f>D3-D2</f>
        <v>6.6666666666666666E-2</v>
      </c>
    </row>
    <row r="4" spans="1:10" x14ac:dyDescent="0.3">
      <c r="A4" s="122">
        <f t="shared" ref="A4:A17" si="2">A3+50</f>
        <v>350</v>
      </c>
      <c r="B4" s="122">
        <v>250</v>
      </c>
      <c r="C4" s="122">
        <v>1000</v>
      </c>
      <c r="D4" s="123">
        <f t="shared" si="0"/>
        <v>0.13333333333333333</v>
      </c>
      <c r="E4" s="124">
        <f t="shared" si="1"/>
        <v>133.33333333333334</v>
      </c>
      <c r="F4" s="125">
        <f t="shared" ref="F4:F17" si="3">D4-D3</f>
        <v>6.6666666666666666E-2</v>
      </c>
    </row>
    <row r="5" spans="1:10" x14ac:dyDescent="0.3">
      <c r="A5" s="122">
        <f t="shared" si="2"/>
        <v>400</v>
      </c>
      <c r="B5" s="122">
        <v>250</v>
      </c>
      <c r="C5" s="122">
        <v>1000</v>
      </c>
      <c r="D5" s="123">
        <f t="shared" si="0"/>
        <v>0.2</v>
      </c>
      <c r="E5" s="124">
        <f t="shared" si="1"/>
        <v>200</v>
      </c>
      <c r="F5" s="125">
        <f t="shared" si="3"/>
        <v>6.666666666666668E-2</v>
      </c>
    </row>
    <row r="6" spans="1:10" x14ac:dyDescent="0.3">
      <c r="A6" s="122">
        <f t="shared" si="2"/>
        <v>450</v>
      </c>
      <c r="B6" s="122">
        <v>250</v>
      </c>
      <c r="C6" s="122">
        <v>1000</v>
      </c>
      <c r="D6" s="123">
        <f t="shared" si="0"/>
        <v>0.26666666666666666</v>
      </c>
      <c r="E6" s="124">
        <f t="shared" si="1"/>
        <v>266.66666666666669</v>
      </c>
      <c r="F6" s="125">
        <f t="shared" si="3"/>
        <v>6.6666666666666652E-2</v>
      </c>
    </row>
    <row r="7" spans="1:10" x14ac:dyDescent="0.3">
      <c r="A7" s="122">
        <f t="shared" si="2"/>
        <v>500</v>
      </c>
      <c r="B7" s="122">
        <v>250</v>
      </c>
      <c r="C7" s="122">
        <v>1000</v>
      </c>
      <c r="D7" s="123">
        <f t="shared" si="0"/>
        <v>0.33333333333333331</v>
      </c>
      <c r="E7" s="124">
        <f t="shared" si="1"/>
        <v>333.33333333333331</v>
      </c>
      <c r="F7" s="125">
        <f t="shared" si="3"/>
        <v>6.6666666666666652E-2</v>
      </c>
    </row>
    <row r="8" spans="1:10" x14ac:dyDescent="0.3">
      <c r="A8" s="122">
        <f t="shared" si="2"/>
        <v>550</v>
      </c>
      <c r="B8" s="122">
        <v>250</v>
      </c>
      <c r="C8" s="122">
        <v>1000</v>
      </c>
      <c r="D8" s="123">
        <f t="shared" si="0"/>
        <v>0.4</v>
      </c>
      <c r="E8" s="124">
        <f t="shared" si="1"/>
        <v>400</v>
      </c>
      <c r="F8" s="125">
        <f t="shared" si="3"/>
        <v>6.6666666666666707E-2</v>
      </c>
    </row>
    <row r="9" spans="1:10" x14ac:dyDescent="0.3">
      <c r="A9" s="122">
        <f t="shared" si="2"/>
        <v>600</v>
      </c>
      <c r="B9" s="122">
        <v>250</v>
      </c>
      <c r="C9" s="122">
        <v>1000</v>
      </c>
      <c r="D9" s="123">
        <f t="shared" si="0"/>
        <v>0.46666666666666667</v>
      </c>
      <c r="E9" s="124">
        <f t="shared" si="1"/>
        <v>466.66666666666669</v>
      </c>
      <c r="F9" s="125">
        <f t="shared" si="3"/>
        <v>6.6666666666666652E-2</v>
      </c>
      <c r="J9" s="1"/>
    </row>
    <row r="10" spans="1:10" x14ac:dyDescent="0.3">
      <c r="A10" s="122">
        <f t="shared" si="2"/>
        <v>650</v>
      </c>
      <c r="B10" s="122">
        <v>250</v>
      </c>
      <c r="C10" s="122">
        <v>1000</v>
      </c>
      <c r="D10" s="123">
        <f t="shared" si="0"/>
        <v>0.53333333333333333</v>
      </c>
      <c r="E10" s="124">
        <f t="shared" si="1"/>
        <v>533.33333333333337</v>
      </c>
      <c r="F10" s="125">
        <f t="shared" si="3"/>
        <v>6.6666666666666652E-2</v>
      </c>
    </row>
    <row r="11" spans="1:10" x14ac:dyDescent="0.3">
      <c r="A11" s="122">
        <f t="shared" si="2"/>
        <v>700</v>
      </c>
      <c r="B11" s="122">
        <v>250</v>
      </c>
      <c r="C11" s="122">
        <v>1000</v>
      </c>
      <c r="D11" s="123">
        <f t="shared" si="0"/>
        <v>0.6</v>
      </c>
      <c r="E11" s="124">
        <f>D11*C11</f>
        <v>600</v>
      </c>
      <c r="F11" s="125">
        <f t="shared" si="3"/>
        <v>6.6666666666666652E-2</v>
      </c>
    </row>
    <row r="12" spans="1:10" x14ac:dyDescent="0.3">
      <c r="A12" s="122">
        <f t="shared" si="2"/>
        <v>750</v>
      </c>
      <c r="B12" s="122">
        <v>250</v>
      </c>
      <c r="C12" s="122">
        <v>1000</v>
      </c>
      <c r="D12" s="123">
        <f t="shared" si="0"/>
        <v>0.66666666666666663</v>
      </c>
      <c r="E12" s="124">
        <f t="shared" si="1"/>
        <v>666.66666666666663</v>
      </c>
      <c r="F12" s="125">
        <f t="shared" si="3"/>
        <v>6.6666666666666652E-2</v>
      </c>
    </row>
    <row r="13" spans="1:10" x14ac:dyDescent="0.3">
      <c r="A13" s="122">
        <f t="shared" si="2"/>
        <v>800</v>
      </c>
      <c r="B13" s="122">
        <v>250</v>
      </c>
      <c r="C13" s="122">
        <v>1000</v>
      </c>
      <c r="D13" s="123">
        <f t="shared" si="0"/>
        <v>0.73333333333333328</v>
      </c>
      <c r="E13" s="124">
        <f t="shared" si="1"/>
        <v>733.33333333333326</v>
      </c>
      <c r="F13" s="125">
        <f t="shared" si="3"/>
        <v>6.6666666666666652E-2</v>
      </c>
    </row>
    <row r="14" spans="1:10" x14ac:dyDescent="0.3">
      <c r="A14" s="122">
        <f t="shared" si="2"/>
        <v>850</v>
      </c>
      <c r="B14" s="122">
        <v>250</v>
      </c>
      <c r="C14" s="122">
        <v>1000</v>
      </c>
      <c r="D14" s="123">
        <f t="shared" si="0"/>
        <v>0.8</v>
      </c>
      <c r="E14" s="124">
        <f t="shared" si="1"/>
        <v>800</v>
      </c>
      <c r="F14" s="125">
        <f t="shared" si="3"/>
        <v>6.6666666666666763E-2</v>
      </c>
    </row>
    <row r="15" spans="1:10" x14ac:dyDescent="0.3">
      <c r="A15" s="122">
        <f>A14+50</f>
        <v>900</v>
      </c>
      <c r="B15" s="122">
        <v>250</v>
      </c>
      <c r="C15" s="122">
        <v>1000</v>
      </c>
      <c r="D15" s="123">
        <f t="shared" si="0"/>
        <v>0.8666666666666667</v>
      </c>
      <c r="E15" s="124">
        <f t="shared" si="1"/>
        <v>866.66666666666674</v>
      </c>
      <c r="F15" s="125">
        <f t="shared" si="3"/>
        <v>6.6666666666666652E-2</v>
      </c>
    </row>
    <row r="16" spans="1:10" x14ac:dyDescent="0.3">
      <c r="A16" s="122">
        <f t="shared" si="2"/>
        <v>950</v>
      </c>
      <c r="B16" s="122">
        <v>250</v>
      </c>
      <c r="C16" s="122">
        <v>1000</v>
      </c>
      <c r="D16" s="123">
        <f t="shared" si="0"/>
        <v>0.93333333333333335</v>
      </c>
      <c r="E16" s="124">
        <f t="shared" si="1"/>
        <v>933.33333333333337</v>
      </c>
      <c r="F16" s="125">
        <f t="shared" si="3"/>
        <v>6.6666666666666652E-2</v>
      </c>
    </row>
    <row r="17" spans="1:6" x14ac:dyDescent="0.3">
      <c r="A17" s="122">
        <f t="shared" si="2"/>
        <v>1000</v>
      </c>
      <c r="B17" s="122">
        <v>250</v>
      </c>
      <c r="C17" s="122">
        <v>1000</v>
      </c>
      <c r="D17" s="123">
        <f t="shared" si="0"/>
        <v>1</v>
      </c>
      <c r="E17" s="124">
        <f t="shared" si="1"/>
        <v>1000</v>
      </c>
      <c r="F17" s="125">
        <f t="shared" si="3"/>
        <v>6.6666666666666652E-2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58C0-2284-4579-8612-42A68B156D86}">
  <dimension ref="A1:I11"/>
  <sheetViews>
    <sheetView workbookViewId="0">
      <selection activeCell="J15" sqref="J15"/>
    </sheetView>
  </sheetViews>
  <sheetFormatPr defaultRowHeight="14.4" x14ac:dyDescent="0.3"/>
  <cols>
    <col min="1" max="1" width="10.33203125" bestFit="1" customWidth="1"/>
    <col min="2" max="2" width="12.5546875" customWidth="1"/>
    <col min="3" max="3" width="14.21875" customWidth="1"/>
    <col min="4" max="4" width="14.5546875" bestFit="1" customWidth="1"/>
    <col min="5" max="5" width="9.88671875" bestFit="1" customWidth="1"/>
    <col min="6" max="6" width="16.21875" customWidth="1"/>
    <col min="7" max="7" width="9.88671875" bestFit="1" customWidth="1"/>
  </cols>
  <sheetData>
    <row r="1" spans="1:9" ht="28.8" x14ac:dyDescent="0.3">
      <c r="A1" s="2" t="s">
        <v>5</v>
      </c>
      <c r="B1" s="2" t="s">
        <v>6</v>
      </c>
      <c r="C1" s="2" t="s">
        <v>7</v>
      </c>
      <c r="D1" s="8" t="s">
        <v>15</v>
      </c>
      <c r="E1" s="8" t="s">
        <v>13</v>
      </c>
      <c r="F1" s="7" t="s">
        <v>18</v>
      </c>
      <c r="G1" s="7" t="s">
        <v>19</v>
      </c>
      <c r="H1" s="11" t="s">
        <v>20</v>
      </c>
      <c r="I1" s="3"/>
    </row>
    <row r="2" spans="1:9" x14ac:dyDescent="0.3">
      <c r="A2" s="4" t="s">
        <v>8</v>
      </c>
      <c r="B2" s="4">
        <v>110</v>
      </c>
      <c r="C2" s="5">
        <v>58500</v>
      </c>
      <c r="D2" s="9">
        <v>-58500</v>
      </c>
      <c r="E2" s="10">
        <f>C2+D2</f>
        <v>0</v>
      </c>
      <c r="F2" s="12">
        <f>C2*-1</f>
        <v>-58500</v>
      </c>
      <c r="G2" s="12">
        <f>C2+F2</f>
        <v>0</v>
      </c>
      <c r="H2" s="4"/>
      <c r="I2" s="3"/>
    </row>
    <row r="3" spans="1:9" x14ac:dyDescent="0.3">
      <c r="A3" s="4" t="s">
        <v>9</v>
      </c>
      <c r="B3" s="4">
        <v>400</v>
      </c>
      <c r="C3" s="5">
        <v>70000</v>
      </c>
      <c r="D3" s="9">
        <f>B3*100*-1</f>
        <v>-40000</v>
      </c>
      <c r="E3" s="10">
        <f t="shared" ref="E3:E6" si="0">C3+D3</f>
        <v>30000</v>
      </c>
      <c r="F3" s="12">
        <f>C3*-1</f>
        <v>-70000</v>
      </c>
      <c r="G3" s="12">
        <f t="shared" ref="G3:G7" si="1">C3+F3</f>
        <v>0</v>
      </c>
      <c r="H3" s="4"/>
      <c r="I3" s="3"/>
    </row>
    <row r="4" spans="1:9" x14ac:dyDescent="0.3">
      <c r="A4" s="4" t="s">
        <v>10</v>
      </c>
      <c r="B4" s="4">
        <v>300</v>
      </c>
      <c r="C4" s="5">
        <v>120000</v>
      </c>
      <c r="D4" s="9">
        <f t="shared" ref="D4:D6" si="2">B4*100*-1</f>
        <v>-30000</v>
      </c>
      <c r="E4" s="10">
        <f t="shared" si="0"/>
        <v>90000</v>
      </c>
      <c r="F4" s="13">
        <f>B4*250*-1</f>
        <v>-75000</v>
      </c>
      <c r="G4" s="12">
        <f t="shared" si="1"/>
        <v>45000</v>
      </c>
      <c r="H4" s="4"/>
      <c r="I4" s="3"/>
    </row>
    <row r="5" spans="1:9" x14ac:dyDescent="0.3">
      <c r="A5" s="4" t="s">
        <v>11</v>
      </c>
      <c r="B5" s="4">
        <v>200</v>
      </c>
      <c r="C5" s="5">
        <v>150000</v>
      </c>
      <c r="D5" s="9">
        <f t="shared" si="2"/>
        <v>-20000</v>
      </c>
      <c r="E5" s="10">
        <f t="shared" si="0"/>
        <v>130000</v>
      </c>
      <c r="F5" s="13">
        <f t="shared" ref="F5:F6" si="3">B5*250*-1</f>
        <v>-50000</v>
      </c>
      <c r="G5" s="12">
        <f t="shared" si="1"/>
        <v>100000</v>
      </c>
      <c r="H5" s="4"/>
      <c r="I5" s="3"/>
    </row>
    <row r="6" spans="1:9" x14ac:dyDescent="0.3">
      <c r="A6" s="4" t="s">
        <v>12</v>
      </c>
      <c r="B6" s="4">
        <v>100</v>
      </c>
      <c r="C6" s="5">
        <v>200000</v>
      </c>
      <c r="D6" s="9">
        <f t="shared" si="2"/>
        <v>-10000</v>
      </c>
      <c r="E6" s="10">
        <f t="shared" si="0"/>
        <v>190000</v>
      </c>
      <c r="F6" s="13">
        <f t="shared" si="3"/>
        <v>-25000</v>
      </c>
      <c r="G6" s="12">
        <f t="shared" si="1"/>
        <v>175000</v>
      </c>
      <c r="H6" s="4"/>
      <c r="I6" s="3"/>
    </row>
    <row r="7" spans="1:9" x14ac:dyDescent="0.3">
      <c r="A7" s="14" t="s">
        <v>14</v>
      </c>
      <c r="B7" s="15">
        <f>SUM(B2:B6)</f>
        <v>1110</v>
      </c>
      <c r="C7" s="16">
        <f>SUM(C2:C6)</f>
        <v>598500</v>
      </c>
      <c r="D7" s="17">
        <f t="shared" ref="D7:F7" si="4">SUM(D2:D6)</f>
        <v>-158500</v>
      </c>
      <c r="E7" s="17">
        <f t="shared" si="4"/>
        <v>440000</v>
      </c>
      <c r="F7" s="18">
        <f t="shared" si="4"/>
        <v>-278500</v>
      </c>
      <c r="G7" s="18">
        <f t="shared" si="1"/>
        <v>320000</v>
      </c>
      <c r="H7" s="14">
        <f>(G7-E7)/E7</f>
        <v>-0.27272727272727271</v>
      </c>
      <c r="I7" s="3"/>
    </row>
    <row r="8" spans="1:9" x14ac:dyDescent="0.3">
      <c r="A8" s="3"/>
      <c r="B8" s="3"/>
      <c r="C8" s="3"/>
      <c r="D8" s="3"/>
      <c r="E8" s="3"/>
      <c r="F8" s="3"/>
      <c r="G8" s="3"/>
      <c r="H8" s="3"/>
      <c r="I8" s="3"/>
    </row>
    <row r="9" spans="1:9" x14ac:dyDescent="0.3">
      <c r="A9" s="3" t="s">
        <v>16</v>
      </c>
      <c r="B9" s="3"/>
      <c r="C9" s="3" t="s">
        <v>17</v>
      </c>
      <c r="D9" s="3"/>
      <c r="E9" s="3"/>
      <c r="F9" s="3"/>
      <c r="G9" s="3"/>
      <c r="H9" s="3"/>
      <c r="I9" s="3"/>
    </row>
    <row r="10" spans="1:9" x14ac:dyDescent="0.3">
      <c r="A10" s="3" t="s">
        <v>21</v>
      </c>
      <c r="B10" s="3"/>
      <c r="C10" s="3" t="s">
        <v>22</v>
      </c>
      <c r="D10" s="3"/>
      <c r="E10" s="3"/>
      <c r="F10" s="3"/>
      <c r="G10" s="3"/>
      <c r="H10" s="3"/>
      <c r="I10" s="3"/>
    </row>
    <row r="11" spans="1:9" x14ac:dyDescent="0.3">
      <c r="A11" s="3"/>
      <c r="B11" s="3"/>
      <c r="C11" s="3"/>
      <c r="D11" s="3"/>
      <c r="E11" s="3"/>
      <c r="F11" s="3"/>
      <c r="G11" s="3"/>
      <c r="H11" s="3"/>
      <c r="I11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F587D-6401-48A7-9A88-C3B5C42EB29E}">
  <dimension ref="A1:B9"/>
  <sheetViews>
    <sheetView workbookViewId="0">
      <selection activeCell="D6" sqref="D6"/>
    </sheetView>
  </sheetViews>
  <sheetFormatPr defaultRowHeight="14.4" x14ac:dyDescent="0.3"/>
  <cols>
    <col min="1" max="1" width="22.6640625" style="3" bestFit="1" customWidth="1"/>
    <col min="2" max="2" width="12.109375" style="3" bestFit="1" customWidth="1"/>
    <col min="3" max="16384" width="8.88671875" style="3"/>
  </cols>
  <sheetData>
    <row r="1" spans="1:2" x14ac:dyDescent="0.3">
      <c r="A1" s="4" t="s">
        <v>23</v>
      </c>
      <c r="B1" s="19">
        <v>0.8</v>
      </c>
    </row>
    <row r="2" spans="1:2" x14ac:dyDescent="0.3">
      <c r="A2" s="4" t="s">
        <v>24</v>
      </c>
      <c r="B2" s="5">
        <v>150000</v>
      </c>
    </row>
    <row r="3" spans="1:2" x14ac:dyDescent="0.3">
      <c r="A3" s="4" t="s">
        <v>25</v>
      </c>
      <c r="B3" s="5">
        <v>180000</v>
      </c>
    </row>
    <row r="4" spans="1:2" x14ac:dyDescent="0.3">
      <c r="A4" s="4" t="s">
        <v>26</v>
      </c>
      <c r="B4" s="5">
        <v>20000</v>
      </c>
    </row>
    <row r="5" spans="1:2" x14ac:dyDescent="0.3">
      <c r="A5" s="4" t="s">
        <v>27</v>
      </c>
      <c r="B5" s="5">
        <v>250000</v>
      </c>
    </row>
    <row r="6" spans="1:2" x14ac:dyDescent="0.3">
      <c r="A6" s="4"/>
      <c r="B6" s="4"/>
    </row>
    <row r="7" spans="1:2" x14ac:dyDescent="0.3">
      <c r="A7" s="4" t="s">
        <v>29</v>
      </c>
      <c r="B7" s="5">
        <f>0.8*250000</f>
        <v>200000</v>
      </c>
    </row>
    <row r="8" spans="1:2" x14ac:dyDescent="0.3">
      <c r="A8" s="4" t="s">
        <v>30</v>
      </c>
      <c r="B8" s="19">
        <f>B2/B7</f>
        <v>0.75</v>
      </c>
    </row>
    <row r="9" spans="1:2" x14ac:dyDescent="0.3">
      <c r="A9" s="4" t="s">
        <v>28</v>
      </c>
      <c r="B9" s="6">
        <f>B8*B4</f>
        <v>15000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4185-3BF6-4BC4-A060-812D18FEDBE0}">
  <dimension ref="A1:B11"/>
  <sheetViews>
    <sheetView workbookViewId="0">
      <selection activeCell="E14" sqref="E14"/>
    </sheetView>
  </sheetViews>
  <sheetFormatPr defaultRowHeight="13.2" x14ac:dyDescent="0.25"/>
  <cols>
    <col min="1" max="1" width="51.109375" style="20" bestFit="1" customWidth="1"/>
    <col min="2" max="2" width="12.109375" style="20" bestFit="1" customWidth="1"/>
    <col min="3" max="16384" width="8.88671875" style="20"/>
  </cols>
  <sheetData>
    <row r="1" spans="1:2" x14ac:dyDescent="0.25">
      <c r="A1" s="21" t="s">
        <v>31</v>
      </c>
      <c r="B1" s="22">
        <v>70000</v>
      </c>
    </row>
    <row r="2" spans="1:2" x14ac:dyDescent="0.25">
      <c r="A2" s="21" t="s">
        <v>32</v>
      </c>
      <c r="B2" s="22">
        <v>100000</v>
      </c>
    </row>
    <row r="3" spans="1:2" x14ac:dyDescent="0.25">
      <c r="A3" s="21" t="s">
        <v>23</v>
      </c>
      <c r="B3" s="23">
        <v>0.8</v>
      </c>
    </row>
    <row r="4" spans="1:2" x14ac:dyDescent="0.25">
      <c r="A4" s="21" t="s">
        <v>33</v>
      </c>
      <c r="B4" s="22">
        <v>200</v>
      </c>
    </row>
    <row r="5" spans="1:2" x14ac:dyDescent="0.25">
      <c r="A5" s="21" t="s">
        <v>26</v>
      </c>
      <c r="B5" s="22">
        <v>20000</v>
      </c>
    </row>
    <row r="6" spans="1:2" x14ac:dyDescent="0.25">
      <c r="A6" s="21" t="s">
        <v>35</v>
      </c>
      <c r="B6" s="24">
        <f>B5-B4</f>
        <v>19800</v>
      </c>
    </row>
    <row r="7" spans="1:2" x14ac:dyDescent="0.25">
      <c r="A7" s="21" t="s">
        <v>36</v>
      </c>
      <c r="B7" s="22">
        <f>B3*B2</f>
        <v>80000</v>
      </c>
    </row>
    <row r="8" spans="1:2" x14ac:dyDescent="0.25">
      <c r="A8" s="21" t="s">
        <v>37</v>
      </c>
      <c r="B8" s="23">
        <f>B1/B7</f>
        <v>0.875</v>
      </c>
    </row>
    <row r="9" spans="1:2" x14ac:dyDescent="0.25">
      <c r="A9" s="21" t="s">
        <v>194</v>
      </c>
      <c r="B9" s="24">
        <f>B8*B6</f>
        <v>17325</v>
      </c>
    </row>
    <row r="11" spans="1:2" x14ac:dyDescent="0.25">
      <c r="A11" s="20" t="s">
        <v>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15A0-23F8-45B1-ADDA-D46073262D82}">
  <dimension ref="A1:J45"/>
  <sheetViews>
    <sheetView topLeftCell="A22" workbookViewId="0">
      <selection activeCell="K39" sqref="K39"/>
    </sheetView>
  </sheetViews>
  <sheetFormatPr defaultRowHeight="13.2" x14ac:dyDescent="0.25"/>
  <cols>
    <col min="1" max="1" width="8.88671875" style="20"/>
    <col min="2" max="5" width="11.5546875" style="20" bestFit="1" customWidth="1"/>
    <col min="6" max="6" width="11.44140625" style="20" bestFit="1" customWidth="1"/>
    <col min="7" max="7" width="9.5546875" style="20" bestFit="1" customWidth="1"/>
    <col min="8" max="8" width="11.6640625" style="20" customWidth="1"/>
    <col min="9" max="16384" width="8.88671875" style="20"/>
  </cols>
  <sheetData>
    <row r="1" spans="1:10" x14ac:dyDescent="0.25">
      <c r="A1" s="25" t="s">
        <v>42</v>
      </c>
    </row>
    <row r="2" spans="1:10" x14ac:dyDescent="0.25">
      <c r="A2" s="20" t="s">
        <v>41</v>
      </c>
      <c r="B2" s="20" t="s">
        <v>43</v>
      </c>
    </row>
    <row r="3" spans="1:10" x14ac:dyDescent="0.25">
      <c r="A3" s="20" t="s">
        <v>44</v>
      </c>
      <c r="B3" s="20" t="s">
        <v>45</v>
      </c>
    </row>
    <row r="5" spans="1:10" x14ac:dyDescent="0.25">
      <c r="A5" s="25" t="s">
        <v>50</v>
      </c>
    </row>
    <row r="6" spans="1:10" x14ac:dyDescent="0.25">
      <c r="A6" s="20" t="s">
        <v>51</v>
      </c>
      <c r="B6" s="20" t="s">
        <v>52</v>
      </c>
    </row>
    <row r="7" spans="1:10" ht="39.6" x14ac:dyDescent="0.25">
      <c r="A7" s="37" t="s">
        <v>38</v>
      </c>
      <c r="B7" s="37">
        <v>1996</v>
      </c>
      <c r="C7" s="37">
        <f>B7+1</f>
        <v>1997</v>
      </c>
      <c r="D7" s="37">
        <f>C7+1</f>
        <v>1998</v>
      </c>
      <c r="E7" s="37">
        <f>D7+1</f>
        <v>1999</v>
      </c>
      <c r="F7" s="127" t="s">
        <v>39</v>
      </c>
      <c r="G7" s="127" t="s">
        <v>40</v>
      </c>
      <c r="H7" s="128" t="s">
        <v>47</v>
      </c>
      <c r="I7" s="128" t="s">
        <v>46</v>
      </c>
      <c r="J7" s="128" t="s">
        <v>48</v>
      </c>
    </row>
    <row r="8" spans="1:10" x14ac:dyDescent="0.25">
      <c r="A8" s="21">
        <v>1996</v>
      </c>
      <c r="B8" s="22">
        <v>10000</v>
      </c>
      <c r="C8" s="22">
        <v>5000</v>
      </c>
      <c r="D8" s="22">
        <v>2000</v>
      </c>
      <c r="E8" s="22">
        <v>0</v>
      </c>
      <c r="F8" s="22">
        <v>25000</v>
      </c>
      <c r="G8" s="21">
        <v>0.68</v>
      </c>
      <c r="H8" s="129">
        <f>SUM(B8:E8)</f>
        <v>17000</v>
      </c>
      <c r="I8" s="129">
        <f>F8*G8</f>
        <v>17000</v>
      </c>
      <c r="J8" s="129">
        <f>I8-H8</f>
        <v>0</v>
      </c>
    </row>
    <row r="9" spans="1:10" x14ac:dyDescent="0.25">
      <c r="A9" s="21">
        <f>A8+1</f>
        <v>1997</v>
      </c>
      <c r="B9" s="22"/>
      <c r="C9" s="22">
        <v>12050</v>
      </c>
      <c r="D9" s="22">
        <v>6025</v>
      </c>
      <c r="E9" s="22">
        <v>2400</v>
      </c>
      <c r="F9" s="22">
        <v>29750</v>
      </c>
      <c r="G9" s="21">
        <v>0.68799999999999994</v>
      </c>
      <c r="H9" s="129">
        <f>SUM(B9:E9)</f>
        <v>20475</v>
      </c>
      <c r="I9" s="129">
        <f>F9*G9</f>
        <v>20468</v>
      </c>
      <c r="J9" s="129">
        <f>I9-H9</f>
        <v>-7</v>
      </c>
    </row>
    <row r="10" spans="1:10" x14ac:dyDescent="0.25">
      <c r="A10" s="21">
        <f>A9+1</f>
        <v>1998</v>
      </c>
      <c r="B10" s="22"/>
      <c r="C10" s="22"/>
      <c r="D10" s="22">
        <v>14500</v>
      </c>
      <c r="E10" s="22">
        <v>7250</v>
      </c>
      <c r="F10" s="22">
        <v>33000</v>
      </c>
      <c r="G10" s="21">
        <v>0.7</v>
      </c>
      <c r="H10" s="129">
        <f>SUM(B10:E10)</f>
        <v>21750</v>
      </c>
      <c r="I10" s="129">
        <f>F10*G10</f>
        <v>23100</v>
      </c>
      <c r="J10" s="129">
        <f>I10-H10</f>
        <v>1350</v>
      </c>
    </row>
    <row r="11" spans="1:10" x14ac:dyDescent="0.25">
      <c r="A11" s="21">
        <f>A10+1</f>
        <v>1999</v>
      </c>
      <c r="B11" s="22"/>
      <c r="C11" s="22"/>
      <c r="D11" s="22"/>
      <c r="E11" s="22">
        <v>17465</v>
      </c>
      <c r="F11" s="22">
        <v>38000</v>
      </c>
      <c r="G11" s="21">
        <v>0.7</v>
      </c>
      <c r="H11" s="129">
        <f>SUM(B11:E11)</f>
        <v>17465</v>
      </c>
      <c r="I11" s="129">
        <f>F11*G11</f>
        <v>26600</v>
      </c>
      <c r="J11" s="129">
        <f>I11-H11</f>
        <v>9135</v>
      </c>
    </row>
    <row r="12" spans="1:10" x14ac:dyDescent="0.25">
      <c r="A12" s="21"/>
      <c r="B12" s="22"/>
      <c r="C12" s="22"/>
      <c r="D12" s="22"/>
      <c r="E12" s="22"/>
      <c r="F12" s="22"/>
      <c r="G12" s="36" t="s">
        <v>49</v>
      </c>
      <c r="H12" s="130">
        <f>SUM(H8:H11)</f>
        <v>76690</v>
      </c>
      <c r="I12" s="130">
        <f>SUM(I8:I11)</f>
        <v>87168</v>
      </c>
      <c r="J12" s="130">
        <f>SUM(J8:J11)</f>
        <v>10478</v>
      </c>
    </row>
    <row r="14" spans="1:10" x14ac:dyDescent="0.25">
      <c r="A14" s="25" t="s">
        <v>53</v>
      </c>
    </row>
    <row r="16" spans="1:10" x14ac:dyDescent="0.25">
      <c r="A16" s="21"/>
      <c r="B16" s="138" t="s">
        <v>54</v>
      </c>
      <c r="C16" s="138"/>
      <c r="D16" s="138"/>
      <c r="E16" s="138"/>
    </row>
    <row r="17" spans="1:5" x14ac:dyDescent="0.25">
      <c r="A17" s="21" t="s">
        <v>38</v>
      </c>
      <c r="B17" s="26">
        <v>1</v>
      </c>
      <c r="C17" s="26">
        <f>B17+1</f>
        <v>2</v>
      </c>
      <c r="D17" s="26">
        <f>C17+1</f>
        <v>3</v>
      </c>
      <c r="E17" s="26">
        <f>D17+1</f>
        <v>4</v>
      </c>
    </row>
    <row r="18" spans="1:5" x14ac:dyDescent="0.25">
      <c r="A18" s="21">
        <v>1996</v>
      </c>
      <c r="B18" s="22">
        <v>10000</v>
      </c>
      <c r="C18" s="22">
        <f>C8+B8</f>
        <v>15000</v>
      </c>
      <c r="D18" s="22">
        <f>C18+D8</f>
        <v>17000</v>
      </c>
      <c r="E18" s="22">
        <f>D18</f>
        <v>17000</v>
      </c>
    </row>
    <row r="19" spans="1:5" x14ac:dyDescent="0.25">
      <c r="A19" s="21">
        <f>A18+1</f>
        <v>1997</v>
      </c>
      <c r="B19" s="22">
        <f>C9</f>
        <v>12050</v>
      </c>
      <c r="C19" s="22">
        <f>B19+D9</f>
        <v>18075</v>
      </c>
      <c r="D19" s="22">
        <f>C19+E9</f>
        <v>20475</v>
      </c>
      <c r="E19" s="22"/>
    </row>
    <row r="20" spans="1:5" x14ac:dyDescent="0.25">
      <c r="A20" s="21">
        <f>A19+1</f>
        <v>1998</v>
      </c>
      <c r="B20" s="22">
        <f>D10</f>
        <v>14500</v>
      </c>
      <c r="C20" s="22">
        <f>B20+E10</f>
        <v>21750</v>
      </c>
      <c r="D20" s="22"/>
      <c r="E20" s="22"/>
    </row>
    <row r="21" spans="1:5" x14ac:dyDescent="0.25">
      <c r="A21" s="21">
        <f>A20+1</f>
        <v>1999</v>
      </c>
      <c r="B21" s="22">
        <f>E11</f>
        <v>17465</v>
      </c>
      <c r="C21" s="22"/>
      <c r="D21" s="22"/>
      <c r="E21" s="22"/>
    </row>
    <row r="23" spans="1:5" x14ac:dyDescent="0.25">
      <c r="A23" s="25" t="s">
        <v>55</v>
      </c>
    </row>
    <row r="24" spans="1:5" x14ac:dyDescent="0.25">
      <c r="A24" s="21"/>
      <c r="B24" s="32" t="s">
        <v>54</v>
      </c>
      <c r="C24" s="32"/>
      <c r="D24" s="32"/>
      <c r="E24" s="32"/>
    </row>
    <row r="25" spans="1:5" x14ac:dyDescent="0.25">
      <c r="A25" s="21" t="s">
        <v>38</v>
      </c>
      <c r="B25" s="27" t="s">
        <v>56</v>
      </c>
      <c r="C25" s="27" t="s">
        <v>57</v>
      </c>
      <c r="D25" s="27" t="s">
        <v>58</v>
      </c>
      <c r="E25" s="27"/>
    </row>
    <row r="26" spans="1:5" x14ac:dyDescent="0.25">
      <c r="A26" s="21">
        <v>1996</v>
      </c>
      <c r="B26" s="28">
        <f>C18/B18</f>
        <v>1.5</v>
      </c>
      <c r="C26" s="28">
        <f>D18/C18</f>
        <v>1.1333333333333333</v>
      </c>
      <c r="D26" s="28">
        <f>E18/D18</f>
        <v>1</v>
      </c>
      <c r="E26" s="22"/>
    </row>
    <row r="27" spans="1:5" x14ac:dyDescent="0.25">
      <c r="A27" s="21">
        <f>A26+1</f>
        <v>1997</v>
      </c>
      <c r="B27" s="28">
        <f>C19/B19</f>
        <v>1.5</v>
      </c>
      <c r="C27" s="28">
        <f>D19/C19</f>
        <v>1.1327800829875518</v>
      </c>
      <c r="D27" s="22"/>
      <c r="E27" s="22"/>
    </row>
    <row r="28" spans="1:5" x14ac:dyDescent="0.25">
      <c r="A28" s="21">
        <f>A27+1</f>
        <v>1998</v>
      </c>
      <c r="B28" s="28">
        <f>C20/B20</f>
        <v>1.5</v>
      </c>
      <c r="C28" s="22"/>
      <c r="D28" s="22"/>
      <c r="E28" s="22"/>
    </row>
    <row r="29" spans="1:5" x14ac:dyDescent="0.25">
      <c r="A29" s="21">
        <f>A28+1</f>
        <v>1999</v>
      </c>
      <c r="B29" s="28">
        <f>C21/B21</f>
        <v>0</v>
      </c>
      <c r="C29" s="22"/>
      <c r="D29" s="22"/>
      <c r="E29" s="22"/>
    </row>
    <row r="31" spans="1:5" x14ac:dyDescent="0.25">
      <c r="A31" s="25" t="s">
        <v>59</v>
      </c>
    </row>
    <row r="32" spans="1:5" x14ac:dyDescent="0.25">
      <c r="A32" s="21" t="s">
        <v>60</v>
      </c>
      <c r="B32" s="31" t="s">
        <v>61</v>
      </c>
      <c r="C32" s="31" t="s">
        <v>62</v>
      </c>
      <c r="D32" s="30">
        <v>1</v>
      </c>
    </row>
    <row r="34" spans="1:8" x14ac:dyDescent="0.25">
      <c r="A34" s="25" t="s">
        <v>64</v>
      </c>
    </row>
    <row r="35" spans="1:8" x14ac:dyDescent="0.25">
      <c r="B35" s="20" t="s">
        <v>65</v>
      </c>
      <c r="C35" s="20" t="s">
        <v>66</v>
      </c>
      <c r="D35" s="20" t="s">
        <v>67</v>
      </c>
    </row>
    <row r="36" spans="1:8" x14ac:dyDescent="0.25">
      <c r="A36" s="21" t="s">
        <v>60</v>
      </c>
      <c r="B36" s="29">
        <f>B32*C32*D32</f>
        <v>1.6949999999999998</v>
      </c>
      <c r="C36" s="29">
        <f>C32*D32</f>
        <v>1.1299999999999999</v>
      </c>
      <c r="D36" s="29">
        <v>1</v>
      </c>
    </row>
    <row r="38" spans="1:8" x14ac:dyDescent="0.25">
      <c r="A38" s="25" t="s">
        <v>71</v>
      </c>
    </row>
    <row r="39" spans="1:8" x14ac:dyDescent="0.25">
      <c r="A39" s="21"/>
      <c r="B39" s="39" t="s">
        <v>54</v>
      </c>
      <c r="C39" s="40"/>
      <c r="D39" s="40"/>
      <c r="E39" s="41"/>
      <c r="F39" s="35"/>
    </row>
    <row r="40" spans="1:8" x14ac:dyDescent="0.25">
      <c r="A40" s="21" t="s">
        <v>38</v>
      </c>
      <c r="B40" s="21">
        <v>1</v>
      </c>
      <c r="C40" s="21">
        <v>2</v>
      </c>
      <c r="D40" s="33">
        <v>3</v>
      </c>
      <c r="E40" s="21">
        <v>4</v>
      </c>
      <c r="F40" s="37" t="s">
        <v>63</v>
      </c>
      <c r="G40" s="37" t="s">
        <v>68</v>
      </c>
      <c r="H40" s="37" t="s">
        <v>69</v>
      </c>
    </row>
    <row r="41" spans="1:8" x14ac:dyDescent="0.25">
      <c r="A41" s="21">
        <v>1996</v>
      </c>
      <c r="B41" s="22">
        <v>10000</v>
      </c>
      <c r="C41" s="22">
        <v>15000</v>
      </c>
      <c r="D41" s="34">
        <v>17000</v>
      </c>
      <c r="E41" s="22">
        <v>17000</v>
      </c>
      <c r="F41" s="22">
        <f>E41</f>
        <v>17000</v>
      </c>
      <c r="G41" s="24">
        <f>E41</f>
        <v>17000</v>
      </c>
      <c r="H41" s="24">
        <f>F41-G41</f>
        <v>0</v>
      </c>
    </row>
    <row r="42" spans="1:8" x14ac:dyDescent="0.25">
      <c r="A42" s="21">
        <v>1997</v>
      </c>
      <c r="B42" s="22">
        <v>12050</v>
      </c>
      <c r="C42" s="22">
        <v>18075</v>
      </c>
      <c r="D42" s="34">
        <v>20475</v>
      </c>
      <c r="E42" s="22"/>
      <c r="F42" s="22">
        <f>D42</f>
        <v>20475</v>
      </c>
      <c r="G42" s="24">
        <f>D42</f>
        <v>20475</v>
      </c>
      <c r="H42" s="24">
        <f>F42-G42</f>
        <v>0</v>
      </c>
    </row>
    <row r="43" spans="1:8" x14ac:dyDescent="0.25">
      <c r="A43" s="21">
        <v>1998</v>
      </c>
      <c r="B43" s="22">
        <v>14500</v>
      </c>
      <c r="C43" s="22">
        <v>21750</v>
      </c>
      <c r="D43" s="34"/>
      <c r="E43" s="22"/>
      <c r="F43" s="22">
        <f>C43*C36</f>
        <v>24577.499999999996</v>
      </c>
      <c r="G43" s="24">
        <f>C43</f>
        <v>21750</v>
      </c>
      <c r="H43" s="24">
        <f>F43-G43</f>
        <v>2827.4999999999964</v>
      </c>
    </row>
    <row r="44" spans="1:8" x14ac:dyDescent="0.25">
      <c r="A44" s="21">
        <v>1999</v>
      </c>
      <c r="B44" s="22">
        <v>17465</v>
      </c>
      <c r="C44" s="22"/>
      <c r="D44" s="34"/>
      <c r="E44" s="22"/>
      <c r="F44" s="22">
        <f>B44*B36</f>
        <v>29603.174999999996</v>
      </c>
      <c r="G44" s="24">
        <f>B44</f>
        <v>17465</v>
      </c>
      <c r="H44" s="24">
        <f>F44-G44</f>
        <v>12138.174999999996</v>
      </c>
    </row>
    <row r="45" spans="1:8" x14ac:dyDescent="0.25">
      <c r="E45" s="36" t="s">
        <v>70</v>
      </c>
      <c r="F45" s="38">
        <f>SUM(F41:F44)</f>
        <v>91655.674999999988</v>
      </c>
      <c r="G45" s="38">
        <f>SUM(G41:G44)</f>
        <v>76690</v>
      </c>
      <c r="H45" s="38">
        <f>SUM(H41:H44)</f>
        <v>14965.674999999992</v>
      </c>
    </row>
  </sheetData>
  <mergeCells count="1">
    <mergeCell ref="B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A347-66D4-40C5-8FD0-DD6A2ABDB494}">
  <dimension ref="A1:N62"/>
  <sheetViews>
    <sheetView tabSelected="1" topLeftCell="A34" workbookViewId="0">
      <selection activeCell="O51" sqref="O51"/>
    </sheetView>
  </sheetViews>
  <sheetFormatPr defaultRowHeight="13.2" x14ac:dyDescent="0.25"/>
  <cols>
    <col min="1" max="1" width="16.109375" style="20" customWidth="1"/>
    <col min="2" max="6" width="11.44140625" style="20" bestFit="1" customWidth="1"/>
    <col min="7" max="7" width="8.88671875" style="20"/>
    <col min="8" max="10" width="11.44140625" style="20" bestFit="1" customWidth="1"/>
    <col min="11" max="11" width="8.88671875" style="20"/>
    <col min="12" max="12" width="10.88671875" style="20" customWidth="1"/>
    <col min="13" max="13" width="10" style="20" customWidth="1"/>
    <col min="14" max="14" width="9.5546875" style="20" bestFit="1" customWidth="1"/>
    <col min="15" max="16384" width="8.88671875" style="20"/>
  </cols>
  <sheetData>
    <row r="1" spans="1:11" x14ac:dyDescent="0.25">
      <c r="A1" s="25" t="s">
        <v>105</v>
      </c>
    </row>
    <row r="2" spans="1:11" x14ac:dyDescent="0.25">
      <c r="A2" s="20" t="s">
        <v>72</v>
      </c>
    </row>
    <row r="3" spans="1:11" x14ac:dyDescent="0.25">
      <c r="A3" s="20" t="s">
        <v>73</v>
      </c>
    </row>
    <row r="4" spans="1:11" ht="13.8" x14ac:dyDescent="0.25">
      <c r="A4" s="44" t="s">
        <v>74</v>
      </c>
      <c r="B4" s="45" t="s">
        <v>75</v>
      </c>
      <c r="C4" s="46"/>
      <c r="D4" s="46"/>
      <c r="E4" s="46"/>
      <c r="F4" s="46"/>
      <c r="G4" s="46"/>
      <c r="H4" s="46"/>
    </row>
    <row r="5" spans="1:11" ht="13.8" x14ac:dyDescent="0.25">
      <c r="A5" s="44"/>
      <c r="B5" s="45"/>
      <c r="C5" s="46"/>
      <c r="D5" s="46"/>
      <c r="E5" s="46"/>
      <c r="F5" s="46"/>
      <c r="G5" s="46"/>
      <c r="H5" s="46"/>
    </row>
    <row r="6" spans="1:11" ht="13.8" x14ac:dyDescent="0.25">
      <c r="A6" s="44"/>
      <c r="B6" s="45"/>
      <c r="C6" s="46"/>
      <c r="D6" s="46"/>
      <c r="E6" s="46"/>
      <c r="F6" s="46"/>
      <c r="G6" s="46"/>
      <c r="H6" s="46"/>
    </row>
    <row r="7" spans="1:11" s="42" customFormat="1" ht="39.6" x14ac:dyDescent="0.3">
      <c r="A7" s="43" t="s">
        <v>38</v>
      </c>
      <c r="B7" s="43">
        <v>1996</v>
      </c>
      <c r="C7" s="43">
        <v>1997</v>
      </c>
      <c r="D7" s="43">
        <v>1998</v>
      </c>
      <c r="E7" s="43">
        <v>1999</v>
      </c>
      <c r="F7" s="64" t="s">
        <v>39</v>
      </c>
      <c r="G7" s="43" t="s">
        <v>40</v>
      </c>
      <c r="H7" s="56" t="s">
        <v>47</v>
      </c>
      <c r="I7" s="61"/>
      <c r="J7" s="61"/>
      <c r="K7" s="59"/>
    </row>
    <row r="8" spans="1:11" x14ac:dyDescent="0.25">
      <c r="A8" s="21">
        <v>1996</v>
      </c>
      <c r="B8" s="22">
        <v>10000</v>
      </c>
      <c r="C8" s="22">
        <v>5000</v>
      </c>
      <c r="D8" s="22">
        <v>2000</v>
      </c>
      <c r="E8" s="22">
        <v>0</v>
      </c>
      <c r="F8" s="34">
        <v>25000</v>
      </c>
      <c r="G8" s="21">
        <v>0.68</v>
      </c>
      <c r="H8" s="57">
        <v>17000</v>
      </c>
      <c r="I8" s="62"/>
      <c r="J8" s="62"/>
      <c r="K8" s="60"/>
    </row>
    <row r="9" spans="1:11" x14ac:dyDescent="0.25">
      <c r="A9" s="21">
        <v>1997</v>
      </c>
      <c r="B9" s="22"/>
      <c r="C9" s="22">
        <v>12050</v>
      </c>
      <c r="D9" s="22">
        <v>6025</v>
      </c>
      <c r="E9" s="22">
        <v>2400</v>
      </c>
      <c r="F9" s="34">
        <v>29750</v>
      </c>
      <c r="G9" s="21">
        <v>0.68799999999999994</v>
      </c>
      <c r="H9" s="57">
        <v>20475</v>
      </c>
      <c r="I9" s="62"/>
      <c r="J9" s="62"/>
      <c r="K9" s="60"/>
    </row>
    <row r="10" spans="1:11" x14ac:dyDescent="0.25">
      <c r="A10" s="21">
        <v>1998</v>
      </c>
      <c r="B10" s="22"/>
      <c r="C10" s="22"/>
      <c r="D10" s="22">
        <v>14500</v>
      </c>
      <c r="E10" s="22">
        <v>7250</v>
      </c>
      <c r="F10" s="34">
        <v>33000</v>
      </c>
      <c r="G10" s="21">
        <v>0.7</v>
      </c>
      <c r="H10" s="57">
        <v>21750</v>
      </c>
      <c r="I10" s="62"/>
      <c r="J10" s="62"/>
      <c r="K10" s="60"/>
    </row>
    <row r="11" spans="1:11" x14ac:dyDescent="0.25">
      <c r="A11" s="21">
        <v>1999</v>
      </c>
      <c r="B11" s="22"/>
      <c r="C11" s="22"/>
      <c r="D11" s="22"/>
      <c r="E11" s="22">
        <v>17465</v>
      </c>
      <c r="F11" s="34">
        <v>38000</v>
      </c>
      <c r="G11" s="21">
        <v>0.7</v>
      </c>
      <c r="H11" s="57">
        <v>17465</v>
      </c>
      <c r="I11" s="62"/>
      <c r="J11" s="62"/>
      <c r="K11" s="60"/>
    </row>
    <row r="12" spans="1:11" x14ac:dyDescent="0.25">
      <c r="G12" s="36" t="s">
        <v>49</v>
      </c>
      <c r="H12" s="58">
        <v>76690</v>
      </c>
      <c r="I12" s="63"/>
      <c r="J12" s="63"/>
      <c r="K12" s="60"/>
    </row>
    <row r="15" spans="1:11" x14ac:dyDescent="0.25">
      <c r="A15" s="21"/>
      <c r="B15" s="138" t="s">
        <v>54</v>
      </c>
      <c r="C15" s="138"/>
      <c r="D15" s="138"/>
      <c r="E15" s="138"/>
      <c r="G15" s="20" t="s">
        <v>77</v>
      </c>
    </row>
    <row r="16" spans="1:11" x14ac:dyDescent="0.25">
      <c r="A16" s="21" t="s">
        <v>38</v>
      </c>
      <c r="B16" s="21">
        <v>1</v>
      </c>
      <c r="C16" s="21">
        <v>2</v>
      </c>
      <c r="D16" s="21">
        <v>3</v>
      </c>
      <c r="E16" s="21">
        <v>4</v>
      </c>
      <c r="G16" s="54">
        <v>1</v>
      </c>
      <c r="H16" s="20" t="s">
        <v>78</v>
      </c>
    </row>
    <row r="17" spans="1:13" x14ac:dyDescent="0.25">
      <c r="A17" s="21">
        <v>1996</v>
      </c>
      <c r="B17" s="22">
        <v>10000</v>
      </c>
      <c r="C17" s="22">
        <v>15000</v>
      </c>
      <c r="D17" s="22">
        <v>17000</v>
      </c>
      <c r="E17" s="22">
        <v>17000</v>
      </c>
      <c r="G17" s="54">
        <v>2</v>
      </c>
      <c r="H17" s="20" t="s">
        <v>86</v>
      </c>
    </row>
    <row r="18" spans="1:13" x14ac:dyDescent="0.25">
      <c r="A18" s="21">
        <v>1997</v>
      </c>
      <c r="B18" s="22">
        <v>12050</v>
      </c>
      <c r="C18" s="22">
        <v>18075</v>
      </c>
      <c r="D18" s="22">
        <v>20475</v>
      </c>
      <c r="E18" s="22"/>
      <c r="G18" s="54">
        <v>3</v>
      </c>
      <c r="H18" s="20" t="s">
        <v>79</v>
      </c>
    </row>
    <row r="19" spans="1:13" x14ac:dyDescent="0.25">
      <c r="A19" s="21">
        <v>1998</v>
      </c>
      <c r="B19" s="22">
        <v>14500</v>
      </c>
      <c r="C19" s="22">
        <v>21750</v>
      </c>
      <c r="D19" s="22"/>
      <c r="E19" s="22"/>
      <c r="H19" s="20" t="s">
        <v>80</v>
      </c>
    </row>
    <row r="20" spans="1:13" x14ac:dyDescent="0.25">
      <c r="A20" s="21">
        <v>1999</v>
      </c>
      <c r="B20" s="22">
        <v>17465</v>
      </c>
      <c r="C20" s="22"/>
      <c r="D20" s="22"/>
      <c r="E20" s="22"/>
      <c r="G20" s="54">
        <v>4</v>
      </c>
      <c r="H20" s="55" t="s">
        <v>81</v>
      </c>
    </row>
    <row r="21" spans="1:13" x14ac:dyDescent="0.25">
      <c r="G21" s="54"/>
      <c r="H21" s="55" t="s">
        <v>82</v>
      </c>
      <c r="M21" s="55" t="s">
        <v>89</v>
      </c>
    </row>
    <row r="22" spans="1:13" x14ac:dyDescent="0.25">
      <c r="A22" s="25" t="s">
        <v>76</v>
      </c>
      <c r="G22" s="54">
        <v>5</v>
      </c>
      <c r="H22" s="20" t="s">
        <v>83</v>
      </c>
    </row>
    <row r="23" spans="1:13" x14ac:dyDescent="0.25">
      <c r="A23" s="21" t="s">
        <v>38</v>
      </c>
      <c r="B23" s="48" t="s">
        <v>56</v>
      </c>
      <c r="C23" s="49">
        <v>0.5</v>
      </c>
      <c r="D23" s="49">
        <v>0.66666666666666663</v>
      </c>
      <c r="E23" s="47"/>
      <c r="G23" s="54">
        <v>6</v>
      </c>
      <c r="H23" s="20" t="s">
        <v>84</v>
      </c>
    </row>
    <row r="24" spans="1:13" x14ac:dyDescent="0.25">
      <c r="A24" s="21">
        <v>1996</v>
      </c>
      <c r="B24" s="32">
        <f t="shared" ref="B24:C26" si="0">C17/B17</f>
        <v>1.5</v>
      </c>
      <c r="C24" s="50">
        <f t="shared" si="0"/>
        <v>1.1333333333333333</v>
      </c>
      <c r="D24" s="51">
        <f>1*1</f>
        <v>1</v>
      </c>
    </row>
    <row r="25" spans="1:13" x14ac:dyDescent="0.25">
      <c r="A25" s="21">
        <v>1997</v>
      </c>
      <c r="B25" s="32">
        <f t="shared" si="0"/>
        <v>1.5</v>
      </c>
      <c r="C25" s="50">
        <f t="shared" si="0"/>
        <v>1.1327800829875518</v>
      </c>
      <c r="D25" s="32"/>
    </row>
    <row r="26" spans="1:13" x14ac:dyDescent="0.25">
      <c r="A26" s="21">
        <v>1998</v>
      </c>
      <c r="B26" s="32">
        <f t="shared" si="0"/>
        <v>1.5</v>
      </c>
      <c r="C26" s="50">
        <f t="shared" si="0"/>
        <v>0</v>
      </c>
      <c r="D26" s="32"/>
    </row>
    <row r="27" spans="1:13" x14ac:dyDescent="0.25">
      <c r="A27" s="21">
        <v>1999</v>
      </c>
      <c r="B27" s="32">
        <f>C20/B20</f>
        <v>0</v>
      </c>
      <c r="C27" s="50"/>
      <c r="D27" s="32"/>
    </row>
    <row r="29" spans="1:13" x14ac:dyDescent="0.25">
      <c r="A29" s="25" t="s">
        <v>74</v>
      </c>
    </row>
    <row r="30" spans="1:13" x14ac:dyDescent="0.25">
      <c r="A30" s="21"/>
      <c r="B30" s="32">
        <f>GEOMEAN(B24:B26)</f>
        <v>1.5</v>
      </c>
      <c r="C30" s="29">
        <f>GEOMEAN(C24:C25)</f>
        <v>1.1330566743927208</v>
      </c>
      <c r="D30" s="51">
        <f>D24</f>
        <v>1</v>
      </c>
    </row>
    <row r="32" spans="1:13" x14ac:dyDescent="0.25">
      <c r="A32" s="25" t="s">
        <v>85</v>
      </c>
    </row>
    <row r="33" spans="1:14" x14ac:dyDescent="0.25">
      <c r="A33" s="21"/>
      <c r="B33" s="53">
        <f>B30*C30*D30</f>
        <v>1.6995850115890812</v>
      </c>
      <c r="C33" s="53">
        <f>C30*D30</f>
        <v>1.1330566743927208</v>
      </c>
      <c r="D33" s="51">
        <f>D30</f>
        <v>1</v>
      </c>
    </row>
    <row r="35" spans="1:14" x14ac:dyDescent="0.25">
      <c r="A35" s="25" t="s">
        <v>87</v>
      </c>
    </row>
    <row r="36" spans="1:14" x14ac:dyDescent="0.25">
      <c r="A36" s="21"/>
      <c r="B36" s="52">
        <f>1/B33</f>
        <v>0.58837892378505863</v>
      </c>
      <c r="C36" s="52">
        <f>1/C33</f>
        <v>0.88256838567758789</v>
      </c>
      <c r="D36" s="52">
        <f>1/D33</f>
        <v>1</v>
      </c>
    </row>
    <row r="38" spans="1:14" x14ac:dyDescent="0.25">
      <c r="A38" s="25" t="s">
        <v>88</v>
      </c>
    </row>
    <row r="39" spans="1:14" x14ac:dyDescent="0.25">
      <c r="A39" s="21"/>
      <c r="B39" s="52">
        <f>1-B36</f>
        <v>0.41162107621494137</v>
      </c>
      <c r="C39" s="52">
        <f>1-C36</f>
        <v>0.11743161432241211</v>
      </c>
      <c r="D39" s="52">
        <f>1-D36</f>
        <v>0</v>
      </c>
    </row>
    <row r="41" spans="1:14" x14ac:dyDescent="0.25">
      <c r="A41" s="69" t="s">
        <v>94</v>
      </c>
    </row>
    <row r="42" spans="1:14" ht="39.6" x14ac:dyDescent="0.25">
      <c r="A42" s="43" t="s">
        <v>38</v>
      </c>
      <c r="B42" s="43">
        <v>1996</v>
      </c>
      <c r="C42" s="43">
        <v>1997</v>
      </c>
      <c r="D42" s="43">
        <v>1998</v>
      </c>
      <c r="E42" s="43">
        <v>1999</v>
      </c>
      <c r="F42" s="64" t="s">
        <v>39</v>
      </c>
      <c r="G42" s="43" t="s">
        <v>40</v>
      </c>
      <c r="H42" s="56" t="s">
        <v>106</v>
      </c>
      <c r="I42" s="56" t="s">
        <v>91</v>
      </c>
      <c r="J42" s="67" t="s">
        <v>93</v>
      </c>
      <c r="K42" s="73" t="s">
        <v>103</v>
      </c>
      <c r="L42" s="74" t="s">
        <v>102</v>
      </c>
      <c r="M42" s="74" t="s">
        <v>104</v>
      </c>
      <c r="N42" s="82" t="s">
        <v>107</v>
      </c>
    </row>
    <row r="43" spans="1:14" x14ac:dyDescent="0.25">
      <c r="A43" s="21">
        <v>1996</v>
      </c>
      <c r="B43" s="22">
        <v>10000</v>
      </c>
      <c r="C43" s="22">
        <v>5000</v>
      </c>
      <c r="D43" s="22">
        <v>2000</v>
      </c>
      <c r="E43" s="22">
        <v>0</v>
      </c>
      <c r="F43" s="34">
        <v>25000</v>
      </c>
      <c r="G43" s="21">
        <v>0.68</v>
      </c>
      <c r="H43" s="57">
        <f>SUM(B43:E43)</f>
        <v>17000</v>
      </c>
      <c r="I43" s="68">
        <f>G43*F43</f>
        <v>17000</v>
      </c>
      <c r="J43" s="68">
        <f>I43-H43</f>
        <v>0</v>
      </c>
      <c r="K43" s="75">
        <f>D36</f>
        <v>1</v>
      </c>
      <c r="L43" s="76">
        <f>(1-K43)*H43</f>
        <v>0</v>
      </c>
      <c r="M43" s="77">
        <f>H43+L43</f>
        <v>17000</v>
      </c>
      <c r="N43" s="76">
        <f>M43-H43</f>
        <v>0</v>
      </c>
    </row>
    <row r="44" spans="1:14" x14ac:dyDescent="0.25">
      <c r="A44" s="21">
        <v>1997</v>
      </c>
      <c r="B44" s="22"/>
      <c r="C44" s="22">
        <v>12050</v>
      </c>
      <c r="D44" s="22">
        <v>6025</v>
      </c>
      <c r="E44" s="22">
        <v>2400</v>
      </c>
      <c r="F44" s="34">
        <v>29750</v>
      </c>
      <c r="G44" s="21">
        <v>0.68799999999999994</v>
      </c>
      <c r="H44" s="57">
        <f>SUM(B44:E44)</f>
        <v>20475</v>
      </c>
      <c r="I44" s="68">
        <f>G44*F44</f>
        <v>20468</v>
      </c>
      <c r="J44" s="68">
        <f>I44-H44</f>
        <v>-7</v>
      </c>
      <c r="K44" s="75">
        <f>C36</f>
        <v>0.88256838567758789</v>
      </c>
      <c r="L44" s="76">
        <f>(1-K44)*H44</f>
        <v>2404.412303251388</v>
      </c>
      <c r="M44" s="77">
        <f t="shared" ref="M44:M47" si="1">H44+L44</f>
        <v>22879.412303251389</v>
      </c>
      <c r="N44" s="76">
        <f>M44-H44</f>
        <v>2404.4123032513889</v>
      </c>
    </row>
    <row r="45" spans="1:14" x14ac:dyDescent="0.25">
      <c r="A45" s="21">
        <v>1998</v>
      </c>
      <c r="B45" s="22"/>
      <c r="C45" s="22"/>
      <c r="D45" s="22">
        <v>14500</v>
      </c>
      <c r="E45" s="22">
        <v>7250</v>
      </c>
      <c r="F45" s="34">
        <v>33000</v>
      </c>
      <c r="G45" s="21">
        <v>0.7</v>
      </c>
      <c r="H45" s="57">
        <f>SUM(B45:E45)</f>
        <v>21750</v>
      </c>
      <c r="I45" s="68">
        <f>G45*F45</f>
        <v>23100</v>
      </c>
      <c r="J45" s="68">
        <f>I45-H45</f>
        <v>1350</v>
      </c>
      <c r="K45" s="75">
        <f>B36</f>
        <v>0.58837892378505863</v>
      </c>
      <c r="L45" s="76">
        <f>(1-K45)*H45</f>
        <v>8952.7584076749754</v>
      </c>
      <c r="M45" s="77">
        <f t="shared" si="1"/>
        <v>30702.758407674977</v>
      </c>
      <c r="N45" s="76">
        <f>M45-H45</f>
        <v>8952.7584076749772</v>
      </c>
    </row>
    <row r="46" spans="1:14" x14ac:dyDescent="0.25">
      <c r="A46" s="21">
        <v>1999</v>
      </c>
      <c r="B46" s="22"/>
      <c r="C46" s="22"/>
      <c r="D46" s="22"/>
      <c r="E46" s="22">
        <v>17465</v>
      </c>
      <c r="F46" s="34">
        <v>38000</v>
      </c>
      <c r="G46" s="21">
        <v>0.7</v>
      </c>
      <c r="H46" s="57">
        <f>SUM(B46:E46)</f>
        <v>17465</v>
      </c>
      <c r="I46" s="68">
        <f>G46*F46</f>
        <v>26600</v>
      </c>
      <c r="J46" s="68">
        <f>I46-H46</f>
        <v>9135</v>
      </c>
      <c r="K46" s="78">
        <v>0</v>
      </c>
      <c r="L46" s="76">
        <f>(1-K46)*H46</f>
        <v>17465</v>
      </c>
      <c r="M46" s="77">
        <f t="shared" si="1"/>
        <v>34930</v>
      </c>
      <c r="N46" s="76">
        <f>M46-H46</f>
        <v>17465</v>
      </c>
    </row>
    <row r="47" spans="1:14" x14ac:dyDescent="0.25">
      <c r="G47" s="36" t="s">
        <v>49</v>
      </c>
      <c r="H47" s="58">
        <f>SUM(H43:H46)</f>
        <v>76690</v>
      </c>
      <c r="I47" s="71">
        <f>SUM(I43:I46)</f>
        <v>87168</v>
      </c>
      <c r="J47" s="68">
        <f>I47-H47</f>
        <v>10478</v>
      </c>
      <c r="K47" s="79"/>
      <c r="L47" s="80">
        <f>SUM(L43:L46)</f>
        <v>28822.170710926363</v>
      </c>
      <c r="M47" s="81">
        <f t="shared" si="1"/>
        <v>105512.17071092637</v>
      </c>
      <c r="N47" s="76">
        <f>M47-H47</f>
        <v>28822.170710926366</v>
      </c>
    </row>
    <row r="48" spans="1:14" x14ac:dyDescent="0.25">
      <c r="A48" s="70" t="s">
        <v>53</v>
      </c>
    </row>
    <row r="49" spans="1:6" x14ac:dyDescent="0.25">
      <c r="A49" s="21"/>
      <c r="B49" s="138" t="s">
        <v>54</v>
      </c>
      <c r="C49" s="138"/>
      <c r="D49" s="138"/>
      <c r="E49" s="138"/>
    </row>
    <row r="50" spans="1:6" ht="26.4" x14ac:dyDescent="0.25">
      <c r="A50" s="21" t="s">
        <v>38</v>
      </c>
      <c r="B50" s="21">
        <v>1</v>
      </c>
      <c r="C50" s="21">
        <v>2</v>
      </c>
      <c r="D50" s="21">
        <v>3</v>
      </c>
      <c r="E50" s="21">
        <v>4</v>
      </c>
      <c r="F50" s="66" t="s">
        <v>92</v>
      </c>
    </row>
    <row r="51" spans="1:6" x14ac:dyDescent="0.25">
      <c r="A51" s="21">
        <v>1996</v>
      </c>
      <c r="B51" s="22">
        <v>10000</v>
      </c>
      <c r="C51" s="22">
        <v>15000</v>
      </c>
      <c r="D51" s="22">
        <v>17000</v>
      </c>
      <c r="E51" s="22">
        <v>17000</v>
      </c>
      <c r="F51" s="65">
        <f>E51</f>
        <v>17000</v>
      </c>
    </row>
    <row r="52" spans="1:6" x14ac:dyDescent="0.25">
      <c r="A52" s="21">
        <v>1997</v>
      </c>
      <c r="B52" s="22">
        <v>12050</v>
      </c>
      <c r="C52" s="22">
        <v>18075</v>
      </c>
      <c r="D52" s="22">
        <v>20475</v>
      </c>
      <c r="E52" s="22"/>
      <c r="F52" s="65">
        <f>D52*D33</f>
        <v>20475</v>
      </c>
    </row>
    <row r="53" spans="1:6" x14ac:dyDescent="0.25">
      <c r="A53" s="21">
        <v>1998</v>
      </c>
      <c r="B53" s="22">
        <v>14500</v>
      </c>
      <c r="C53" s="22">
        <v>21750</v>
      </c>
      <c r="D53" s="22"/>
      <c r="E53" s="22"/>
      <c r="F53" s="65">
        <f>C53*C33</f>
        <v>24643.982668041677</v>
      </c>
    </row>
    <row r="54" spans="1:6" x14ac:dyDescent="0.25">
      <c r="A54" s="21">
        <v>1999</v>
      </c>
      <c r="B54" s="22">
        <v>17465</v>
      </c>
      <c r="C54" s="22"/>
      <c r="D54" s="22"/>
      <c r="E54" s="22"/>
      <c r="F54" s="65">
        <f>B54*B33</f>
        <v>29683.252227403304</v>
      </c>
    </row>
    <row r="55" spans="1:6" x14ac:dyDescent="0.25">
      <c r="E55" s="36" t="s">
        <v>49</v>
      </c>
      <c r="F55" s="38">
        <f>SUM(F51:F54)</f>
        <v>91802.23489544497</v>
      </c>
    </row>
    <row r="57" spans="1:6" x14ac:dyDescent="0.25">
      <c r="A57" s="20" t="s">
        <v>95</v>
      </c>
      <c r="B57" s="20" t="s">
        <v>96</v>
      </c>
    </row>
    <row r="58" spans="1:6" x14ac:dyDescent="0.25">
      <c r="A58" s="20" t="s">
        <v>97</v>
      </c>
      <c r="B58" s="20" t="s">
        <v>98</v>
      </c>
    </row>
    <row r="59" spans="1:6" x14ac:dyDescent="0.25">
      <c r="B59" s="20" t="s">
        <v>99</v>
      </c>
    </row>
    <row r="61" spans="1:6" x14ac:dyDescent="0.25">
      <c r="A61" s="20" t="s">
        <v>100</v>
      </c>
      <c r="B61" s="20" t="s">
        <v>90</v>
      </c>
    </row>
    <row r="62" spans="1:6" x14ac:dyDescent="0.25">
      <c r="A62" s="20" t="s">
        <v>101</v>
      </c>
      <c r="B62" s="20" t="s">
        <v>102</v>
      </c>
    </row>
  </sheetData>
  <mergeCells count="2">
    <mergeCell ref="B15:E15"/>
    <mergeCell ref="B49:E49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02BB3-50C2-437D-935C-4BEDDADA37F1}">
  <dimension ref="A1:J33"/>
  <sheetViews>
    <sheetView workbookViewId="0">
      <selection activeCell="L20" sqref="L20"/>
    </sheetView>
  </sheetViews>
  <sheetFormatPr defaultRowHeight="13.8" x14ac:dyDescent="0.3"/>
  <cols>
    <col min="1" max="1" width="21" style="83" customWidth="1"/>
    <col min="2" max="2" width="9" style="83" bestFit="1" customWidth="1"/>
    <col min="3" max="5" width="9.88671875" style="83" bestFit="1" customWidth="1"/>
    <col min="6" max="6" width="14" style="83" bestFit="1" customWidth="1"/>
    <col min="7" max="7" width="8.88671875" style="83"/>
    <col min="8" max="8" width="9.88671875" style="83" bestFit="1" customWidth="1"/>
    <col min="9" max="9" width="11.109375" style="83" customWidth="1"/>
    <col min="10" max="10" width="10.33203125" style="83" customWidth="1"/>
    <col min="11" max="11" width="9.5546875" style="83" customWidth="1"/>
    <col min="12" max="12" width="10.44140625" style="83" bestFit="1" customWidth="1"/>
    <col min="13" max="16384" width="8.88671875" style="83"/>
  </cols>
  <sheetData>
    <row r="1" spans="1:10" x14ac:dyDescent="0.3">
      <c r="A1" s="89" t="s">
        <v>105</v>
      </c>
    </row>
    <row r="2" spans="1:10" x14ac:dyDescent="0.3">
      <c r="A2" s="83" t="s">
        <v>113</v>
      </c>
    </row>
    <row r="3" spans="1:10" x14ac:dyDescent="0.3">
      <c r="A3" s="83" t="s">
        <v>114</v>
      </c>
    </row>
    <row r="6" spans="1:10" x14ac:dyDescent="0.3">
      <c r="A6" s="89" t="s">
        <v>115</v>
      </c>
    </row>
    <row r="7" spans="1:10" x14ac:dyDescent="0.3">
      <c r="A7" s="88" t="s">
        <v>38</v>
      </c>
      <c r="B7" s="88" t="s">
        <v>108</v>
      </c>
      <c r="C7" s="88" t="s">
        <v>109</v>
      </c>
      <c r="D7" s="88" t="s">
        <v>110</v>
      </c>
      <c r="E7" s="88" t="s">
        <v>111</v>
      </c>
      <c r="F7" s="88" t="s">
        <v>39</v>
      </c>
    </row>
    <row r="8" spans="1:10" x14ac:dyDescent="0.3">
      <c r="A8" s="85">
        <v>2005</v>
      </c>
      <c r="B8" s="87">
        <v>4850</v>
      </c>
      <c r="C8" s="87">
        <v>9700</v>
      </c>
      <c r="D8" s="87">
        <v>14100</v>
      </c>
      <c r="E8" s="87">
        <v>16200</v>
      </c>
      <c r="F8" s="86">
        <v>19000</v>
      </c>
    </row>
    <row r="9" spans="1:10" x14ac:dyDescent="0.3">
      <c r="A9" s="85">
        <v>2006</v>
      </c>
      <c r="B9" s="87">
        <v>5150</v>
      </c>
      <c r="C9" s="87">
        <v>10300</v>
      </c>
      <c r="D9" s="87">
        <v>14900</v>
      </c>
      <c r="E9" s="87"/>
      <c r="F9" s="86">
        <v>20000</v>
      </c>
    </row>
    <row r="10" spans="1:10" x14ac:dyDescent="0.3">
      <c r="A10" s="85">
        <v>2007</v>
      </c>
      <c r="B10" s="87">
        <v>5400</v>
      </c>
      <c r="C10" s="87">
        <v>10800</v>
      </c>
      <c r="D10" s="87"/>
      <c r="E10" s="87"/>
      <c r="F10" s="86">
        <v>21000</v>
      </c>
    </row>
    <row r="11" spans="1:10" x14ac:dyDescent="0.3">
      <c r="A11" s="85">
        <v>2008</v>
      </c>
      <c r="B11" s="87">
        <v>7200</v>
      </c>
      <c r="C11" s="87"/>
      <c r="D11" s="87"/>
      <c r="E11" s="87"/>
      <c r="F11" s="86">
        <v>22000</v>
      </c>
    </row>
    <row r="12" spans="1:10" x14ac:dyDescent="0.3">
      <c r="A12" s="83" t="s">
        <v>112</v>
      </c>
    </row>
    <row r="14" spans="1:10" ht="41.4" x14ac:dyDescent="0.3">
      <c r="A14" s="88" t="s">
        <v>38</v>
      </c>
      <c r="B14" s="102" t="s">
        <v>40</v>
      </c>
      <c r="C14" s="103" t="s">
        <v>125</v>
      </c>
      <c r="D14" s="106" t="s">
        <v>122</v>
      </c>
      <c r="E14" s="107" t="s">
        <v>79</v>
      </c>
      <c r="F14" s="110" t="s">
        <v>81</v>
      </c>
      <c r="G14" s="110" t="s">
        <v>126</v>
      </c>
      <c r="H14" s="111" t="s">
        <v>127</v>
      </c>
      <c r="I14" s="112" t="s">
        <v>107</v>
      </c>
      <c r="J14" s="149" t="s">
        <v>196</v>
      </c>
    </row>
    <row r="15" spans="1:10" x14ac:dyDescent="0.3">
      <c r="A15" s="85">
        <v>2005</v>
      </c>
      <c r="B15" s="104">
        <v>0.9</v>
      </c>
      <c r="C15" s="105">
        <f>B15*F8</f>
        <v>17100</v>
      </c>
      <c r="D15" s="108">
        <v>1</v>
      </c>
      <c r="E15" s="109">
        <f>1-(1/D15)</f>
        <v>0</v>
      </c>
      <c r="F15" s="113">
        <f>C15*E15</f>
        <v>0</v>
      </c>
      <c r="G15" s="114">
        <f>E8</f>
        <v>16200</v>
      </c>
      <c r="H15" s="113">
        <f>F15+G15</f>
        <v>16200</v>
      </c>
      <c r="I15" s="113">
        <f>H15-G15</f>
        <v>0</v>
      </c>
      <c r="J15" s="150">
        <f>I15+F15</f>
        <v>0</v>
      </c>
    </row>
    <row r="16" spans="1:10" x14ac:dyDescent="0.3">
      <c r="A16" s="85">
        <v>2006</v>
      </c>
      <c r="B16" s="104">
        <v>0.85</v>
      </c>
      <c r="C16" s="105">
        <f>B16*F9</f>
        <v>17000</v>
      </c>
      <c r="D16" s="108">
        <f>D27</f>
        <v>1.1489361702127661</v>
      </c>
      <c r="E16" s="109">
        <f t="shared" ref="E16:E18" si="0">1-(1/D16)</f>
        <v>0.12962962962962976</v>
      </c>
      <c r="F16" s="113">
        <f>C16*E16</f>
        <v>2203.7037037037057</v>
      </c>
      <c r="G16" s="114">
        <f>D9</f>
        <v>14900</v>
      </c>
      <c r="H16" s="113">
        <f>F16+G16</f>
        <v>17103.703703703704</v>
      </c>
      <c r="I16" s="113">
        <f>H16-G16</f>
        <v>2203.7037037037044</v>
      </c>
      <c r="J16" s="150">
        <f t="shared" ref="J16:J18" si="1">I16+F16</f>
        <v>4407.4074074074106</v>
      </c>
    </row>
    <row r="17" spans="1:10" x14ac:dyDescent="0.3">
      <c r="A17" s="85">
        <v>2007</v>
      </c>
      <c r="B17" s="104">
        <v>0.91</v>
      </c>
      <c r="C17" s="105">
        <f>B17*F10</f>
        <v>19110</v>
      </c>
      <c r="D17" s="108">
        <f>C27</f>
        <v>1.6659574468085108</v>
      </c>
      <c r="E17" s="109">
        <f t="shared" si="0"/>
        <v>0.39974457215836534</v>
      </c>
      <c r="F17" s="113">
        <f>C17*E17</f>
        <v>7639.1187739463612</v>
      </c>
      <c r="G17" s="114">
        <f>C10</f>
        <v>10800</v>
      </c>
      <c r="H17" s="113">
        <f>F17+G17</f>
        <v>18439.11877394636</v>
      </c>
      <c r="I17" s="113">
        <f>H17-G17</f>
        <v>7639.1187739463603</v>
      </c>
      <c r="J17" s="150">
        <f t="shared" si="1"/>
        <v>15278.237547892721</v>
      </c>
    </row>
    <row r="18" spans="1:10" x14ac:dyDescent="0.3">
      <c r="A18" s="140">
        <v>2008</v>
      </c>
      <c r="B18" s="141">
        <v>0.88</v>
      </c>
      <c r="C18" s="142">
        <f>B18*F11</f>
        <v>19360</v>
      </c>
      <c r="D18" s="143">
        <f>B27</f>
        <v>3.3319148936170215</v>
      </c>
      <c r="E18" s="144">
        <f t="shared" si="0"/>
        <v>0.69987228607918262</v>
      </c>
      <c r="F18" s="145">
        <f>C18*E18</f>
        <v>13549.527458492976</v>
      </c>
      <c r="G18" s="146">
        <f>B11</f>
        <v>7200</v>
      </c>
      <c r="H18" s="145">
        <f>F18+G18</f>
        <v>20749.527458492976</v>
      </c>
      <c r="I18" s="145">
        <f>H18-G18</f>
        <v>13549.527458492976</v>
      </c>
      <c r="J18" s="150">
        <f t="shared" si="1"/>
        <v>27099.054916985951</v>
      </c>
    </row>
    <row r="19" spans="1:10" x14ac:dyDescent="0.3">
      <c r="A19" s="147" t="s">
        <v>49</v>
      </c>
      <c r="B19" s="147"/>
      <c r="C19" s="148">
        <f>SUM(C15:C18)</f>
        <v>72570</v>
      </c>
      <c r="D19" s="147"/>
      <c r="E19" s="147"/>
      <c r="F19" s="148">
        <f>SUM(F15:F18)</f>
        <v>23392.349936143044</v>
      </c>
      <c r="G19" s="148">
        <f>SUM(G15:G18)</f>
        <v>49100</v>
      </c>
      <c r="H19" s="148">
        <f>SUM(H15:H18)</f>
        <v>72492.349936143044</v>
      </c>
      <c r="I19" s="148">
        <f>SUM(I15:I18)</f>
        <v>23392.34993614304</v>
      </c>
      <c r="J19" s="151">
        <f>SUM(J15:J18)</f>
        <v>46784.699872286081</v>
      </c>
    </row>
    <row r="21" spans="1:10" x14ac:dyDescent="0.3">
      <c r="A21" s="89" t="s">
        <v>53</v>
      </c>
      <c r="F21" s="89" t="s">
        <v>91</v>
      </c>
      <c r="G21" s="83" t="s">
        <v>124</v>
      </c>
    </row>
    <row r="22" spans="1:10" x14ac:dyDescent="0.3">
      <c r="A22" s="89" t="s">
        <v>119</v>
      </c>
    </row>
    <row r="23" spans="1:10" x14ac:dyDescent="0.3">
      <c r="A23" s="92"/>
      <c r="B23" s="93" t="s">
        <v>116</v>
      </c>
      <c r="C23" s="93" t="s">
        <v>117</v>
      </c>
      <c r="D23" s="93" t="s">
        <v>118</v>
      </c>
      <c r="E23" s="90"/>
    </row>
    <row r="24" spans="1:10" x14ac:dyDescent="0.3">
      <c r="A24" s="95" t="s">
        <v>120</v>
      </c>
      <c r="B24" s="98">
        <f>SUM(C8:C10)/SUM(B8:B10)</f>
        <v>2</v>
      </c>
      <c r="C24" s="97">
        <f>SUM(D8:D9)/SUM(C8:C9)</f>
        <v>1.45</v>
      </c>
      <c r="D24" s="97">
        <f>E8/D8</f>
        <v>1.1489361702127661</v>
      </c>
      <c r="E24" s="91"/>
    </row>
    <row r="25" spans="1:10" x14ac:dyDescent="0.3">
      <c r="A25" s="94"/>
      <c r="B25" s="91"/>
      <c r="C25" s="91"/>
      <c r="D25" s="91"/>
      <c r="E25" s="91"/>
    </row>
    <row r="26" spans="1:10" x14ac:dyDescent="0.3">
      <c r="A26" s="96" t="s">
        <v>121</v>
      </c>
      <c r="B26" s="99" t="s">
        <v>65</v>
      </c>
      <c r="C26" s="99" t="s">
        <v>66</v>
      </c>
      <c r="D26" s="99" t="s">
        <v>67</v>
      </c>
      <c r="E26" s="91"/>
    </row>
    <row r="27" spans="1:10" x14ac:dyDescent="0.3">
      <c r="A27" s="95" t="s">
        <v>122</v>
      </c>
      <c r="B27" s="97">
        <f>B24*C24*D24</f>
        <v>3.3319148936170215</v>
      </c>
      <c r="C27" s="97">
        <f>C24*D24</f>
        <v>1.6659574468085108</v>
      </c>
      <c r="D27" s="97">
        <f>D24</f>
        <v>1.1489361702127661</v>
      </c>
      <c r="E27" s="91"/>
    </row>
    <row r="29" spans="1:10" x14ac:dyDescent="0.3">
      <c r="A29" s="89" t="s">
        <v>123</v>
      </c>
    </row>
    <row r="30" spans="1:10" x14ac:dyDescent="0.3">
      <c r="A30" s="84"/>
      <c r="B30" s="100">
        <f>1/B27</f>
        <v>0.30012771392081733</v>
      </c>
      <c r="C30" s="100">
        <f>1/C27</f>
        <v>0.60025542784163466</v>
      </c>
      <c r="D30" s="100">
        <f>1/D27</f>
        <v>0.87037037037037024</v>
      </c>
    </row>
    <row r="32" spans="1:10" x14ac:dyDescent="0.3">
      <c r="A32" s="89" t="s">
        <v>79</v>
      </c>
    </row>
    <row r="33" spans="1:4" x14ac:dyDescent="0.3">
      <c r="A33" s="84"/>
      <c r="B33" s="101">
        <f>1-B30</f>
        <v>0.69987228607918262</v>
      </c>
      <c r="C33" s="101">
        <f>1-C30</f>
        <v>0.39974457215836534</v>
      </c>
      <c r="D33" s="101">
        <f>1-D30</f>
        <v>0.12962962962962976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CFE7-8E06-4105-82BF-9143FE7E9257}">
  <dimension ref="A1:H37"/>
  <sheetViews>
    <sheetView topLeftCell="A21" workbookViewId="0">
      <selection activeCell="H37" sqref="A4:H37"/>
    </sheetView>
  </sheetViews>
  <sheetFormatPr defaultRowHeight="13.2" x14ac:dyDescent="0.25"/>
  <cols>
    <col min="1" max="1" width="17.6640625" style="20" customWidth="1"/>
    <col min="2" max="5" width="11.44140625" style="20" bestFit="1" customWidth="1"/>
    <col min="6" max="6" width="14.5546875" style="20" customWidth="1"/>
    <col min="7" max="8" width="13.44140625" style="20" customWidth="1"/>
    <col min="9" max="16384" width="8.88671875" style="20"/>
  </cols>
  <sheetData>
    <row r="1" spans="1:8" x14ac:dyDescent="0.25">
      <c r="A1" s="25" t="s">
        <v>105</v>
      </c>
    </row>
    <row r="2" spans="1:8" x14ac:dyDescent="0.25">
      <c r="A2" s="20" t="s">
        <v>128</v>
      </c>
    </row>
    <row r="4" spans="1:8" ht="26.4" x14ac:dyDescent="0.25">
      <c r="A4" s="121" t="s">
        <v>38</v>
      </c>
      <c r="B4" s="121" t="s">
        <v>108</v>
      </c>
      <c r="C4" s="121" t="s">
        <v>109</v>
      </c>
      <c r="D4" s="121" t="s">
        <v>110</v>
      </c>
      <c r="E4" s="134" t="s">
        <v>111</v>
      </c>
      <c r="F4" s="43" t="s">
        <v>64</v>
      </c>
      <c r="G4" s="43" t="s">
        <v>187</v>
      </c>
      <c r="H4" s="43" t="s">
        <v>189</v>
      </c>
    </row>
    <row r="5" spans="1:8" x14ac:dyDescent="0.25">
      <c r="A5" s="36">
        <v>2005</v>
      </c>
      <c r="B5" s="22">
        <v>27000</v>
      </c>
      <c r="C5" s="22">
        <v>49000</v>
      </c>
      <c r="D5" s="22">
        <v>65000</v>
      </c>
      <c r="E5" s="34">
        <v>72000</v>
      </c>
      <c r="F5" s="119">
        <f>E20</f>
        <v>1</v>
      </c>
      <c r="G5" s="22">
        <f>F5*E5</f>
        <v>72000</v>
      </c>
      <c r="H5" s="24">
        <f>G5-E5</f>
        <v>0</v>
      </c>
    </row>
    <row r="6" spans="1:8" x14ac:dyDescent="0.25">
      <c r="A6" s="36">
        <v>2006</v>
      </c>
      <c r="B6" s="22">
        <v>28000</v>
      </c>
      <c r="C6" s="22">
        <v>57000</v>
      </c>
      <c r="D6" s="22">
        <v>71000</v>
      </c>
      <c r="E6" s="135">
        <f>D6*D17</f>
        <v>81650</v>
      </c>
      <c r="F6" s="119">
        <f>D20</f>
        <v>1.1499999999999999</v>
      </c>
      <c r="G6" s="22">
        <f>F6*D6</f>
        <v>81650</v>
      </c>
      <c r="H6" s="24">
        <f>G6-D6</f>
        <v>10650</v>
      </c>
    </row>
    <row r="7" spans="1:8" x14ac:dyDescent="0.25">
      <c r="A7" s="36">
        <v>2007</v>
      </c>
      <c r="B7" s="22">
        <v>33000</v>
      </c>
      <c r="C7" s="22">
        <v>65000</v>
      </c>
      <c r="D7" s="131">
        <f>C7*C17</f>
        <v>78000</v>
      </c>
      <c r="E7" s="135">
        <f>D7*D17</f>
        <v>89700</v>
      </c>
      <c r="F7" s="119">
        <f>C20</f>
        <v>1.38</v>
      </c>
      <c r="G7" s="22">
        <f>F7*C7</f>
        <v>89700</v>
      </c>
      <c r="H7" s="24">
        <f>G7-C7</f>
        <v>24700</v>
      </c>
    </row>
    <row r="8" spans="1:8" x14ac:dyDescent="0.25">
      <c r="A8" s="36">
        <v>2008</v>
      </c>
      <c r="B8" s="22">
        <v>35000</v>
      </c>
      <c r="C8" s="131">
        <f>B8*B17</f>
        <v>70000</v>
      </c>
      <c r="D8" s="131">
        <f t="shared" ref="D8:E8" si="0">C8*C17</f>
        <v>84000</v>
      </c>
      <c r="E8" s="135">
        <f t="shared" si="0"/>
        <v>96599.999999999985</v>
      </c>
      <c r="F8" s="119">
        <f>B20</f>
        <v>2.76</v>
      </c>
      <c r="G8" s="22">
        <f>F8*B8</f>
        <v>96599.999999999985</v>
      </c>
      <c r="H8" s="24">
        <f>G8-B8</f>
        <v>61599.999999999985</v>
      </c>
    </row>
    <row r="9" spans="1:8" x14ac:dyDescent="0.25">
      <c r="A9" s="132"/>
      <c r="B9" s="62"/>
      <c r="C9" s="133"/>
      <c r="D9" s="133"/>
      <c r="E9" s="133"/>
      <c r="F9" s="136" t="s">
        <v>49</v>
      </c>
      <c r="G9" s="137">
        <f>SUM(G5:G8)</f>
        <v>339950</v>
      </c>
      <c r="H9" s="137">
        <f>SUM(H5:H8)</f>
        <v>96949.999999999985</v>
      </c>
    </row>
    <row r="11" spans="1:8" x14ac:dyDescent="0.25">
      <c r="A11" s="20" t="s">
        <v>129</v>
      </c>
    </row>
    <row r="12" spans="1:8" x14ac:dyDescent="0.25">
      <c r="A12" s="20" t="s">
        <v>130</v>
      </c>
    </row>
    <row r="13" spans="1:8" x14ac:dyDescent="0.25">
      <c r="A13" s="20" t="s">
        <v>131</v>
      </c>
    </row>
    <row r="15" spans="1:8" x14ac:dyDescent="0.25">
      <c r="A15" s="25" t="s">
        <v>55</v>
      </c>
      <c r="B15" s="25"/>
      <c r="C15" s="25"/>
      <c r="D15" s="25"/>
      <c r="E15" s="25"/>
    </row>
    <row r="16" spans="1:8" x14ac:dyDescent="0.25">
      <c r="A16" s="36"/>
      <c r="B16" s="115" t="s">
        <v>132</v>
      </c>
      <c r="C16" s="115" t="s">
        <v>133</v>
      </c>
      <c r="D16" s="115" t="s">
        <v>134</v>
      </c>
      <c r="E16" s="115" t="s">
        <v>135</v>
      </c>
    </row>
    <row r="17" spans="1:7" x14ac:dyDescent="0.25">
      <c r="A17" s="36" t="s">
        <v>60</v>
      </c>
      <c r="B17" s="51">
        <v>2</v>
      </c>
      <c r="C17" s="51">
        <v>1.2</v>
      </c>
      <c r="D17" s="51">
        <v>1.1499999999999999</v>
      </c>
      <c r="E17" s="51">
        <v>1</v>
      </c>
    </row>
    <row r="19" spans="1:7" x14ac:dyDescent="0.25">
      <c r="A19" s="25" t="s">
        <v>64</v>
      </c>
      <c r="B19" s="20" t="s">
        <v>183</v>
      </c>
      <c r="C19" s="20" t="s">
        <v>184</v>
      </c>
      <c r="D19" s="20" t="s">
        <v>185</v>
      </c>
      <c r="E19" s="20" t="s">
        <v>186</v>
      </c>
    </row>
    <row r="20" spans="1:7" x14ac:dyDescent="0.25">
      <c r="A20" s="21"/>
      <c r="B20" s="51">
        <f>B17*C17*D17*E17</f>
        <v>2.76</v>
      </c>
      <c r="C20" s="51">
        <f>C17*D17*E17</f>
        <v>1.38</v>
      </c>
      <c r="D20" s="51">
        <f>D17*E17</f>
        <v>1.1499999999999999</v>
      </c>
      <c r="E20" s="51">
        <v>1</v>
      </c>
    </row>
    <row r="22" spans="1:7" x14ac:dyDescent="0.25">
      <c r="A22" s="20" t="s">
        <v>188</v>
      </c>
    </row>
    <row r="23" spans="1:7" ht="26.4" x14ac:dyDescent="0.25">
      <c r="A23" s="121" t="s">
        <v>38</v>
      </c>
      <c r="B23" s="121" t="s">
        <v>108</v>
      </c>
      <c r="C23" s="121" t="s">
        <v>109</v>
      </c>
      <c r="D23" s="121" t="s">
        <v>110</v>
      </c>
      <c r="E23" s="121" t="s">
        <v>111</v>
      </c>
      <c r="F23" s="43" t="s">
        <v>189</v>
      </c>
    </row>
    <row r="24" spans="1:7" x14ac:dyDescent="0.25">
      <c r="A24" s="36">
        <v>2005</v>
      </c>
      <c r="B24" s="22"/>
      <c r="C24" s="22"/>
      <c r="D24" s="22"/>
      <c r="E24" s="22"/>
      <c r="F24" s="24">
        <f>SUM(B24:E24)</f>
        <v>0</v>
      </c>
    </row>
    <row r="25" spans="1:7" x14ac:dyDescent="0.25">
      <c r="A25" s="36">
        <v>2006</v>
      </c>
      <c r="B25" s="22"/>
      <c r="C25" s="22"/>
      <c r="D25" s="22"/>
      <c r="E25" s="131">
        <f>E6-D6</f>
        <v>10650</v>
      </c>
      <c r="F25" s="24">
        <f>SUM(B25:E25)</f>
        <v>10650</v>
      </c>
    </row>
    <row r="26" spans="1:7" x14ac:dyDescent="0.25">
      <c r="A26" s="36">
        <v>2007</v>
      </c>
      <c r="B26" s="22"/>
      <c r="C26" s="22"/>
      <c r="D26" s="131">
        <f>D7-C7</f>
        <v>13000</v>
      </c>
      <c r="E26" s="131">
        <f>E7-D7</f>
        <v>11700</v>
      </c>
      <c r="F26" s="24">
        <f>SUM(B26:E26)</f>
        <v>24700</v>
      </c>
    </row>
    <row r="27" spans="1:7" x14ac:dyDescent="0.25">
      <c r="A27" s="36">
        <v>2008</v>
      </c>
      <c r="B27" s="22"/>
      <c r="C27" s="131">
        <f>C8-B8</f>
        <v>35000</v>
      </c>
      <c r="D27" s="131">
        <f t="shared" ref="D27:E27" si="1">D8-C8</f>
        <v>14000</v>
      </c>
      <c r="E27" s="131">
        <f t="shared" si="1"/>
        <v>12599.999999999985</v>
      </c>
      <c r="F27" s="24">
        <f>SUM(B27:E27)</f>
        <v>61599.999999999985</v>
      </c>
    </row>
    <row r="28" spans="1:7" x14ac:dyDescent="0.25">
      <c r="E28" s="36" t="s">
        <v>14</v>
      </c>
      <c r="F28" s="38">
        <f>SUM(F25:F27)</f>
        <v>96949.999999999985</v>
      </c>
    </row>
    <row r="29" spans="1:7" x14ac:dyDescent="0.25">
      <c r="A29" s="132" t="s">
        <v>190</v>
      </c>
      <c r="B29" s="60"/>
      <c r="C29" s="60"/>
      <c r="D29" s="60"/>
      <c r="E29" s="60"/>
      <c r="F29" s="60"/>
    </row>
    <row r="30" spans="1:7" ht="52.8" x14ac:dyDescent="0.25">
      <c r="A30" s="121" t="s">
        <v>38</v>
      </c>
      <c r="B30" s="121" t="s">
        <v>108</v>
      </c>
      <c r="C30" s="121" t="s">
        <v>109</v>
      </c>
      <c r="D30" s="121" t="s">
        <v>110</v>
      </c>
      <c r="E30" s="121" t="s">
        <v>111</v>
      </c>
      <c r="F30" s="43" t="s">
        <v>191</v>
      </c>
      <c r="G30" s="152" t="s">
        <v>197</v>
      </c>
    </row>
    <row r="31" spans="1:7" x14ac:dyDescent="0.25">
      <c r="A31" s="36">
        <v>2005</v>
      </c>
      <c r="B31" s="22"/>
      <c r="C31" s="22"/>
      <c r="D31" s="22"/>
      <c r="E31" s="22"/>
      <c r="F31" s="24">
        <f>SUM(B31:E31)</f>
        <v>0</v>
      </c>
      <c r="G31" s="153"/>
    </row>
    <row r="32" spans="1:7" x14ac:dyDescent="0.25">
      <c r="A32" s="36">
        <v>2006</v>
      </c>
      <c r="B32" s="22"/>
      <c r="C32" s="22"/>
      <c r="D32" s="22"/>
      <c r="E32" s="131">
        <f>E25/(1.05^1)</f>
        <v>10142.857142857143</v>
      </c>
      <c r="F32" s="24">
        <f>SUM(B32:E32)</f>
        <v>10142.857142857143</v>
      </c>
      <c r="G32" s="154">
        <f>F32/F25</f>
        <v>0.95238095238095244</v>
      </c>
    </row>
    <row r="33" spans="1:7" x14ac:dyDescent="0.25">
      <c r="A33" s="36">
        <v>2007</v>
      </c>
      <c r="B33" s="22"/>
      <c r="C33" s="22"/>
      <c r="D33" s="131">
        <f>D26/(1.05^1)</f>
        <v>12380.95238095238</v>
      </c>
      <c r="E33" s="131">
        <f>E26/(1.05^2)</f>
        <v>10612.244897959183</v>
      </c>
      <c r="F33" s="24">
        <f>SUM(B33:E33)</f>
        <v>22993.197278911561</v>
      </c>
      <c r="G33" s="154">
        <f>F33/F26</f>
        <v>0.93089867525957737</v>
      </c>
    </row>
    <row r="34" spans="1:7" x14ac:dyDescent="0.25">
      <c r="A34" s="36">
        <v>2008</v>
      </c>
      <c r="B34" s="22"/>
      <c r="C34" s="131">
        <f>C27/(1.05^1)</f>
        <v>33333.333333333328</v>
      </c>
      <c r="D34" s="131">
        <f>D27/(1.05^2)</f>
        <v>12698.412698412698</v>
      </c>
      <c r="E34" s="131">
        <f>E27/(1.05^3)</f>
        <v>10884.353741496585</v>
      </c>
      <c r="F34" s="24">
        <f>SUM(B34:E34)</f>
        <v>56916.099773242611</v>
      </c>
      <c r="G34" s="154">
        <f>F34/F27</f>
        <v>0.92396265865653615</v>
      </c>
    </row>
    <row r="35" spans="1:7" x14ac:dyDescent="0.25">
      <c r="A35" s="21"/>
      <c r="B35" s="21"/>
      <c r="C35" s="21"/>
      <c r="D35" s="21"/>
      <c r="E35" s="36" t="s">
        <v>14</v>
      </c>
      <c r="F35" s="38">
        <f>SUM(F31:F34)</f>
        <v>90052.154195011317</v>
      </c>
      <c r="G35" s="154">
        <f>F35/F28</f>
        <v>0.92885151309965275</v>
      </c>
    </row>
    <row r="36" spans="1:7" x14ac:dyDescent="0.25">
      <c r="A36" s="20" t="s">
        <v>192</v>
      </c>
    </row>
    <row r="37" spans="1:7" x14ac:dyDescent="0.25">
      <c r="A37" s="20" t="s">
        <v>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Bornhuetter-Ferguson Method</vt:lpstr>
      <vt:lpstr>p1</vt:lpstr>
      <vt:lpstr>p.3</vt:lpstr>
      <vt:lpstr>p.4</vt:lpstr>
      <vt:lpstr>p.5</vt:lpstr>
      <vt:lpstr>p.6</vt:lpstr>
      <vt:lpstr>p.7</vt:lpstr>
      <vt:lpstr>p8.</vt:lpstr>
      <vt:lpstr>p.9</vt:lpstr>
      <vt:lpstr>p.10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 Cirelli</cp:lastModifiedBy>
  <dcterms:created xsi:type="dcterms:W3CDTF">2020-10-04T14:20:27Z</dcterms:created>
  <dcterms:modified xsi:type="dcterms:W3CDTF">2020-10-14T16:50:07Z</dcterms:modified>
</cp:coreProperties>
</file>