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-Youth U14" sheetId="1" state="visible" r:id="rId1"/>
    <sheet name="M-Youth U16" sheetId="2" state="visible" r:id="rId2"/>
    <sheet name="M-Junior" sheetId="3" state="visible" r:id="rId3"/>
    <sheet name="M-Senior" sheetId="4" state="visible" r:id="rId4"/>
    <sheet name="M-Vet 40-49" sheetId="5" state="visible" r:id="rId5"/>
    <sheet name="M-Vet 50-59" sheetId="6" state="visible" r:id="rId6"/>
    <sheet name="M-Vet 60+" sheetId="7" state="visible" r:id="rId7"/>
    <sheet name="F-Youth U14" sheetId="8" state="visible" r:id="rId8"/>
    <sheet name="F-Youth U16" sheetId="9" state="visible" r:id="rId9"/>
    <sheet name="F-Junior" sheetId="10" state="visible" r:id="rId10"/>
    <sheet name="F-Senior" sheetId="11" state="visible" r:id="rId11"/>
    <sheet name="F-Vet 40-49" sheetId="12" state="visible" r:id="rId12"/>
    <sheet name="F-Vet 50-59" sheetId="13" state="visible" r:id="rId13"/>
    <sheet name="F-Vet 60+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<sst xmlns="http://schemas.openxmlformats.org/spreadsheetml/2006/main" uniqueCount="4847">
  <si>
    <t>Ranking</t>
  </si>
  <si>
    <t>Name</t>
  </si>
  <si>
    <t>Club/Team</t>
  </si>
  <si>
    <t>Points</t>
  </si>
  <si>
    <t>Detail</t>
  </si>
  <si>
    <t>1</t>
  </si>
  <si>
    <t>Sebastian Grindley</t>
  </si>
  <si>
    <t>North Cheshire Clarion</t>
  </si>
  <si>
    <t>1047</t>
  </si>
  <si>
    <t>2</t>
  </si>
  <si>
    <t>Ben Coppola</t>
  </si>
  <si>
    <t>Four4th</t>
  </si>
  <si>
    <t>919</t>
  </si>
  <si>
    <t>3</t>
  </si>
  <si>
    <t>Joseph Cosgrove</t>
  </si>
  <si>
    <t>PH-MAS/Paul Milnes Cycles</t>
  </si>
  <si>
    <t>918</t>
  </si>
  <si>
    <t>4</t>
  </si>
  <si>
    <t>Alfie Amey</t>
  </si>
  <si>
    <t>DB Racing</t>
  </si>
  <si>
    <t>892</t>
  </si>
  <si>
    <t>5</t>
  </si>
  <si>
    <t>Spencer Corder</t>
  </si>
  <si>
    <t>ROTOR Race Team</t>
  </si>
  <si>
    <t>775</t>
  </si>
  <si>
    <t>6</t>
  </si>
  <si>
    <t>Oscar Martin</t>
  </si>
  <si>
    <t>717</t>
  </si>
  <si>
    <t>7</t>
  </si>
  <si>
    <t>Lewis Tinsley</t>
  </si>
  <si>
    <t>715</t>
  </si>
  <si>
    <t>8</t>
  </si>
  <si>
    <t>Callum Evans</t>
  </si>
  <si>
    <t>Sleaford Whls CC</t>
  </si>
  <si>
    <t>633</t>
  </si>
  <si>
    <t>9</t>
  </si>
  <si>
    <t>Joshua Jackson</t>
  </si>
  <si>
    <t>Team Ohten Aveas</t>
  </si>
  <si>
    <t>586</t>
  </si>
  <si>
    <t>10</t>
  </si>
  <si>
    <t>Alfie Davies</t>
  </si>
  <si>
    <t>A Cycling</t>
  </si>
  <si>
    <t>534</t>
  </si>
  <si>
    <t>11</t>
  </si>
  <si>
    <t>Ethan Storti</t>
  </si>
  <si>
    <t>Welwyn Wheelers CC</t>
  </si>
  <si>
    <t>495</t>
  </si>
  <si>
    <t>12</t>
  </si>
  <si>
    <t>Alex Taylor</t>
  </si>
  <si>
    <t>Oxonian CC</t>
  </si>
  <si>
    <t>492</t>
  </si>
  <si>
    <t>13</t>
  </si>
  <si>
    <t>Edward Charles</t>
  </si>
  <si>
    <t>Charlotteville CC</t>
  </si>
  <si>
    <t>478</t>
  </si>
  <si>
    <t>14</t>
  </si>
  <si>
    <t>Finlay Tarling</t>
  </si>
  <si>
    <t>West Wales Cycle Racing Team</t>
  </si>
  <si>
    <t>474</t>
  </si>
  <si>
    <t>15</t>
  </si>
  <si>
    <t>Harry Wardle</t>
  </si>
  <si>
    <t>Clifton CC</t>
  </si>
  <si>
    <t>432</t>
  </si>
  <si>
    <t>16</t>
  </si>
  <si>
    <t>Bryn Lawrence</t>
  </si>
  <si>
    <t>C and N Cycles RT</t>
  </si>
  <si>
    <t>414</t>
  </si>
  <si>
    <t>17</t>
  </si>
  <si>
    <t>Mackenzie Mellish</t>
  </si>
  <si>
    <t>Vector Cycling Race Team</t>
  </si>
  <si>
    <t>407</t>
  </si>
  <si>
    <t>18</t>
  </si>
  <si>
    <t>Ollie Boarer</t>
  </si>
  <si>
    <t>I-Team Cyclists' Club</t>
  </si>
  <si>
    <t>406</t>
  </si>
  <si>
    <t>19</t>
  </si>
  <si>
    <t>Joe Watkins-Wilson</t>
  </si>
  <si>
    <t>399</t>
  </si>
  <si>
    <t>20</t>
  </si>
  <si>
    <t>Will Roberts</t>
  </si>
  <si>
    <t>Derwentside CC</t>
  </si>
  <si>
    <t>384</t>
  </si>
  <si>
    <t>21</t>
  </si>
  <si>
    <t>Oscar Amey</t>
  </si>
  <si>
    <t>376</t>
  </si>
  <si>
    <t>22</t>
  </si>
  <si>
    <t>Callum Jones</t>
  </si>
  <si>
    <t>Cycle Derby CC</t>
  </si>
  <si>
    <t>371</t>
  </si>
  <si>
    <t>23</t>
  </si>
  <si>
    <t>Kai Buckley</t>
  </si>
  <si>
    <t>366</t>
  </si>
  <si>
    <t>24</t>
  </si>
  <si>
    <t>Harley Gregory</t>
  </si>
  <si>
    <t>West Suffolk Wheelers</t>
  </si>
  <si>
    <t>358</t>
  </si>
  <si>
    <t>25</t>
  </si>
  <si>
    <t>Denholm Edwards</t>
  </si>
  <si>
    <t>340</t>
  </si>
  <si>
    <t>26</t>
  </si>
  <si>
    <t>Peter Carpenter</t>
  </si>
  <si>
    <t>Sutton Cycling Club/ C &amp; N Cycles</t>
  </si>
  <si>
    <t>336</t>
  </si>
  <si>
    <t>27</t>
  </si>
  <si>
    <t>Seth Jackson</t>
  </si>
  <si>
    <t>Kirklees Cycling Academy</t>
  </si>
  <si>
    <t>328</t>
  </si>
  <si>
    <t>28</t>
  </si>
  <si>
    <t>Tom Carson</t>
  </si>
  <si>
    <t>Dyffryn Conwy</t>
  </si>
  <si>
    <t>317</t>
  </si>
  <si>
    <t>29</t>
  </si>
  <si>
    <t>Ben Mellor</t>
  </si>
  <si>
    <t>Matlock CC</t>
  </si>
  <si>
    <t>298</t>
  </si>
  <si>
    <t>30</t>
  </si>
  <si>
    <t>Joseph Wright</t>
  </si>
  <si>
    <t>Minehead Merlins</t>
  </si>
  <si>
    <t>296</t>
  </si>
  <si>
    <t>31</t>
  </si>
  <si>
    <t>Max Bufton</t>
  </si>
  <si>
    <t>Hafren CC</t>
  </si>
  <si>
    <t>295</t>
  </si>
  <si>
    <t>32</t>
  </si>
  <si>
    <t>Clément Reuter</t>
  </si>
  <si>
    <t>Herne Hill Youth CC</t>
  </si>
  <si>
    <t>291</t>
  </si>
  <si>
    <t>33</t>
  </si>
  <si>
    <t>Harrison Morroll</t>
  </si>
  <si>
    <t>276</t>
  </si>
  <si>
    <t>34</t>
  </si>
  <si>
    <t>Arran Cairns</t>
  </si>
  <si>
    <t>264</t>
  </si>
  <si>
    <t>35</t>
  </si>
  <si>
    <t>Alex Hart</t>
  </si>
  <si>
    <t>Mid Shropshire Wheelers</t>
  </si>
  <si>
    <t>260</t>
  </si>
  <si>
    <t>36</t>
  </si>
  <si>
    <t>Elliot Rowe</t>
  </si>
  <si>
    <t>Deeside Thistle CC</t>
  </si>
  <si>
    <t>258</t>
  </si>
  <si>
    <t>37</t>
  </si>
  <si>
    <t>Nathaniel Henderson</t>
  </si>
  <si>
    <t>Hetton Hawks Cycling Club</t>
  </si>
  <si>
    <t>253</t>
  </si>
  <si>
    <t>38</t>
  </si>
  <si>
    <t>Rupert Cavill</t>
  </si>
  <si>
    <t>251</t>
  </si>
  <si>
    <t>39</t>
  </si>
  <si>
    <t>Dylan Starkey</t>
  </si>
  <si>
    <t>250</t>
  </si>
  <si>
    <t>40</t>
  </si>
  <si>
    <t>Joel Hurt</t>
  </si>
  <si>
    <t>HUUB Ribble Performance Academy</t>
  </si>
  <si>
    <t>246</t>
  </si>
  <si>
    <t>41</t>
  </si>
  <si>
    <t>Toby Pullan</t>
  </si>
  <si>
    <t>Cambridge Junior Cycling Club</t>
  </si>
  <si>
    <t>42</t>
  </si>
  <si>
    <t>Finlay Woodliffe</t>
  </si>
  <si>
    <t>245</t>
  </si>
  <si>
    <t>43</t>
  </si>
  <si>
    <t>Luke Gibson</t>
  </si>
  <si>
    <t>4T+ Cyclopark</t>
  </si>
  <si>
    <t>233</t>
  </si>
  <si>
    <t>44</t>
  </si>
  <si>
    <t>Innes McDonald</t>
  </si>
  <si>
    <t>Edinburgh RC</t>
  </si>
  <si>
    <t>45</t>
  </si>
  <si>
    <t>William Gilbank</t>
  </si>
  <si>
    <t>Lee Valley Youth Cycling Club</t>
  </si>
  <si>
    <t>232</t>
  </si>
  <si>
    <t>46</t>
  </si>
  <si>
    <t>Adam Jones</t>
  </si>
  <si>
    <t>Banjo Cycles/Raceware/Specialized</t>
  </si>
  <si>
    <t>231</t>
  </si>
  <si>
    <t>47</t>
  </si>
  <si>
    <t>Charlie Hoyle</t>
  </si>
  <si>
    <t>Ashfield RC</t>
  </si>
  <si>
    <t>226</t>
  </si>
  <si>
    <t>48</t>
  </si>
  <si>
    <t>Ryan Oldfield</t>
  </si>
  <si>
    <t>Redditch Road &amp; Path CC</t>
  </si>
  <si>
    <t>216</t>
  </si>
  <si>
    <t>49</t>
  </si>
  <si>
    <t>Daniel Backhouse</t>
  </si>
  <si>
    <t>Lincoln Wheelers CC</t>
  </si>
  <si>
    <t>215</t>
  </si>
  <si>
    <t>50</t>
  </si>
  <si>
    <t>Thomas Wheaver</t>
  </si>
  <si>
    <t>Lyme RC</t>
  </si>
  <si>
    <t>208</t>
  </si>
  <si>
    <t>51</t>
  </si>
  <si>
    <t>Finley Macfarlane</t>
  </si>
  <si>
    <t>Palmer Park Velo RT</t>
  </si>
  <si>
    <t>204</t>
  </si>
  <si>
    <t>52</t>
  </si>
  <si>
    <t>Max Saunders</t>
  </si>
  <si>
    <t>Solihull CC</t>
  </si>
  <si>
    <t>53</t>
  </si>
  <si>
    <t>Callum Feather</t>
  </si>
  <si>
    <t>Bronte Tykes Cycling Club</t>
  </si>
  <si>
    <t>200</t>
  </si>
  <si>
    <t>54</t>
  </si>
  <si>
    <t>Jude Du Toit</t>
  </si>
  <si>
    <t>Newark Castle CC</t>
  </si>
  <si>
    <t>190</t>
  </si>
  <si>
    <t>55</t>
  </si>
  <si>
    <t>Mak Larkin</t>
  </si>
  <si>
    <t>184</t>
  </si>
  <si>
    <t>56</t>
  </si>
  <si>
    <t>Dylan Cherruault</t>
  </si>
  <si>
    <t>Avid Sport</t>
  </si>
  <si>
    <t>183</t>
  </si>
  <si>
    <t>57</t>
  </si>
  <si>
    <t>Alexander Murphy</t>
  </si>
  <si>
    <t>Velo Club Venta</t>
  </si>
  <si>
    <t>179</t>
  </si>
  <si>
    <t>58</t>
  </si>
  <si>
    <t>William Best</t>
  </si>
  <si>
    <t>178</t>
  </si>
  <si>
    <t>59</t>
  </si>
  <si>
    <t>George Connell</t>
  </si>
  <si>
    <t>Sotonia CC</t>
  </si>
  <si>
    <t>173</t>
  </si>
  <si>
    <t>60</t>
  </si>
  <si>
    <t>Alexander Keary</t>
  </si>
  <si>
    <t>172</t>
  </si>
  <si>
    <t>61</t>
  </si>
  <si>
    <t>Sebastian Varley</t>
  </si>
  <si>
    <t>Derby Mercury RC</t>
  </si>
  <si>
    <t>167</t>
  </si>
  <si>
    <t>62</t>
  </si>
  <si>
    <t>Matthew Bell</t>
  </si>
  <si>
    <t>Beacon Wheelers</t>
  </si>
  <si>
    <t>164</t>
  </si>
  <si>
    <t>63</t>
  </si>
  <si>
    <t>James Ingham</t>
  </si>
  <si>
    <t>Green Jersey cc RT</t>
  </si>
  <si>
    <t>64</t>
  </si>
  <si>
    <t>Noah Inman</t>
  </si>
  <si>
    <t>65</t>
  </si>
  <si>
    <t>Mackenzie Riley</t>
  </si>
  <si>
    <t>163</t>
  </si>
  <si>
    <t>66</t>
  </si>
  <si>
    <t>Oliver Blyth</t>
  </si>
  <si>
    <t>158</t>
  </si>
  <si>
    <t>67</t>
  </si>
  <si>
    <t>Tom Jackson</t>
  </si>
  <si>
    <t>Newport Shropshire CC</t>
  </si>
  <si>
    <t>68</t>
  </si>
  <si>
    <t>Trayden Jarrett</t>
  </si>
  <si>
    <t>Eastlands Velo</t>
  </si>
  <si>
    <t>152</t>
  </si>
  <si>
    <t>69</t>
  </si>
  <si>
    <t>Dillon Air</t>
  </si>
  <si>
    <t>151</t>
  </si>
  <si>
    <t>70</t>
  </si>
  <si>
    <t>Alex Poulston</t>
  </si>
  <si>
    <t>Birkenhead North End CC</t>
  </si>
  <si>
    <t>71</t>
  </si>
  <si>
    <t>Patrick Casey</t>
  </si>
  <si>
    <t>East Bradford CC</t>
  </si>
  <si>
    <t>144</t>
  </si>
  <si>
    <t>72</t>
  </si>
  <si>
    <t>Miles Horner</t>
  </si>
  <si>
    <t>143</t>
  </si>
  <si>
    <t>73</t>
  </si>
  <si>
    <t>Henry Hobbs</t>
  </si>
  <si>
    <t>142</t>
  </si>
  <si>
    <t>74</t>
  </si>
  <si>
    <t>Rowan Baxter</t>
  </si>
  <si>
    <t>Huddersfield Star Wheelers</t>
  </si>
  <si>
    <t>141</t>
  </si>
  <si>
    <t>75</t>
  </si>
  <si>
    <t>John White</t>
  </si>
  <si>
    <t>139</t>
  </si>
  <si>
    <t>76</t>
  </si>
  <si>
    <t>Matthew Kent</t>
  </si>
  <si>
    <t>Team HUP</t>
  </si>
  <si>
    <t>137</t>
  </si>
  <si>
    <t>77</t>
  </si>
  <si>
    <t>Noah Ellison</t>
  </si>
  <si>
    <t>Shibden Cycling Club</t>
  </si>
  <si>
    <t>134</t>
  </si>
  <si>
    <t>78</t>
  </si>
  <si>
    <t>Luke Mannings</t>
  </si>
  <si>
    <t>Halesowen A &amp; CC</t>
  </si>
  <si>
    <t>132</t>
  </si>
  <si>
    <t>79</t>
  </si>
  <si>
    <t>Ewan Dix</t>
  </si>
  <si>
    <t>Dartmoor Velo – CareControlSystems</t>
  </si>
  <si>
    <t>131</t>
  </si>
  <si>
    <t>80</t>
  </si>
  <si>
    <t>James Martin</t>
  </si>
  <si>
    <t>Solent Pirates</t>
  </si>
  <si>
    <t>130</t>
  </si>
  <si>
    <t>81</t>
  </si>
  <si>
    <t>Luke Jones</t>
  </si>
  <si>
    <t>Welland Valley CC</t>
  </si>
  <si>
    <t>129</t>
  </si>
  <si>
    <t>82</t>
  </si>
  <si>
    <t>Samuel Greenwell</t>
  </si>
  <si>
    <t>125</t>
  </si>
  <si>
    <t>83</t>
  </si>
  <si>
    <t>Ben Ellis</t>
  </si>
  <si>
    <t>121</t>
  </si>
  <si>
    <t>84</t>
  </si>
  <si>
    <t>William Blount</t>
  </si>
  <si>
    <t>120</t>
  </si>
  <si>
    <t>85</t>
  </si>
  <si>
    <t>Hudson Hendry</t>
  </si>
  <si>
    <t>Team Milton Keynes</t>
  </si>
  <si>
    <t>86</t>
  </si>
  <si>
    <t>James Brown</t>
  </si>
  <si>
    <t>WORX Factory Racing</t>
  </si>
  <si>
    <t>118</t>
  </si>
  <si>
    <t>87</t>
  </si>
  <si>
    <t>Noah Horton</t>
  </si>
  <si>
    <t>88</t>
  </si>
  <si>
    <t>George Watch</t>
  </si>
  <si>
    <t>117</t>
  </si>
  <si>
    <t>89</t>
  </si>
  <si>
    <t>Louis Garnsworthy</t>
  </si>
  <si>
    <t>Taw Velo</t>
  </si>
  <si>
    <t>115</t>
  </si>
  <si>
    <t>90</t>
  </si>
  <si>
    <t>Ben Heap</t>
  </si>
  <si>
    <t>Hillingdon Slipstreamers</t>
  </si>
  <si>
    <t>91</t>
  </si>
  <si>
    <t>Nate Gordon</t>
  </si>
  <si>
    <t>Colchester Rovers CC</t>
  </si>
  <si>
    <t>111</t>
  </si>
  <si>
    <t>92</t>
  </si>
  <si>
    <t>Joshua Darlow</t>
  </si>
  <si>
    <t>Stratford CC</t>
  </si>
  <si>
    <t>110</t>
  </si>
  <si>
    <t>93</t>
  </si>
  <si>
    <t>Cian Evans</t>
  </si>
  <si>
    <t>The Bulls</t>
  </si>
  <si>
    <t>104</t>
  </si>
  <si>
    <t>94</t>
  </si>
  <si>
    <t>Tom Brookes</t>
  </si>
  <si>
    <t>102</t>
  </si>
  <si>
    <t>95</t>
  </si>
  <si>
    <t>Ruan Vorster</t>
  </si>
  <si>
    <t>West Lothian Clarion CC</t>
  </si>
  <si>
    <t>96</t>
  </si>
  <si>
    <t>Oliver Barker</t>
  </si>
  <si>
    <t>99</t>
  </si>
  <si>
    <t>97</t>
  </si>
  <si>
    <t>Joseph Swanston</t>
  </si>
  <si>
    <t>98</t>
  </si>
  <si>
    <t>William Pollard</t>
  </si>
  <si>
    <t>Sam Fisher</t>
  </si>
  <si>
    <t>Maindy Flyers CC</t>
  </si>
  <si>
    <t>100</t>
  </si>
  <si>
    <t>George Presland</t>
  </si>
  <si>
    <t>Cycle Club Ashwell (CCA)</t>
  </si>
  <si>
    <t>101</t>
  </si>
  <si>
    <t>Joseph Chapman</t>
  </si>
  <si>
    <t>Bolsover &amp; District Cycling Club</t>
  </si>
  <si>
    <t>Oskar Everett</t>
  </si>
  <si>
    <t>Stowmarket &amp; District CC</t>
  </si>
  <si>
    <t>103</t>
  </si>
  <si>
    <t>Sam Budd</t>
  </si>
  <si>
    <t>CTWYCC</t>
  </si>
  <si>
    <t>Archie Marshall Dawson</t>
  </si>
  <si>
    <t>105</t>
  </si>
  <si>
    <t>Daniel Phillips</t>
  </si>
  <si>
    <t>106</t>
  </si>
  <si>
    <t>Freddie Wardle</t>
  </si>
  <si>
    <t>107</t>
  </si>
  <si>
    <t>Oliver Dawson</t>
  </si>
  <si>
    <t>108</t>
  </si>
  <si>
    <t>Rory Gravelle</t>
  </si>
  <si>
    <t>Towy Riders</t>
  </si>
  <si>
    <t>109</t>
  </si>
  <si>
    <t>Ben Scott</t>
  </si>
  <si>
    <t>Racing Metro 15</t>
  </si>
  <si>
    <t>Joseph Turnbull</t>
  </si>
  <si>
    <t>MTS Cycle Sport</t>
  </si>
  <si>
    <t>Jesse Bradley</t>
  </si>
  <si>
    <t>Lichfield City CC</t>
  </si>
  <si>
    <t>112</t>
  </si>
  <si>
    <t>Reubens Thomson</t>
  </si>
  <si>
    <t>Grampian Tigers</t>
  </si>
  <si>
    <t>113</t>
  </si>
  <si>
    <t>Daniel Kemp</t>
  </si>
  <si>
    <t>114</t>
  </si>
  <si>
    <t>Ben Woodhouse</t>
  </si>
  <si>
    <t>Luca Mascia</t>
  </si>
  <si>
    <t>Cotswold Veldrijden</t>
  </si>
  <si>
    <t>116</t>
  </si>
  <si>
    <t>Oliver Oldham</t>
  </si>
  <si>
    <t>Salt Ayre Cog Set</t>
  </si>
  <si>
    <t>Charlie Yardy</t>
  </si>
  <si>
    <t>Stanley Kent</t>
  </si>
  <si>
    <t>London Dynamo</t>
  </si>
  <si>
    <t>119</t>
  </si>
  <si>
    <t>Declan Oldham</t>
  </si>
  <si>
    <t>Hope Factory Racing</t>
  </si>
  <si>
    <t>Ben Allan</t>
  </si>
  <si>
    <t>Peebles CC</t>
  </si>
  <si>
    <t>Reece Pittman</t>
  </si>
  <si>
    <t>122</t>
  </si>
  <si>
    <t>Luca Bednarek</t>
  </si>
  <si>
    <t>Albarosa Cycling Club</t>
  </si>
  <si>
    <t>123</t>
  </si>
  <si>
    <t>Johan Thomsen</t>
  </si>
  <si>
    <t>124</t>
  </si>
  <si>
    <t>Sam Gilbert</t>
  </si>
  <si>
    <t>Jamie Stewart</t>
  </si>
  <si>
    <t>Holmfirth Cycling Club</t>
  </si>
  <si>
    <t>126</t>
  </si>
  <si>
    <t>Benjamin Pearcey</t>
  </si>
  <si>
    <t>127</t>
  </si>
  <si>
    <t>Feargus Pearson</t>
  </si>
  <si>
    <t>128</t>
  </si>
  <si>
    <t>George Harvey</t>
  </si>
  <si>
    <t>VC Jubilee</t>
  </si>
  <si>
    <t>Louis Kirk</t>
  </si>
  <si>
    <t>Felix Earth</t>
  </si>
  <si>
    <t>Emil Howell</t>
  </si>
  <si>
    <t>Harry Gilligan</t>
  </si>
  <si>
    <t>133</t>
  </si>
  <si>
    <t>Llion Rees-Jenkins</t>
  </si>
  <si>
    <t>Ystwyth Cycling Club</t>
  </si>
  <si>
    <t>Oliver Murphy</t>
  </si>
  <si>
    <t>Pilgrim Flyers</t>
  </si>
  <si>
    <t>135</t>
  </si>
  <si>
    <t>Stanley Salter</t>
  </si>
  <si>
    <t>136</t>
  </si>
  <si>
    <t>Emmet Foster</t>
  </si>
  <si>
    <t>Carnegie Cyclones</t>
  </si>
  <si>
    <t>Patrick Havercroft</t>
  </si>
  <si>
    <t>138</t>
  </si>
  <si>
    <t>Isaac Wytchard</t>
  </si>
  <si>
    <t>William Flatau</t>
  </si>
  <si>
    <t>140</t>
  </si>
  <si>
    <t>Tom Hyde</t>
  </si>
  <si>
    <t>Izaak Curtis</t>
  </si>
  <si>
    <t>Matthew White</t>
  </si>
  <si>
    <t>Stockton Wheelers CC</t>
  </si>
  <si>
    <t>Judah Hurr</t>
  </si>
  <si>
    <t>Portsmouth North End CC</t>
  </si>
  <si>
    <t>Oscar Karta-Smith</t>
  </si>
  <si>
    <t>Suffolk Youth Race Team</t>
  </si>
  <si>
    <t>145</t>
  </si>
  <si>
    <t>Luis Ryder</t>
  </si>
  <si>
    <t>146</t>
  </si>
  <si>
    <t>Oliver Roberts</t>
  </si>
  <si>
    <t>147</t>
  </si>
  <si>
    <t>Oscar Saxton</t>
  </si>
  <si>
    <t>148</t>
  </si>
  <si>
    <t>Henry Barker-Pine</t>
  </si>
  <si>
    <t>149</t>
  </si>
  <si>
    <t>Samuel Brownsword</t>
  </si>
  <si>
    <t>150</t>
  </si>
  <si>
    <t>Arthur Heritage</t>
  </si>
  <si>
    <t>Oliver Kelly</t>
  </si>
  <si>
    <t>Johnstone Wheelers Cycling Club</t>
  </si>
  <si>
    <t>Bram Ottewell</t>
  </si>
  <si>
    <t>153</t>
  </si>
  <si>
    <t>Ben Howlett</t>
  </si>
  <si>
    <t>154</t>
  </si>
  <si>
    <t>Connor MacArthur</t>
  </si>
  <si>
    <t>155</t>
  </si>
  <si>
    <t>Alfred Bunyan</t>
  </si>
  <si>
    <t>Preston Park Youth CC (PPYCC)</t>
  </si>
  <si>
    <t>156</t>
  </si>
  <si>
    <t>Toby Bush</t>
  </si>
  <si>
    <t>Bourne Whls CC</t>
  </si>
  <si>
    <t>157</t>
  </si>
  <si>
    <t>William Salter</t>
  </si>
  <si>
    <t>Tri UK</t>
  </si>
  <si>
    <t>Luke Carrington</t>
  </si>
  <si>
    <t>159</t>
  </si>
  <si>
    <t>William Mitchell</t>
  </si>
  <si>
    <t>Team Darenth</t>
  </si>
  <si>
    <t>160</t>
  </si>
  <si>
    <t>Martin Cunnane</t>
  </si>
  <si>
    <t>161</t>
  </si>
  <si>
    <t>Samuel Ridgment</t>
  </si>
  <si>
    <t>162</t>
  </si>
  <si>
    <t>Ethan Campbell</t>
  </si>
  <si>
    <t>Charlie Cowling</t>
  </si>
  <si>
    <t>Finlay Turner</t>
  </si>
  <si>
    <t>165</t>
  </si>
  <si>
    <t>Henry Fletcher</t>
  </si>
  <si>
    <t>166</t>
  </si>
  <si>
    <t>Rory Ogilvie</t>
  </si>
  <si>
    <t>Serafino Sella</t>
  </si>
  <si>
    <t>168</t>
  </si>
  <si>
    <t>Thomas Allis</t>
  </si>
  <si>
    <t>NEL Lindsey Go-Ride</t>
  </si>
  <si>
    <t>169</t>
  </si>
  <si>
    <t>Oscar Davies</t>
  </si>
  <si>
    <t>CC Abergavenny/JP Signs &amp; Print</t>
  </si>
  <si>
    <t>170</t>
  </si>
  <si>
    <t>Ethan Hindmarch</t>
  </si>
  <si>
    <t>171</t>
  </si>
  <si>
    <t>Thomas Newall</t>
  </si>
  <si>
    <t>William Pearson-Inman</t>
  </si>
  <si>
    <t>4 Life Triathlon Club</t>
  </si>
  <si>
    <t>Joseph Spearman-Oxx</t>
  </si>
  <si>
    <t>Bigfoot Youth Cycle Club Ltd</t>
  </si>
  <si>
    <t>174</t>
  </si>
  <si>
    <t>Luca Bradley</t>
  </si>
  <si>
    <t>175</t>
  </si>
  <si>
    <t>Thomas Cracknell</t>
  </si>
  <si>
    <t>Pedalon.co.uk</t>
  </si>
  <si>
    <t>176</t>
  </si>
  <si>
    <t>Dominic Pauley</t>
  </si>
  <si>
    <t>St Ives CC</t>
  </si>
  <si>
    <t>177</t>
  </si>
  <si>
    <t>Matthew Peace</t>
  </si>
  <si>
    <t>Harry Hudson</t>
  </si>
  <si>
    <t>Max Potts</t>
  </si>
  <si>
    <t>180</t>
  </si>
  <si>
    <t>Max Burkitt</t>
  </si>
  <si>
    <t>181</t>
  </si>
  <si>
    <t>Lucas Elwell</t>
  </si>
  <si>
    <t>182</t>
  </si>
  <si>
    <t>Jack Livesey</t>
  </si>
  <si>
    <t>Oskar Wadsworth</t>
  </si>
  <si>
    <t>Owain Williams</t>
  </si>
  <si>
    <t>185</t>
  </si>
  <si>
    <t>Rhys Edwards</t>
  </si>
  <si>
    <t>186</t>
  </si>
  <si>
    <t>Harry Knox</t>
  </si>
  <si>
    <t>Tyneside Vagabonds CC</t>
  </si>
  <si>
    <t>187</t>
  </si>
  <si>
    <t>Joseph Lonergan</t>
  </si>
  <si>
    <t>188</t>
  </si>
  <si>
    <t>William Barlow</t>
  </si>
  <si>
    <t>189</t>
  </si>
  <si>
    <t>Alexander Rabaiotti</t>
  </si>
  <si>
    <t>Nathan Smith</t>
  </si>
  <si>
    <t>191</t>
  </si>
  <si>
    <t>Sam Barbour</t>
  </si>
  <si>
    <t>SteppingStanes Youth Cycling Club</t>
  </si>
  <si>
    <t>192</t>
  </si>
  <si>
    <t>Sebastian Boulton</t>
  </si>
  <si>
    <t>193</t>
  </si>
  <si>
    <t>Charlie Brock</t>
  </si>
  <si>
    <t>194</t>
  </si>
  <si>
    <t>Francis Caswell</t>
  </si>
  <si>
    <t>1st Chard Whls</t>
  </si>
  <si>
    <t>195</t>
  </si>
  <si>
    <t>Nate Corken</t>
  </si>
  <si>
    <t>Abergavenny Road Club</t>
  </si>
  <si>
    <t>196</t>
  </si>
  <si>
    <t>Ellis Jackson</t>
  </si>
  <si>
    <t>Leicester Forest CC</t>
  </si>
  <si>
    <t>197</t>
  </si>
  <si>
    <t>Aaron Webber</t>
  </si>
  <si>
    <t>198</t>
  </si>
  <si>
    <t>Aidan Worden</t>
  </si>
  <si>
    <t>Red Rose Olympic CC</t>
  </si>
  <si>
    <t>199</t>
  </si>
  <si>
    <t>Rhys Wytchard</t>
  </si>
  <si>
    <t>Sebastian Kinsey</t>
  </si>
  <si>
    <t>201</t>
  </si>
  <si>
    <t>Oli Lawrence</t>
  </si>
  <si>
    <t>202</t>
  </si>
  <si>
    <t>Thomas Lewis</t>
  </si>
  <si>
    <t>Ely &amp; District CC</t>
  </si>
  <si>
    <t>203</t>
  </si>
  <si>
    <t>Harry Sylph</t>
  </si>
  <si>
    <t>Fraser Taylor</t>
  </si>
  <si>
    <t>205</t>
  </si>
  <si>
    <t>Joshua Chamberlain</t>
  </si>
  <si>
    <t>206</t>
  </si>
  <si>
    <t>Adam Harrison-Smith</t>
  </si>
  <si>
    <t>Chapel Tri-Stars</t>
  </si>
  <si>
    <t>207</t>
  </si>
  <si>
    <t>Elliot Marsden</t>
  </si>
  <si>
    <t>Cycling Club Hackney</t>
  </si>
  <si>
    <t>Samuel Murcott</t>
  </si>
  <si>
    <t>209</t>
  </si>
  <si>
    <t>Huw Watkins</t>
  </si>
  <si>
    <t>210</t>
  </si>
  <si>
    <t>James Beagley</t>
  </si>
  <si>
    <t>Harrogate Nova CC</t>
  </si>
  <si>
    <t>211</t>
  </si>
  <si>
    <t>Alistair Oppen</t>
  </si>
  <si>
    <t>212</t>
  </si>
  <si>
    <t>Thomas Godfrey</t>
  </si>
  <si>
    <t>Bedfordshire Road Cycling Club</t>
  </si>
  <si>
    <t>213</t>
  </si>
  <si>
    <t>Toby Manning</t>
  </si>
  <si>
    <t>VC Deal</t>
  </si>
  <si>
    <t>214</t>
  </si>
  <si>
    <t>Oliver Patterson</t>
  </si>
  <si>
    <t>Gower Riders</t>
  </si>
  <si>
    <t>Lukas Quiney</t>
  </si>
  <si>
    <t>Arthur Bond</t>
  </si>
  <si>
    <t>217</t>
  </si>
  <si>
    <t>Alasdair Easton</t>
  </si>
  <si>
    <t>218</t>
  </si>
  <si>
    <t>Magnus Denwood</t>
  </si>
  <si>
    <t>219</t>
  </si>
  <si>
    <t>Seth Ireland</t>
  </si>
  <si>
    <t>220</t>
  </si>
  <si>
    <t>Samuel Quiggin</t>
  </si>
  <si>
    <t>221</t>
  </si>
  <si>
    <t>Harry Randell</t>
  </si>
  <si>
    <t>Newport Velo Youth Cycling Club</t>
  </si>
  <si>
    <t>222</t>
  </si>
  <si>
    <t>Enzo Stewart</t>
  </si>
  <si>
    <t>223</t>
  </si>
  <si>
    <t>Zachary Brown</t>
  </si>
  <si>
    <t>224</t>
  </si>
  <si>
    <t>Rhys Griffin</t>
  </si>
  <si>
    <t>Cardiff JIF</t>
  </si>
  <si>
    <t>225</t>
  </si>
  <si>
    <t>Ioan Johnson</t>
  </si>
  <si>
    <t>Oliver Morgan</t>
  </si>
  <si>
    <t>227</t>
  </si>
  <si>
    <t>William Beddow</t>
  </si>
  <si>
    <t>228</t>
  </si>
  <si>
    <t>Lewis Billington</t>
  </si>
  <si>
    <t>229</t>
  </si>
  <si>
    <t>Bobby Buenfeld</t>
  </si>
  <si>
    <t>230</t>
  </si>
  <si>
    <t>Nathan Grady</t>
  </si>
  <si>
    <t>Sidney Sumner</t>
  </si>
  <si>
    <t>Archie Honeysett</t>
  </si>
  <si>
    <t>Callum Prior</t>
  </si>
  <si>
    <t>234</t>
  </si>
  <si>
    <t>Lewis Ridge</t>
  </si>
  <si>
    <t>235</t>
  </si>
  <si>
    <t>Max Standen</t>
  </si>
  <si>
    <t>236</t>
  </si>
  <si>
    <t>Aston Baker</t>
  </si>
  <si>
    <t>Velo Club Lincoln</t>
  </si>
  <si>
    <t>237</t>
  </si>
  <si>
    <t>Lewis Buchallet</t>
  </si>
  <si>
    <t>238</t>
  </si>
  <si>
    <t>Aaron Caulfield</t>
  </si>
  <si>
    <t>239</t>
  </si>
  <si>
    <t>George Cranston</t>
  </si>
  <si>
    <t>Barnesbury CC</t>
  </si>
  <si>
    <t>240</t>
  </si>
  <si>
    <t>Matthew Dodsworth</t>
  </si>
  <si>
    <t>Maldon &amp; District CC</t>
  </si>
  <si>
    <t>241</t>
  </si>
  <si>
    <t>George Lewis</t>
  </si>
  <si>
    <t>242</t>
  </si>
  <si>
    <t>Harry Scott</t>
  </si>
  <si>
    <t>243</t>
  </si>
  <si>
    <t>Cian Howard</t>
  </si>
  <si>
    <t>Team RL360 Isle Of Man</t>
  </si>
  <si>
    <t>244</t>
  </si>
  <si>
    <t>Edward Selwood</t>
  </si>
  <si>
    <t>Mid Devon CC</t>
  </si>
  <si>
    <t>Felix Cuerden</t>
  </si>
  <si>
    <t>Andrew Groves</t>
  </si>
  <si>
    <t>247</t>
  </si>
  <si>
    <t>Gaian Hardiman</t>
  </si>
  <si>
    <t>248</t>
  </si>
  <si>
    <t>Thomas Hepton</t>
  </si>
  <si>
    <t>Paul Milnes - Bradford Olympic RC</t>
  </si>
  <si>
    <t>249</t>
  </si>
  <si>
    <t>Jamie Derrick</t>
  </si>
  <si>
    <t>Gabriel Estay Clarke</t>
  </si>
  <si>
    <t>Ciaran Lally</t>
  </si>
  <si>
    <t>252</t>
  </si>
  <si>
    <t>Joseph Sharkey</t>
  </si>
  <si>
    <t>Gavin Gronkowski</t>
  </si>
  <si>
    <t>Ythan CC</t>
  </si>
  <si>
    <t>254</t>
  </si>
  <si>
    <t>Tommy Stroud</t>
  </si>
  <si>
    <t>255</t>
  </si>
  <si>
    <t>Aidan Downes</t>
  </si>
  <si>
    <t>Ribble Valley Juniors Cycling Club</t>
  </si>
  <si>
    <t>256</t>
  </si>
  <si>
    <t>Daniel Jones</t>
  </si>
  <si>
    <t>257</t>
  </si>
  <si>
    <t>Harry Snaith</t>
  </si>
  <si>
    <t>Callum Rushworth</t>
  </si>
  <si>
    <t>259</t>
  </si>
  <si>
    <t>Robert Smart</t>
  </si>
  <si>
    <t>Samuel Abbott</t>
  </si>
  <si>
    <t>261</t>
  </si>
  <si>
    <t>Noah Bleteau</t>
  </si>
  <si>
    <t>262</t>
  </si>
  <si>
    <t>Cillian Lewis</t>
  </si>
  <si>
    <t>263</t>
  </si>
  <si>
    <t>Jack Sutton</t>
  </si>
  <si>
    <t>Iceni Velo</t>
  </si>
  <si>
    <t>Barnaby Wallwork</t>
  </si>
  <si>
    <t>Club Corley Cycles RC</t>
  </si>
  <si>
    <t>265</t>
  </si>
  <si>
    <t>Harry Woodhouse</t>
  </si>
  <si>
    <t>Kent Velo Kids</t>
  </si>
  <si>
    <t>266</t>
  </si>
  <si>
    <t>Patrick Neely</t>
  </si>
  <si>
    <t>267</t>
  </si>
  <si>
    <t>Milo Hack-lazzari</t>
  </si>
  <si>
    <t>268</t>
  </si>
  <si>
    <t>Sion Jones</t>
  </si>
  <si>
    <t>269</t>
  </si>
  <si>
    <t>John Kitto</t>
  </si>
  <si>
    <t>270</t>
  </si>
  <si>
    <t>Oscar Pasmore</t>
  </si>
  <si>
    <t>271</t>
  </si>
  <si>
    <t>William Greenwood</t>
  </si>
  <si>
    <t>Wadebridge Coasters Cycling Club</t>
  </si>
  <si>
    <t>272</t>
  </si>
  <si>
    <t>Yannick Rogers</t>
  </si>
  <si>
    <t>273</t>
  </si>
  <si>
    <t>Fraser Anderson</t>
  </si>
  <si>
    <t>274</t>
  </si>
  <si>
    <t>Liam Campbell</t>
  </si>
  <si>
    <t>275</t>
  </si>
  <si>
    <t>Matthew Cleves</t>
  </si>
  <si>
    <t>Ryan Kingdon</t>
  </si>
  <si>
    <t>277</t>
  </si>
  <si>
    <t>Zayn Law</t>
  </si>
  <si>
    <t>278</t>
  </si>
  <si>
    <t>Shaun Laycock</t>
  </si>
  <si>
    <t>Bolton Hot Wheels CC</t>
  </si>
  <si>
    <t>279</t>
  </si>
  <si>
    <t>James Mitchinson</t>
  </si>
  <si>
    <t>280</t>
  </si>
  <si>
    <t>Alex Stanford</t>
  </si>
  <si>
    <t>EpicOrange / Physio Resolutions</t>
  </si>
  <si>
    <t>281</t>
  </si>
  <si>
    <t>Matthew Barclay</t>
  </si>
  <si>
    <t>Icknield Road Club</t>
  </si>
  <si>
    <t>282</t>
  </si>
  <si>
    <t>Keane Beckham</t>
  </si>
  <si>
    <t>Diss &amp; District CC</t>
  </si>
  <si>
    <t>283</t>
  </si>
  <si>
    <t>Oscar Farthing</t>
  </si>
  <si>
    <t>284</t>
  </si>
  <si>
    <t>Archie Gill</t>
  </si>
  <si>
    <t>285</t>
  </si>
  <si>
    <t>Ben Goldsmith</t>
  </si>
  <si>
    <t>286</t>
  </si>
  <si>
    <t>Angus Graham</t>
  </si>
  <si>
    <t>TQ3 Riders</t>
  </si>
  <si>
    <t>287</t>
  </si>
  <si>
    <t>Aaron Harris</t>
  </si>
  <si>
    <t>Panagua CC</t>
  </si>
  <si>
    <t>288</t>
  </si>
  <si>
    <t>Jack Lennox</t>
  </si>
  <si>
    <t>289</t>
  </si>
  <si>
    <t>George Snow</t>
  </si>
  <si>
    <t>290</t>
  </si>
  <si>
    <t>Jack Trowell</t>
  </si>
  <si>
    <t>Reuben Walter</t>
  </si>
  <si>
    <t>292</t>
  </si>
  <si>
    <t>Charlie Williams</t>
  </si>
  <si>
    <t>293</t>
  </si>
  <si>
    <t>Luke Brumpton</t>
  </si>
  <si>
    <t>294</t>
  </si>
  <si>
    <t>Alexander Burden</t>
  </si>
  <si>
    <t>Ross Chisholm</t>
  </si>
  <si>
    <t>Iori Dewsnap</t>
  </si>
  <si>
    <t>297</t>
  </si>
  <si>
    <t>Gregor Murphy</t>
  </si>
  <si>
    <t>Finley Tolley</t>
  </si>
  <si>
    <t>299</t>
  </si>
  <si>
    <t>Jacob Blease</t>
  </si>
  <si>
    <t>300</t>
  </si>
  <si>
    <t>Charlie Coad-Bell</t>
  </si>
  <si>
    <t>301</t>
  </si>
  <si>
    <t>Ahron Dick</t>
  </si>
  <si>
    <t>Stirling Bike Club</t>
  </si>
  <si>
    <t>302</t>
  </si>
  <si>
    <t>Oscar Elliott</t>
  </si>
  <si>
    <t>Wheal Velocity</t>
  </si>
  <si>
    <t>303</t>
  </si>
  <si>
    <t>Thomas Gaul</t>
  </si>
  <si>
    <t>304</t>
  </si>
  <si>
    <t>Murray Gray</t>
  </si>
  <si>
    <t>305</t>
  </si>
  <si>
    <t>William Horspool</t>
  </si>
  <si>
    <t>Boston Whls CC</t>
  </si>
  <si>
    <t>306</t>
  </si>
  <si>
    <t>Aaron Maddaford</t>
  </si>
  <si>
    <t>307</t>
  </si>
  <si>
    <t>Luke Mahoney</t>
  </si>
  <si>
    <t>308</t>
  </si>
  <si>
    <t>Oliver Moss</t>
  </si>
  <si>
    <t>309</t>
  </si>
  <si>
    <t>Nicholas Munday</t>
  </si>
  <si>
    <t>310</t>
  </si>
  <si>
    <t>Thomas Silvester</t>
  </si>
  <si>
    <t>311</t>
  </si>
  <si>
    <t>Bradley Taylor</t>
  </si>
  <si>
    <t>312</t>
  </si>
  <si>
    <t>Geoff Vera</t>
  </si>
  <si>
    <t>Glasgow Riderz</t>
  </si>
  <si>
    <t>313</t>
  </si>
  <si>
    <t>Monty Wyatt</t>
  </si>
  <si>
    <t>314</t>
  </si>
  <si>
    <t>Oliver Agombar</t>
  </si>
  <si>
    <t>315</t>
  </si>
  <si>
    <t>James Bushell</t>
  </si>
  <si>
    <t>316</t>
  </si>
  <si>
    <t>Iwan Clark</t>
  </si>
  <si>
    <t>Louie Harris</t>
  </si>
  <si>
    <t>318</t>
  </si>
  <si>
    <t>Noah Parnaby</t>
  </si>
  <si>
    <t>319</t>
  </si>
  <si>
    <t>Leon Bailey</t>
  </si>
  <si>
    <t>320</t>
  </si>
  <si>
    <t>Andrew Brewer</t>
  </si>
  <si>
    <t>321</t>
  </si>
  <si>
    <t>Lucas Buksh</t>
  </si>
  <si>
    <t>Kettering CC</t>
  </si>
  <si>
    <t>322</t>
  </si>
  <si>
    <t>Charlie Cooper</t>
  </si>
  <si>
    <t>Wyre Forest CRC</t>
  </si>
  <si>
    <t>323</t>
  </si>
  <si>
    <t>Oscar Farrow</t>
  </si>
  <si>
    <t>324</t>
  </si>
  <si>
    <t>Arthur Gage</t>
  </si>
  <si>
    <t>Sulis Scorpions YCA</t>
  </si>
  <si>
    <t>325</t>
  </si>
  <si>
    <t>Gwion Humpreys</t>
  </si>
  <si>
    <t>326</t>
  </si>
  <si>
    <t>Ray Lovell</t>
  </si>
  <si>
    <t>Wolverhampton Wheelers</t>
  </si>
  <si>
    <t>327</t>
  </si>
  <si>
    <t>Matthew McCleery</t>
  </si>
  <si>
    <t>George Parker</t>
  </si>
  <si>
    <t>Derby BMX Club</t>
  </si>
  <si>
    <t>329</t>
  </si>
  <si>
    <t>Harry Roberts</t>
  </si>
  <si>
    <t>Liverpool Century RC</t>
  </si>
  <si>
    <t>330</t>
  </si>
  <si>
    <t>Edward Berry</t>
  </si>
  <si>
    <t>Malvern Cycle Sport</t>
  </si>
  <si>
    <t>331</t>
  </si>
  <si>
    <t>Jack Beveridge</t>
  </si>
  <si>
    <t>332</t>
  </si>
  <si>
    <t>Robert Cole</t>
  </si>
  <si>
    <t>333</t>
  </si>
  <si>
    <t>Alex Dack</t>
  </si>
  <si>
    <t>Thanet RC</t>
  </si>
  <si>
    <t>334</t>
  </si>
  <si>
    <t>Harris Drackford</t>
  </si>
  <si>
    <t>Falkirk Junior Bike Club</t>
  </si>
  <si>
    <t>335</t>
  </si>
  <si>
    <t>James Foster</t>
  </si>
  <si>
    <t>Jonathan Frank</t>
  </si>
  <si>
    <t>337</t>
  </si>
  <si>
    <t>Alistair Gardner</t>
  </si>
  <si>
    <t>Knightwood BMX Club</t>
  </si>
  <si>
    <t>338</t>
  </si>
  <si>
    <t>Oliver Gibson</t>
  </si>
  <si>
    <t>Royal Albert CC</t>
  </si>
  <si>
    <t>339</t>
  </si>
  <si>
    <t>Finlay Godber</t>
  </si>
  <si>
    <t>Andrew Hall</t>
  </si>
  <si>
    <t>341</t>
  </si>
  <si>
    <t>Jakob Hill</t>
  </si>
  <si>
    <t>342</t>
  </si>
  <si>
    <t>Samuel Parker</t>
  </si>
  <si>
    <t>343</t>
  </si>
  <si>
    <t>Tom Peel</t>
  </si>
  <si>
    <t>Whitchurch Cycling Club</t>
  </si>
  <si>
    <t>344</t>
  </si>
  <si>
    <t>George  Robinson</t>
  </si>
  <si>
    <t>345</t>
  </si>
  <si>
    <t>Alexander Sutton</t>
  </si>
  <si>
    <t>346</t>
  </si>
  <si>
    <t>Thomas Woolf</t>
  </si>
  <si>
    <t>347</t>
  </si>
  <si>
    <t>Benjamin Woolhouse</t>
  </si>
  <si>
    <t>348</t>
  </si>
  <si>
    <t>Gregor Burn</t>
  </si>
  <si>
    <t>349</t>
  </si>
  <si>
    <t>Samuel Canham</t>
  </si>
  <si>
    <t>Ipswich Bicycle Club</t>
  </si>
  <si>
    <t>350</t>
  </si>
  <si>
    <t>Charlie Colley</t>
  </si>
  <si>
    <t>351</t>
  </si>
  <si>
    <t>Euan Cook</t>
  </si>
  <si>
    <t>Calder Clarion CC</t>
  </si>
  <si>
    <t>352</t>
  </si>
  <si>
    <t>Noah Fairweather</t>
  </si>
  <si>
    <t>South Shields Velo Cycling Club</t>
  </si>
  <si>
    <t>353</t>
  </si>
  <si>
    <t>Cairon Halstead</t>
  </si>
  <si>
    <t>354</t>
  </si>
  <si>
    <t>Samuel Hughes</t>
  </si>
  <si>
    <t>355</t>
  </si>
  <si>
    <t>George Joyce</t>
  </si>
  <si>
    <t>356</t>
  </si>
  <si>
    <t>Jacob Kilby-Edwards</t>
  </si>
  <si>
    <t>Hinckley Cycle Racing Club</t>
  </si>
  <si>
    <t>357</t>
  </si>
  <si>
    <t>Dougal Masterson</t>
  </si>
  <si>
    <t>Ben Wyvis Cycle Club</t>
  </si>
  <si>
    <t>Harrison Mitchell</t>
  </si>
  <si>
    <t>359</t>
  </si>
  <si>
    <t>Owen Simcock</t>
  </si>
  <si>
    <t>Astley &amp; Tyldesley Cycling Club</t>
  </si>
  <si>
    <t>360</t>
  </si>
  <si>
    <t>Reece Steadman</t>
  </si>
  <si>
    <t>361</t>
  </si>
  <si>
    <t>Jacob Wood</t>
  </si>
  <si>
    <t>Joseph Smith</t>
  </si>
  <si>
    <t>830</t>
  </si>
  <si>
    <t>778</t>
  </si>
  <si>
    <t>Max Greensill</t>
  </si>
  <si>
    <t>730</t>
  </si>
  <si>
    <t>Oliver Akers</t>
  </si>
  <si>
    <t>Garden Shed UK-SCOTT-Verge Sport</t>
  </si>
  <si>
    <t>646</t>
  </si>
  <si>
    <t>Callum Laborde</t>
  </si>
  <si>
    <t>639</t>
  </si>
  <si>
    <t>Huw Buck Jones</t>
  </si>
  <si>
    <t>Marsh Tracks Racing - Trek</t>
  </si>
  <si>
    <t>544</t>
  </si>
  <si>
    <t>Jamie Gostick</t>
  </si>
  <si>
    <t>538</t>
  </si>
  <si>
    <t>Ferdie Parsons</t>
  </si>
  <si>
    <t>536</t>
  </si>
  <si>
    <t>Ben Askey</t>
  </si>
  <si>
    <t>Backstedt Cycling</t>
  </si>
  <si>
    <t>518</t>
  </si>
  <si>
    <t>Christopher Hilbert</t>
  </si>
  <si>
    <t>Sherwood Pines Cycles Forme</t>
  </si>
  <si>
    <t>500</t>
  </si>
  <si>
    <t>Jensen Windsor</t>
  </si>
  <si>
    <t>494</t>
  </si>
  <si>
    <t>Dominic Bell</t>
  </si>
  <si>
    <t>431</t>
  </si>
  <si>
    <t>Griff Lewis</t>
  </si>
  <si>
    <t>413</t>
  </si>
  <si>
    <t>Euan Woodliffe</t>
  </si>
  <si>
    <t>394</t>
  </si>
  <si>
    <t>Bjoern Koerdt</t>
  </si>
  <si>
    <t>East Bradford Race Team</t>
  </si>
  <si>
    <t>364</t>
  </si>
  <si>
    <t>Harry Cockroft</t>
  </si>
  <si>
    <t>Oliver Halliday</t>
  </si>
  <si>
    <t>Thomas Wadsworth</t>
  </si>
  <si>
    <t>Beeline Bicycles RT</t>
  </si>
  <si>
    <t>Jude Chamberlain</t>
  </si>
  <si>
    <t>The MI Racing Academy</t>
  </si>
  <si>
    <t>Yani Angelo Djelil</t>
  </si>
  <si>
    <t>Una Forza Racing</t>
  </si>
  <si>
    <t>Ioan Oldfield</t>
  </si>
  <si>
    <t>Benjamin Flatau</t>
  </si>
  <si>
    <t>Tom Scott</t>
  </si>
  <si>
    <t>Trek Sheffield Fox Valley</t>
  </si>
  <si>
    <t>Tobias Houghton</t>
  </si>
  <si>
    <t>Fareham Wheelers Cycling Club</t>
  </si>
  <si>
    <t>Ben Ramsden</t>
  </si>
  <si>
    <t>Nathan Cracknell</t>
  </si>
  <si>
    <t>Harry Jordan</t>
  </si>
  <si>
    <t>Cog Set Papyrus Racing Club</t>
  </si>
  <si>
    <t>Daniel Lloyd</t>
  </si>
  <si>
    <t>VC Londres</t>
  </si>
  <si>
    <t>Dan Levine</t>
  </si>
  <si>
    <t>George Amor-Hughes</t>
  </si>
  <si>
    <t>Sullivan Berry</t>
  </si>
  <si>
    <t>Alex Galpin</t>
  </si>
  <si>
    <t>Alex Harvey</t>
  </si>
  <si>
    <t>Josh Palfreyman</t>
  </si>
  <si>
    <t>Alessandro Sella</t>
  </si>
  <si>
    <t>Frederick Fuller</t>
  </si>
  <si>
    <t>Finn Dunton</t>
  </si>
  <si>
    <t>Benjamin Bisson</t>
  </si>
  <si>
    <t>Benjamin Kerry</t>
  </si>
  <si>
    <t>Fossa Racing</t>
  </si>
  <si>
    <t>Jed Smithson</t>
  </si>
  <si>
    <t>Jack Hastings</t>
  </si>
  <si>
    <t>William Ryan</t>
  </si>
  <si>
    <t>Oliver Peace</t>
  </si>
  <si>
    <t>Shrish Bakrania</t>
  </si>
  <si>
    <t>Fred Meredith</t>
  </si>
  <si>
    <t>Ethan Stevenson</t>
  </si>
  <si>
    <t>Nathan Hardy</t>
  </si>
  <si>
    <t>Mark Lightfoot</t>
  </si>
  <si>
    <t>Toby Brown</t>
  </si>
  <si>
    <t>Thomas James</t>
  </si>
  <si>
    <t>Thomas Bardill</t>
  </si>
  <si>
    <t>William Munday</t>
  </si>
  <si>
    <t>Deetray Jarrett</t>
  </si>
  <si>
    <t>Oscar Pratt</t>
  </si>
  <si>
    <t>Daniel Porter</t>
  </si>
  <si>
    <t>Dominic Switzer</t>
  </si>
  <si>
    <t>Ben McMullen</t>
  </si>
  <si>
    <t>Sprockets Cycle Shop Race Team (Scotland)</t>
  </si>
  <si>
    <t>Matthew Wilson</t>
  </si>
  <si>
    <t>Scott Fisher</t>
  </si>
  <si>
    <t>Barrow Central Wheelers</t>
  </si>
  <si>
    <t>Dan Galpin</t>
  </si>
  <si>
    <t>Jules Reuter</t>
  </si>
  <si>
    <t>Elijah Kwon</t>
  </si>
  <si>
    <t>Reuben Oakley</t>
  </si>
  <si>
    <t>Max Avery</t>
  </si>
  <si>
    <t>Finlay Beggin</t>
  </si>
  <si>
    <t>Zappi Racing Team</t>
  </si>
  <si>
    <t>Piers Higginson</t>
  </si>
  <si>
    <t>Oliver Coughlan</t>
  </si>
  <si>
    <t>Fred Shenton-McQueen</t>
  </si>
  <si>
    <t>Beeston Cycling Club</t>
  </si>
  <si>
    <t>Daniel Wood</t>
  </si>
  <si>
    <t>Sam Chisholm</t>
  </si>
  <si>
    <t>Benjamin Neal</t>
  </si>
  <si>
    <t>Southborough &amp; District Whls</t>
  </si>
  <si>
    <t>Joseph Walton</t>
  </si>
  <si>
    <t>Luke Goodwill</t>
  </si>
  <si>
    <t>Corey Whiteford</t>
  </si>
  <si>
    <t>Lanark Race team</t>
  </si>
  <si>
    <t>Joshua Tarling</t>
  </si>
  <si>
    <t>Robin Steer</t>
  </si>
  <si>
    <t>Oliver Griggs</t>
  </si>
  <si>
    <t>Hub Vélo</t>
  </si>
  <si>
    <t>Raphael John Tabiner</t>
  </si>
  <si>
    <t>Felix Clacy</t>
  </si>
  <si>
    <t>Oliver Tandy</t>
  </si>
  <si>
    <t>Cole Nicholson</t>
  </si>
  <si>
    <t>Hoddom Velo</t>
  </si>
  <si>
    <t>Ralf Falkner</t>
  </si>
  <si>
    <t>Kieron Heuberger</t>
  </si>
  <si>
    <t>Calum Moir</t>
  </si>
  <si>
    <t>Joe Brookes</t>
  </si>
  <si>
    <t>Lewis Holmes</t>
  </si>
  <si>
    <t>John Cull</t>
  </si>
  <si>
    <t>Maurice Tate</t>
  </si>
  <si>
    <t>William Shield</t>
  </si>
  <si>
    <t>Summit MTB Club</t>
  </si>
  <si>
    <t>Ethan Grimshaw</t>
  </si>
  <si>
    <t>Jim Vernon</t>
  </si>
  <si>
    <t>Milo Summers</t>
  </si>
  <si>
    <t>Keir Gaffney</t>
  </si>
  <si>
    <t>Aaron Mansell</t>
  </si>
  <si>
    <t>Pro Vision Race Team</t>
  </si>
  <si>
    <t>Tomos Pattinson</t>
  </si>
  <si>
    <t>George Cottrell</t>
  </si>
  <si>
    <t>Poole Wheelers CC</t>
  </si>
  <si>
    <t>Jasper Dilks</t>
  </si>
  <si>
    <t>Callum Watson</t>
  </si>
  <si>
    <t>Daniel Armstrong</t>
  </si>
  <si>
    <t>Rory Laidlaw</t>
  </si>
  <si>
    <t>Benjamin Livesey</t>
  </si>
  <si>
    <t>Noah Hobbs</t>
  </si>
  <si>
    <t>Benjamin Tuchner</t>
  </si>
  <si>
    <t>Leo White</t>
  </si>
  <si>
    <t>Ethan Cuerden</t>
  </si>
  <si>
    <t>William Hunt</t>
  </si>
  <si>
    <t>Akhil Kolnaty</t>
  </si>
  <si>
    <t>Dan Eastham</t>
  </si>
  <si>
    <t>Joshua Brown</t>
  </si>
  <si>
    <t>Harry Howlett</t>
  </si>
  <si>
    <t>Hadleigh MTB Club</t>
  </si>
  <si>
    <t>Otto Chilton</t>
  </si>
  <si>
    <t>Felix Ledger</t>
  </si>
  <si>
    <t>Ryan Downes</t>
  </si>
  <si>
    <t>Kian Traynor</t>
  </si>
  <si>
    <t>Leon Dawes</t>
  </si>
  <si>
    <t>Complete Cycle Works</t>
  </si>
  <si>
    <t>Max Francis</t>
  </si>
  <si>
    <t>Salisbury Road and Mountain CC</t>
  </si>
  <si>
    <t>Max  Darnton</t>
  </si>
  <si>
    <t>Archie Ellen</t>
  </si>
  <si>
    <t>Oliver Harris</t>
  </si>
  <si>
    <t>Callum Start</t>
  </si>
  <si>
    <t>Benjamin Leroy</t>
  </si>
  <si>
    <t>Matthew Calvert</t>
  </si>
  <si>
    <t>Sebastien Cuming</t>
  </si>
  <si>
    <t>Finn Mason</t>
  </si>
  <si>
    <t>Samuel Leslie</t>
  </si>
  <si>
    <t>Louis Boulton</t>
  </si>
  <si>
    <t>Harry Ellison</t>
  </si>
  <si>
    <t>Marcel Moore</t>
  </si>
  <si>
    <t>Conor Williams</t>
  </si>
  <si>
    <t>Harry Owen</t>
  </si>
  <si>
    <t>Joe Homer</t>
  </si>
  <si>
    <t>James Pearcy</t>
  </si>
  <si>
    <t>Sam Slater</t>
  </si>
  <si>
    <t>Sportcity Velo</t>
  </si>
  <si>
    <t>Rhys Thomas</t>
  </si>
  <si>
    <t>Ethan Pratten</t>
  </si>
  <si>
    <t>Finlay Holland</t>
  </si>
  <si>
    <t>Todd Purchas</t>
  </si>
  <si>
    <t>Sam Slough</t>
  </si>
  <si>
    <t>Adam Tattersall</t>
  </si>
  <si>
    <t>Innovation Racing</t>
  </si>
  <si>
    <t>Zak Machin</t>
  </si>
  <si>
    <t>Cero - Cycle Division Racing Team</t>
  </si>
  <si>
    <t>Owen Thompson</t>
  </si>
  <si>
    <t>Caelan Miller</t>
  </si>
  <si>
    <t>Abraham Reid</t>
  </si>
  <si>
    <t>Douglas Main</t>
  </si>
  <si>
    <t>Arlo Carey</t>
  </si>
  <si>
    <t>Matthew Jordan</t>
  </si>
  <si>
    <t>Oliver Lyons</t>
  </si>
  <si>
    <t>Calum Smith</t>
  </si>
  <si>
    <t>Kayden Davidson</t>
  </si>
  <si>
    <t>www.Hardie-Bikes.com</t>
  </si>
  <si>
    <t>Morgan Lloyd</t>
  </si>
  <si>
    <t>Harvey Young</t>
  </si>
  <si>
    <t>Ipswich CSC</t>
  </si>
  <si>
    <t>Alex Cutmore</t>
  </si>
  <si>
    <t>TPH Racing</t>
  </si>
  <si>
    <t>Dylan Edwards</t>
  </si>
  <si>
    <t>William Longden</t>
  </si>
  <si>
    <t>Oscar Taylor</t>
  </si>
  <si>
    <t>Alex Beldon</t>
  </si>
  <si>
    <t>Patrick Torrison</t>
  </si>
  <si>
    <t>Thomas Prince</t>
  </si>
  <si>
    <t>Ilkeston Cycle Club</t>
  </si>
  <si>
    <t>Jack Emerson</t>
  </si>
  <si>
    <t>Alfie Speck</t>
  </si>
  <si>
    <t>Daniel Holmes</t>
  </si>
  <si>
    <t>Jacob Rushton</t>
  </si>
  <si>
    <t>Toby Kershaw</t>
  </si>
  <si>
    <t>Velo Club Moulin</t>
  </si>
  <si>
    <t>Owen Prenelle</t>
  </si>
  <si>
    <t>Thomas Johnson</t>
  </si>
  <si>
    <t>Luke Williams</t>
  </si>
  <si>
    <t>Frederick Barlow</t>
  </si>
  <si>
    <t>Tom Martin</t>
  </si>
  <si>
    <t>Owen Prince</t>
  </si>
  <si>
    <t>VC Long Eaton</t>
  </si>
  <si>
    <t>Michael Tait</t>
  </si>
  <si>
    <t>Jacob Bush</t>
  </si>
  <si>
    <t>Ethan Griffiths</t>
  </si>
  <si>
    <t>Thomas Porton</t>
  </si>
  <si>
    <t>Patrick Barnes</t>
  </si>
  <si>
    <t>Jack Lofthouse</t>
  </si>
  <si>
    <t>Nottingham Clarion CC</t>
  </si>
  <si>
    <t>Alfie Atterton</t>
  </si>
  <si>
    <t>Pierre Botha</t>
  </si>
  <si>
    <t>Edward Hopkins</t>
  </si>
  <si>
    <t>Peregrine Jolly</t>
  </si>
  <si>
    <t>Jake Kennedy</t>
  </si>
  <si>
    <t>Elliot Smith</t>
  </si>
  <si>
    <t>Jamie Thomson</t>
  </si>
  <si>
    <t>Archie Bracewell</t>
  </si>
  <si>
    <t>Thomas Dixon</t>
  </si>
  <si>
    <t>Stirling Green</t>
  </si>
  <si>
    <t>Cody Lee</t>
  </si>
  <si>
    <t>Bill Balding</t>
  </si>
  <si>
    <t>Alex Barker</t>
  </si>
  <si>
    <t>Jack Charlton-Hunt</t>
  </si>
  <si>
    <t>Patrick Lear</t>
  </si>
  <si>
    <t>Jack Cann</t>
  </si>
  <si>
    <t>Daniel Van Aardt</t>
  </si>
  <si>
    <t>Matti Rogers</t>
  </si>
  <si>
    <t>Harry Clegg</t>
  </si>
  <si>
    <t>Finley George</t>
  </si>
  <si>
    <t>William Simons</t>
  </si>
  <si>
    <t>Campbell Mackintosh</t>
  </si>
  <si>
    <t>West Highland Wheelers</t>
  </si>
  <si>
    <t>Elliot Roberts</t>
  </si>
  <si>
    <t>Thomas Taylor</t>
  </si>
  <si>
    <t>Oliver Cassidy</t>
  </si>
  <si>
    <t>JRC-Shutt-Ridley Race Team</t>
  </si>
  <si>
    <t>Simeon Kilroy</t>
  </si>
  <si>
    <t>Ben Marsh</t>
  </si>
  <si>
    <t>Thulani Mlambo</t>
  </si>
  <si>
    <t>Emyr Truelove</t>
  </si>
  <si>
    <t>Cameron Archibald</t>
  </si>
  <si>
    <t>George Davies</t>
  </si>
  <si>
    <t>Elliott Davies</t>
  </si>
  <si>
    <t>Noah Fontaine</t>
  </si>
  <si>
    <t>Henry Herries</t>
  </si>
  <si>
    <t>Jack Letch</t>
  </si>
  <si>
    <t>Samuel Stoker</t>
  </si>
  <si>
    <t>Joe Dix</t>
  </si>
  <si>
    <t>Luke Kininmonth</t>
  </si>
  <si>
    <t>Jake Manning</t>
  </si>
  <si>
    <t>Evan McKenzie</t>
  </si>
  <si>
    <t>Declan Sangster</t>
  </si>
  <si>
    <t>John Appleby</t>
  </si>
  <si>
    <t>API-Metrow/Bodyby JR</t>
  </si>
  <si>
    <t>Charles Engley</t>
  </si>
  <si>
    <t>Oscar Heslop</t>
  </si>
  <si>
    <t>Dylan Humber-Kelly</t>
  </si>
  <si>
    <t>Iago Williams</t>
  </si>
  <si>
    <t>Adam Collen</t>
  </si>
  <si>
    <t>Lewis Evans</t>
  </si>
  <si>
    <t>Finn McHenry</t>
  </si>
  <si>
    <t>East Kilbride Road Club</t>
  </si>
  <si>
    <t>Luke Brennan</t>
  </si>
  <si>
    <t>Ewan Grady</t>
  </si>
  <si>
    <t>Joshua Williams</t>
  </si>
  <si>
    <t>Huw Wilson</t>
  </si>
  <si>
    <t>Ben Norton</t>
  </si>
  <si>
    <t>Leo Whyton</t>
  </si>
  <si>
    <t>Isaac Barton</t>
  </si>
  <si>
    <t>George Fowkes</t>
  </si>
  <si>
    <t>WDMBC</t>
  </si>
  <si>
    <t>Carwyn Hardiman</t>
  </si>
  <si>
    <t>Josh Horner</t>
  </si>
  <si>
    <t>Cormac Nisbet</t>
  </si>
  <si>
    <t>Sacha White</t>
  </si>
  <si>
    <t>Matthew Mackenzie</t>
  </si>
  <si>
    <t>Lloyd Perry</t>
  </si>
  <si>
    <t>Cameron Stromberg</t>
  </si>
  <si>
    <t>Thomas White</t>
  </si>
  <si>
    <t>Jenson Harris</t>
  </si>
  <si>
    <t>Dan Hutchinson</t>
  </si>
  <si>
    <t>George Rivis</t>
  </si>
  <si>
    <t>Isaac Small</t>
  </si>
  <si>
    <t>Thomas Cartwright</t>
  </si>
  <si>
    <t>Alex Dalton</t>
  </si>
  <si>
    <t>Harry Garfield</t>
  </si>
  <si>
    <t>Peterborough Cycling Club</t>
  </si>
  <si>
    <t>Nathaniel Marsh</t>
  </si>
  <si>
    <t>Decoy BMX Club</t>
  </si>
  <si>
    <t>Thomas Buckley</t>
  </si>
  <si>
    <t>Dylan Hicks</t>
  </si>
  <si>
    <t>Gruffydd Oliver</t>
  </si>
  <si>
    <t>Sosban Riders</t>
  </si>
  <si>
    <t>Ifan Roberts-Jones</t>
  </si>
  <si>
    <t>Harry Tatem</t>
  </si>
  <si>
    <t>Samuel Thomas</t>
  </si>
  <si>
    <t>Alex Austin</t>
  </si>
  <si>
    <t>Daniel Henderson</t>
  </si>
  <si>
    <t>Ben Lucas</t>
  </si>
  <si>
    <t>Alasdair Mildred</t>
  </si>
  <si>
    <t>Harry Weedon</t>
  </si>
  <si>
    <t>Sam Hollis</t>
  </si>
  <si>
    <t>Euan Patton</t>
  </si>
  <si>
    <t>Raphael Boulton</t>
  </si>
  <si>
    <t>Edward Bowyer</t>
  </si>
  <si>
    <t>Harry Courtney</t>
  </si>
  <si>
    <t>Daniel Mulcahy</t>
  </si>
  <si>
    <t>Arran Robinson</t>
  </si>
  <si>
    <t>Ryan Williams</t>
  </si>
  <si>
    <t>Peak Rides C.C</t>
  </si>
  <si>
    <t>Charlie Boddice</t>
  </si>
  <si>
    <t>Success Cycling</t>
  </si>
  <si>
    <t>Evan Burgess</t>
  </si>
  <si>
    <t>Rhyl Cycling Club</t>
  </si>
  <si>
    <t>Jake Carter</t>
  </si>
  <si>
    <t>Kitt Heywood</t>
  </si>
  <si>
    <t>Charlie Neece</t>
  </si>
  <si>
    <t>Jack Shanley</t>
  </si>
  <si>
    <t>Finlay Taylor</t>
  </si>
  <si>
    <t>Harry Tilley</t>
  </si>
  <si>
    <t>Ivan Underwood</t>
  </si>
  <si>
    <t>Melton Olympic CC</t>
  </si>
  <si>
    <t>William White</t>
  </si>
  <si>
    <t>James Armson</t>
  </si>
  <si>
    <t>Noah Breslin</t>
  </si>
  <si>
    <t>Lewis Dey</t>
  </si>
  <si>
    <t>Forres CC</t>
  </si>
  <si>
    <t>Shaun Duffield</t>
  </si>
  <si>
    <t>Propello</t>
  </si>
  <si>
    <t>James Andrew Elves</t>
  </si>
  <si>
    <t>Luke Harris</t>
  </si>
  <si>
    <t>Sam Kitchin</t>
  </si>
  <si>
    <t>Kristian Mitchell</t>
  </si>
  <si>
    <t>Ethan Rastall</t>
  </si>
  <si>
    <t>Jack Southcott</t>
  </si>
  <si>
    <t>Michael Carter</t>
  </si>
  <si>
    <t>Rockingham Forest Whls</t>
  </si>
  <si>
    <t>Oliver Conway</t>
  </si>
  <si>
    <t>Finlay Cooper</t>
  </si>
  <si>
    <t>Rhys Davies</t>
  </si>
  <si>
    <t>Lewis Dolan</t>
  </si>
  <si>
    <t>Eben Haskel Hulley</t>
  </si>
  <si>
    <t>Reuben Heal</t>
  </si>
  <si>
    <t>Will Lewis</t>
  </si>
  <si>
    <t>Angus Stoneham</t>
  </si>
  <si>
    <t>Beaconsfield Cycling Club</t>
  </si>
  <si>
    <t>Michael Wright</t>
  </si>
  <si>
    <t>Andrew Clarke</t>
  </si>
  <si>
    <t>Joel Ayears</t>
  </si>
  <si>
    <t>Henry Cowell</t>
  </si>
  <si>
    <t>Furness Flyers</t>
  </si>
  <si>
    <t>Jamie Liversidge</t>
  </si>
  <si>
    <t>Gareth McClorey</t>
  </si>
  <si>
    <t>Solomon Okrafo-Smart</t>
  </si>
  <si>
    <t>Jack Parnaby</t>
  </si>
  <si>
    <t>Sam Smith</t>
  </si>
  <si>
    <t>Benjamin Tomlinson</t>
  </si>
  <si>
    <t>Mark Weale</t>
  </si>
  <si>
    <t>Nathaniel Bunch</t>
  </si>
  <si>
    <t>Zak Clemens</t>
  </si>
  <si>
    <t>Jake Dobbins</t>
  </si>
  <si>
    <t>Wigmore CC</t>
  </si>
  <si>
    <t>Billy Laight</t>
  </si>
  <si>
    <t>Billy Reed</t>
  </si>
  <si>
    <t>Witham Wheelers Cycling Club</t>
  </si>
  <si>
    <t>Jack Alexander</t>
  </si>
  <si>
    <t>Bruno Cabrelli</t>
  </si>
  <si>
    <t>Hemel Hempstead CC</t>
  </si>
  <si>
    <t>Seb Cliffe</t>
  </si>
  <si>
    <t>Ilkley Cycling Club</t>
  </si>
  <si>
    <t>Conrad Couzins</t>
  </si>
  <si>
    <t>Lewis Duncan</t>
  </si>
  <si>
    <t>Black Isle Mountain Bike Club</t>
  </si>
  <si>
    <t>Christopher Francis</t>
  </si>
  <si>
    <t>Gerwyn Humphreys</t>
  </si>
  <si>
    <t>George Lambert</t>
  </si>
  <si>
    <t>Jack McManus</t>
  </si>
  <si>
    <t>Gregor Mcphaden</t>
  </si>
  <si>
    <t>William Piccin-White</t>
  </si>
  <si>
    <t>Jake Rowell</t>
  </si>
  <si>
    <t>James Silvester</t>
  </si>
  <si>
    <t>James Small</t>
  </si>
  <si>
    <t>Connor Wilkinson</t>
  </si>
  <si>
    <t>Harry Akiens</t>
  </si>
  <si>
    <t>Malin Cranston</t>
  </si>
  <si>
    <t>Conal Davidson</t>
  </si>
  <si>
    <t>Andrew Hambling</t>
  </si>
  <si>
    <t>Chatteris Cycling Club</t>
  </si>
  <si>
    <t>Dylan Harman</t>
  </si>
  <si>
    <t>Seth Jones</t>
  </si>
  <si>
    <t>Finley Jones</t>
  </si>
  <si>
    <t>Jake Powell</t>
  </si>
  <si>
    <t>Otley CC</t>
  </si>
  <si>
    <t>Barnaby Read</t>
  </si>
  <si>
    <t>Edward Rockall</t>
  </si>
  <si>
    <t>Robert Wilshire</t>
  </si>
  <si>
    <t>Rory McGuire</t>
  </si>
  <si>
    <t>Perth United Cycling Club</t>
  </si>
  <si>
    <t>649</t>
  </si>
  <si>
    <t>Daniel Barnes</t>
  </si>
  <si>
    <t>508</t>
  </si>
  <si>
    <t>Joseph Blackmore</t>
  </si>
  <si>
    <t>487</t>
  </si>
  <si>
    <t>Joe Kiely</t>
  </si>
  <si>
    <t>HMT Hospitals Giant Cycling Team</t>
  </si>
  <si>
    <t>483</t>
  </si>
  <si>
    <t>Oliver Stockwell</t>
  </si>
  <si>
    <t>Team Flamme Rouge P/b Grenade</t>
  </si>
  <si>
    <t>424</t>
  </si>
  <si>
    <t>Corran Carrick-Anderson</t>
  </si>
  <si>
    <t>T-Mo Racing</t>
  </si>
  <si>
    <t>398</t>
  </si>
  <si>
    <t>Simon Wyllie</t>
  </si>
  <si>
    <t>392</t>
  </si>
  <si>
    <t>Alec Gregory</t>
  </si>
  <si>
    <t>8point8 Group</t>
  </si>
  <si>
    <t>390</t>
  </si>
  <si>
    <t>Ben Chilton</t>
  </si>
  <si>
    <t>Sam Freeman</t>
  </si>
  <si>
    <t>Montezuma's Hargroves Race Team</t>
  </si>
  <si>
    <t>Robert Rowson</t>
  </si>
  <si>
    <t>Macclesfield Wheelers</t>
  </si>
  <si>
    <t>William Truelove</t>
  </si>
  <si>
    <t>Max Bolton</t>
  </si>
  <si>
    <t>QSW Fenwicks</t>
  </si>
  <si>
    <t>Samuel Howes</t>
  </si>
  <si>
    <t>Adam Bent</t>
  </si>
  <si>
    <t>Euan Macleod</t>
  </si>
  <si>
    <t>Michael Newall</t>
  </si>
  <si>
    <t>Team Empella Cyclo-Cross.Com</t>
  </si>
  <si>
    <t>Sam Bishop</t>
  </si>
  <si>
    <t>Benjamin Bright</t>
  </si>
  <si>
    <t>Charlie Johnson</t>
  </si>
  <si>
    <t>Fast Test Racing Team</t>
  </si>
  <si>
    <t>Flynn Gregory</t>
  </si>
  <si>
    <t>Bryn Richards</t>
  </si>
  <si>
    <t>Aidan Lawrence</t>
  </si>
  <si>
    <t>Sam Nanopoulos</t>
  </si>
  <si>
    <t>Angus Beggin</t>
  </si>
  <si>
    <t>Bicester Millennium CC</t>
  </si>
  <si>
    <t>Samuel McGhee</t>
  </si>
  <si>
    <t>David Hird</t>
  </si>
  <si>
    <t>Jack Lear</t>
  </si>
  <si>
    <t>Luke Hazell</t>
  </si>
  <si>
    <t>Alfie Aldridge</t>
  </si>
  <si>
    <t>Verulam - reallymoving.com</t>
  </si>
  <si>
    <t>Joshua Backhouse</t>
  </si>
  <si>
    <t>Joel Corbishley</t>
  </si>
  <si>
    <t>Velobants.cc</t>
  </si>
  <si>
    <t>Jonte Willins</t>
  </si>
  <si>
    <t>Joe Thorp</t>
  </si>
  <si>
    <t>Dexter Leeming-Sykes</t>
  </si>
  <si>
    <t>Spencer Davies</t>
  </si>
  <si>
    <t>Oliver Baker</t>
  </si>
  <si>
    <t>Josh Field</t>
  </si>
  <si>
    <t>Daniel Hall</t>
  </si>
  <si>
    <t>Ben Houlihan</t>
  </si>
  <si>
    <t>Team SB Hub</t>
  </si>
  <si>
    <t>Angus Toms</t>
  </si>
  <si>
    <t>Pedal Power Cycles Ipswich</t>
  </si>
  <si>
    <t>Finlay Preece</t>
  </si>
  <si>
    <t>Lukas Nerurkar</t>
  </si>
  <si>
    <t>Gareth Davies</t>
  </si>
  <si>
    <t>Ben Flanagan</t>
  </si>
  <si>
    <t>Matthew Kingston</t>
  </si>
  <si>
    <t>Sam Ryland</t>
  </si>
  <si>
    <t>Cycle-Tec</t>
  </si>
  <si>
    <t>Scott Williams</t>
  </si>
  <si>
    <t>Matthew Day</t>
  </si>
  <si>
    <t>George Marshall</t>
  </si>
  <si>
    <t>Ethan Whiteside</t>
  </si>
  <si>
    <t>Henry Johnson</t>
  </si>
  <si>
    <t>Magspeed Racing</t>
  </si>
  <si>
    <t>Joe Pidcock</t>
  </si>
  <si>
    <t>Fensham Howes - MAS Design</t>
  </si>
  <si>
    <t>William Dykes</t>
  </si>
  <si>
    <t>Jake Edwards</t>
  </si>
  <si>
    <t>Archie Peet</t>
  </si>
  <si>
    <t>Louis Sutton</t>
  </si>
  <si>
    <t>Andrew Turner</t>
  </si>
  <si>
    <t>Christian Neal</t>
  </si>
  <si>
    <t>Oliver Allen</t>
  </si>
  <si>
    <t>Luke Prenelle</t>
  </si>
  <si>
    <t>Patrick Kiehlmann</t>
  </si>
  <si>
    <t>Falcons Cycling Club Bishopbriggs</t>
  </si>
  <si>
    <t>Aran Martin</t>
  </si>
  <si>
    <t>Team Corley Cycles</t>
  </si>
  <si>
    <t>Ryan Greaves</t>
  </si>
  <si>
    <t>Jamie Walker</t>
  </si>
  <si>
    <t>Tyler Koch</t>
  </si>
  <si>
    <t>Team Wheelguru</t>
  </si>
  <si>
    <t>Sam Daniels</t>
  </si>
  <si>
    <t>Dan Byrne</t>
  </si>
  <si>
    <t>Primera-TeamJobs</t>
  </si>
  <si>
    <t>William Gell</t>
  </si>
  <si>
    <t>Numplumz Mountainbikers</t>
  </si>
  <si>
    <t>Jack Ramsbottom</t>
  </si>
  <si>
    <t>Adam Lightfoot</t>
  </si>
  <si>
    <t>Jack Pinchin</t>
  </si>
  <si>
    <t>VéloElite RC</t>
  </si>
  <si>
    <t>Will Thompson</t>
  </si>
  <si>
    <t>Dylan Baker</t>
  </si>
  <si>
    <t>Dafydd Wright</t>
  </si>
  <si>
    <t>Tom Blenkinsop</t>
  </si>
  <si>
    <t>William Harding</t>
  </si>
  <si>
    <t>Samuel Medlyn</t>
  </si>
  <si>
    <t>One and All Cycling</t>
  </si>
  <si>
    <t>Edward Corden</t>
  </si>
  <si>
    <t>Glossop Kinder Velo Cycling Club</t>
  </si>
  <si>
    <t>Jacob Jones</t>
  </si>
  <si>
    <t>Joe Champness</t>
  </si>
  <si>
    <t>Alex Dale</t>
  </si>
  <si>
    <t>William Farmer</t>
  </si>
  <si>
    <t>Daniel Hepton</t>
  </si>
  <si>
    <t>Kyle Hoskin</t>
  </si>
  <si>
    <t>Ellmore Factory Racing</t>
  </si>
  <si>
    <t>Alfie Lofthouse</t>
  </si>
  <si>
    <t>George Pittock</t>
  </si>
  <si>
    <t>Thanet RC Race Team</t>
  </si>
  <si>
    <t>Conor Jones</t>
  </si>
  <si>
    <t>Daniel Kirby</t>
  </si>
  <si>
    <t>William Madeira</t>
  </si>
  <si>
    <t>Stanley Platts</t>
  </si>
  <si>
    <t>Oscar Woodward</t>
  </si>
  <si>
    <t>Thomas Stegeman</t>
  </si>
  <si>
    <t>Fenland Clarion CC</t>
  </si>
  <si>
    <t>Harrison Tacey</t>
  </si>
  <si>
    <t>Leicestershire Road Club</t>
  </si>
  <si>
    <t>Eli Tucker</t>
  </si>
  <si>
    <t>George William Charles Farrow-Green</t>
  </si>
  <si>
    <t>Louis Britton</t>
  </si>
  <si>
    <t>Severn RC</t>
  </si>
  <si>
    <t>Jonathan Pearce</t>
  </si>
  <si>
    <t>Finton Price</t>
  </si>
  <si>
    <t>Thomas Charles</t>
  </si>
  <si>
    <t>Adam Churchill</t>
  </si>
  <si>
    <t>Brighton Mitre CC</t>
  </si>
  <si>
    <t>Max Edgington</t>
  </si>
  <si>
    <t>Angus Haygarth</t>
  </si>
  <si>
    <t>Dylan Dayman</t>
  </si>
  <si>
    <t>Samuel Coulson</t>
  </si>
  <si>
    <t>Duncan Crawford</t>
  </si>
  <si>
    <t>Dunfermline CC</t>
  </si>
  <si>
    <t>Lewis Dobbing</t>
  </si>
  <si>
    <t>Benjamin Peatfield</t>
  </si>
  <si>
    <t>Duncan Pritchard</t>
  </si>
  <si>
    <t>Max Falkner</t>
  </si>
  <si>
    <t>Ollie Maynard</t>
  </si>
  <si>
    <t>Lewis Baldwin</t>
  </si>
  <si>
    <t>Lucien Cuming</t>
  </si>
  <si>
    <t>Cycling Performance Squad</t>
  </si>
  <si>
    <t>Samuel Laird</t>
  </si>
  <si>
    <t>Euan Sanderson</t>
  </si>
  <si>
    <t>Cleveland Wheelers CC</t>
  </si>
  <si>
    <t>Owen Evans</t>
  </si>
  <si>
    <t>Henry Hollyman</t>
  </si>
  <si>
    <t>Christian Boon</t>
  </si>
  <si>
    <t>Leighton Dalley</t>
  </si>
  <si>
    <t>Joseph Kininmonth</t>
  </si>
  <si>
    <t>Tomos Moynihan</t>
  </si>
  <si>
    <t>Sam Wainwright</t>
  </si>
  <si>
    <t>Thomas Davies</t>
  </si>
  <si>
    <t>George Gould</t>
  </si>
  <si>
    <t>Albert Grunfeld</t>
  </si>
  <si>
    <t>James Lloyd</t>
  </si>
  <si>
    <t>Gregor Robb</t>
  </si>
  <si>
    <t>Angus Lawrence</t>
  </si>
  <si>
    <t>Endaf Williams</t>
  </si>
  <si>
    <t>James Yule</t>
  </si>
  <si>
    <t>Crawley Wheelers</t>
  </si>
  <si>
    <t>Thomas Rushton</t>
  </si>
  <si>
    <t>Ride On</t>
  </si>
  <si>
    <t>Thomas Carson</t>
  </si>
  <si>
    <t>Amisvelo Racing Team</t>
  </si>
  <si>
    <t>Thomas Garner</t>
  </si>
  <si>
    <t>Farnborough &amp; Camberley CC</t>
  </si>
  <si>
    <t>Fergus Booth</t>
  </si>
  <si>
    <t>Leslie Bike Shop/Bikers Boutique</t>
  </si>
  <si>
    <t>Carlo Lacoux</t>
  </si>
  <si>
    <t>Discovery Junior Cycling Club</t>
  </si>
  <si>
    <t>Sam Trotter</t>
  </si>
  <si>
    <t>Thomas Wright</t>
  </si>
  <si>
    <t>Brother U.K - Cycle Team OnForm</t>
  </si>
  <si>
    <t>Thomas Ayers</t>
  </si>
  <si>
    <t>Harry Jukes</t>
  </si>
  <si>
    <t>Jonty Stegmann</t>
  </si>
  <si>
    <t>Thomas Crapper</t>
  </si>
  <si>
    <t>Jake Crossley</t>
  </si>
  <si>
    <t>James McCracken</t>
  </si>
  <si>
    <t>Isaac Warrington</t>
  </si>
  <si>
    <t>Ben Barnett</t>
  </si>
  <si>
    <t>Cameron Braithwaite</t>
  </si>
  <si>
    <t>Arthur Hitchen</t>
  </si>
  <si>
    <t>Orwell Velo</t>
  </si>
  <si>
    <t>Benjamin Jacklyn</t>
  </si>
  <si>
    <t>Samuel Jarrett</t>
  </si>
  <si>
    <t>Chayaton Pengchaisri</t>
  </si>
  <si>
    <t>Alistair Platt</t>
  </si>
  <si>
    <t>Callum Reid</t>
  </si>
  <si>
    <t>Squadra Scozzese</t>
  </si>
  <si>
    <t>Theo Bugg</t>
  </si>
  <si>
    <t>Jam Cycling RT coached by BPC</t>
  </si>
  <si>
    <t>William Deely</t>
  </si>
  <si>
    <t>Harry Denness</t>
  </si>
  <si>
    <t>Salt &amp; Sham Cycle Club</t>
  </si>
  <si>
    <t>Ethan Lucas-Morgan</t>
  </si>
  <si>
    <t>Archie Tyler</t>
  </si>
  <si>
    <t>Gillingham and District Wheelers</t>
  </si>
  <si>
    <t>Alex Best</t>
  </si>
  <si>
    <t>Benjamin Brant</t>
  </si>
  <si>
    <t>William Perkins</t>
  </si>
  <si>
    <t>George Radcliffe</t>
  </si>
  <si>
    <t>Tom Sheard</t>
  </si>
  <si>
    <t>Giant Halifax Race Team</t>
  </si>
  <si>
    <t>Archie Sloan</t>
  </si>
  <si>
    <t>Cameron Brown</t>
  </si>
  <si>
    <t>Iwan Evans</t>
  </si>
  <si>
    <t>Samuel Murphy</t>
  </si>
  <si>
    <t>James Piercy</t>
  </si>
  <si>
    <t>Noah Rees</t>
  </si>
  <si>
    <t>Mark Shaw Jr</t>
  </si>
  <si>
    <t>Edward Armstrong</t>
  </si>
  <si>
    <t>Nathan Dowding</t>
  </si>
  <si>
    <t>Alex Ingham</t>
  </si>
  <si>
    <t>Owen Lightfoot</t>
  </si>
  <si>
    <t>Jonathan Masters</t>
  </si>
  <si>
    <t>Simon Mills</t>
  </si>
  <si>
    <t>City RC (Hull)</t>
  </si>
  <si>
    <t>Frederick Newman</t>
  </si>
  <si>
    <t>Arthur Boulton</t>
  </si>
  <si>
    <t>Archie Foulkes</t>
  </si>
  <si>
    <t>Thomas Godber</t>
  </si>
  <si>
    <t>James Hartley</t>
  </si>
  <si>
    <t>Ben Iddon</t>
  </si>
  <si>
    <t>Tom Lees</t>
  </si>
  <si>
    <t>Cameron Morris</t>
  </si>
  <si>
    <t>Matt Nicholson</t>
  </si>
  <si>
    <t>Jenson Brown</t>
  </si>
  <si>
    <t>Damian Dodd</t>
  </si>
  <si>
    <t>Barking &amp; Dagenham CC</t>
  </si>
  <si>
    <t>Byron Garvey</t>
  </si>
  <si>
    <t>Joshua Hoad</t>
  </si>
  <si>
    <t>Woking Cycling Club</t>
  </si>
  <si>
    <t>Leo Law</t>
  </si>
  <si>
    <t>Matthew Lowe</t>
  </si>
  <si>
    <t>Joshua Mitchell</t>
  </si>
  <si>
    <t>Dominic Omidvar</t>
  </si>
  <si>
    <t>Francis Woodcock</t>
  </si>
  <si>
    <t>Ewan Berry</t>
  </si>
  <si>
    <t>William Jewitt</t>
  </si>
  <si>
    <t>Giant Cycling Club - Halo Films</t>
  </si>
  <si>
    <t>Dan Luckham</t>
  </si>
  <si>
    <t>Ewan Mackie</t>
  </si>
  <si>
    <t>Dexter Mansel-Thomas</t>
  </si>
  <si>
    <t>Lewis Page</t>
  </si>
  <si>
    <t>Gethin Price</t>
  </si>
  <si>
    <t>Jack Rose</t>
  </si>
  <si>
    <t>Joe Shillabeer</t>
  </si>
  <si>
    <t>Callum Biggs</t>
  </si>
  <si>
    <t>Tofauti Everyone Active</t>
  </si>
  <si>
    <t>Gruffydd Daniel</t>
  </si>
  <si>
    <t>Alfie Duckett</t>
  </si>
  <si>
    <t>Harry Heard</t>
  </si>
  <si>
    <t>Adam Jackson</t>
  </si>
  <si>
    <t>John Roberts</t>
  </si>
  <si>
    <t>Rory Standish</t>
  </si>
  <si>
    <t>Kai Wise</t>
  </si>
  <si>
    <t>Thomas Pidcock</t>
  </si>
  <si>
    <t>Trinity Racing (UCI CX Team)</t>
  </si>
  <si>
    <t>2236</t>
  </si>
  <si>
    <t>Thomas Mein</t>
  </si>
  <si>
    <t>894</t>
  </si>
  <si>
    <t>Joshua Jones</t>
  </si>
  <si>
    <t>ZeroBC</t>
  </si>
  <si>
    <t>813</t>
  </si>
  <si>
    <t>Cameron Mason</t>
  </si>
  <si>
    <t>702</t>
  </si>
  <si>
    <t>Giles Drake</t>
  </si>
  <si>
    <t>Wheelbase CabTech Castelli</t>
  </si>
  <si>
    <t>695</t>
  </si>
  <si>
    <t>Sam Allen</t>
  </si>
  <si>
    <t>582</t>
  </si>
  <si>
    <t>James Swadling</t>
  </si>
  <si>
    <t>574</t>
  </si>
  <si>
    <t>Ian Field</t>
  </si>
  <si>
    <t>Neon-Velo Cycling Team</t>
  </si>
  <si>
    <t>549</t>
  </si>
  <si>
    <t>Joe Coukham</t>
  </si>
  <si>
    <t>531</t>
  </si>
  <si>
    <t>Jenson Young</t>
  </si>
  <si>
    <t>Ben Turner</t>
  </si>
  <si>
    <t>Creafin-Fristads</t>
  </si>
  <si>
    <t>Michael Butler</t>
  </si>
  <si>
    <t>GLP RT</t>
  </si>
  <si>
    <t>490</t>
  </si>
  <si>
    <t>James Flury</t>
  </si>
  <si>
    <t>Arctic Aircon RT</t>
  </si>
  <si>
    <t>461</t>
  </si>
  <si>
    <t>Toby Barnes</t>
  </si>
  <si>
    <t>460</t>
  </si>
  <si>
    <t>David Earth</t>
  </si>
  <si>
    <t>Steve Poole Plant Hire</t>
  </si>
  <si>
    <t>448</t>
  </si>
  <si>
    <t>George Thompson</t>
  </si>
  <si>
    <t>Rose Race Team</t>
  </si>
  <si>
    <t>443</t>
  </si>
  <si>
    <t>Kishan Bakrania</t>
  </si>
  <si>
    <t>Steven James</t>
  </si>
  <si>
    <t>427</t>
  </si>
  <si>
    <t>Richard Jones</t>
  </si>
  <si>
    <t>Renvale RT</t>
  </si>
  <si>
    <t>James Madgwick</t>
  </si>
  <si>
    <t>425</t>
  </si>
  <si>
    <t>Kieran Jarvis</t>
  </si>
  <si>
    <t>419</t>
  </si>
  <si>
    <t>Jake Jackson</t>
  </si>
  <si>
    <t>408</t>
  </si>
  <si>
    <t>Jonathan Brain</t>
  </si>
  <si>
    <t>396</t>
  </si>
  <si>
    <t>David Bone</t>
  </si>
  <si>
    <t>Racing Club Ravenna</t>
  </si>
  <si>
    <t>388</t>
  </si>
  <si>
    <t>Anthony Neave</t>
  </si>
  <si>
    <t>Stourbridge CC</t>
  </si>
  <si>
    <t>368</t>
  </si>
  <si>
    <t>Aled Jones</t>
  </si>
  <si>
    <t>VCEquipe/FlixOralHygiene/Propulse</t>
  </si>
  <si>
    <t>Gareth Whittall</t>
  </si>
  <si>
    <t>Tristan Davies</t>
  </si>
  <si>
    <t>Saint Piran</t>
  </si>
  <si>
    <t>Tom Couzens</t>
  </si>
  <si>
    <t>Gary MacDonald</t>
  </si>
  <si>
    <t>Nevis Cycles Racing Team</t>
  </si>
  <si>
    <t>Nick Blight</t>
  </si>
  <si>
    <t>Karl Norfolk</t>
  </si>
  <si>
    <t>Thomas Payton</t>
  </si>
  <si>
    <t>Ben Tulett</t>
  </si>
  <si>
    <t>Alpecin-Fenix</t>
  </si>
  <si>
    <t>Samuel Morris</t>
  </si>
  <si>
    <t>Loughborough Students CC</t>
  </si>
  <si>
    <t>Josh Gibson</t>
  </si>
  <si>
    <t>SCOTT Racing</t>
  </si>
  <si>
    <t>Nathan Blackmore</t>
  </si>
  <si>
    <t>Pete Matthews</t>
  </si>
  <si>
    <t>Matthew Lawton</t>
  </si>
  <si>
    <t>Samuel Holder</t>
  </si>
  <si>
    <t>DAS RAD KLUB</t>
  </si>
  <si>
    <t>James Hyde</t>
  </si>
  <si>
    <t>Joe Parker</t>
  </si>
  <si>
    <t>Steven Kane</t>
  </si>
  <si>
    <t>Team TMC</t>
  </si>
  <si>
    <t>Thomas Nightingale</t>
  </si>
  <si>
    <t>Orbea Racing Team</t>
  </si>
  <si>
    <t>Tom Budden</t>
  </si>
  <si>
    <t>Lewis Craven</t>
  </si>
  <si>
    <t>Cai Davies</t>
  </si>
  <si>
    <t>Finchley Racing Team</t>
  </si>
  <si>
    <t>Ben Nott</t>
  </si>
  <si>
    <t>Sean Flynn</t>
  </si>
  <si>
    <t>Team Inspired</t>
  </si>
  <si>
    <t>Callum Macleod</t>
  </si>
  <si>
    <t>Canyon dhb p/b Bloor Homes</t>
  </si>
  <si>
    <t>William Weatherill</t>
  </si>
  <si>
    <t>Gary Price</t>
  </si>
  <si>
    <t>Vredestein Basso</t>
  </si>
  <si>
    <t>Nicholas Craig</t>
  </si>
  <si>
    <t>Paul Morris</t>
  </si>
  <si>
    <t>Seb Herrod</t>
  </si>
  <si>
    <t>Daniel Preece</t>
  </si>
  <si>
    <t>Army Cycling Union</t>
  </si>
  <si>
    <t>Thomas Timberlake</t>
  </si>
  <si>
    <t>Dyson Cycles</t>
  </si>
  <si>
    <t>Matthew Humpage</t>
  </si>
  <si>
    <t>David Rees</t>
  </si>
  <si>
    <t>Dulwich Paragon CC</t>
  </si>
  <si>
    <t>Neil Phillips</t>
  </si>
  <si>
    <t>TEKKERZ CC</t>
  </si>
  <si>
    <t>James Edmond</t>
  </si>
  <si>
    <t>Jared Linden</t>
  </si>
  <si>
    <t>Royal Dean Forest CC</t>
  </si>
  <si>
    <t>John Mackenzie</t>
  </si>
  <si>
    <t>SR Albannach</t>
  </si>
  <si>
    <t>Mark Cotton</t>
  </si>
  <si>
    <t>Ross Tricker</t>
  </si>
  <si>
    <t>ViCiOUS VELO</t>
  </si>
  <si>
    <t>Alex Watkins</t>
  </si>
  <si>
    <t>Sarum Velo Aerosporting</t>
  </si>
  <si>
    <t>Jake Womersley</t>
  </si>
  <si>
    <t>David Duggan</t>
  </si>
  <si>
    <t>Leon Mazzone</t>
  </si>
  <si>
    <t>Crimson Orientation Marketing RT</t>
  </si>
  <si>
    <t>Nathan Wilson</t>
  </si>
  <si>
    <t>Wilsons Wheels Race Team</t>
  </si>
  <si>
    <t>Jack Parrish</t>
  </si>
  <si>
    <t>Forest Side Riders</t>
  </si>
  <si>
    <t>Nick Morris</t>
  </si>
  <si>
    <t>Clee Cycles</t>
  </si>
  <si>
    <t>Daniel Powell</t>
  </si>
  <si>
    <t>Ben Sampson</t>
  </si>
  <si>
    <t>LBRCC (Leighton Buzzard Road CC)</t>
  </si>
  <si>
    <t>Martin Woffindin</t>
  </si>
  <si>
    <t>Secret-Training.cc</t>
  </si>
  <si>
    <t>Clarke James</t>
  </si>
  <si>
    <t>Matthew Taylor</t>
  </si>
  <si>
    <t>Prologue Racing Team</t>
  </si>
  <si>
    <t>Richard Middleton</t>
  </si>
  <si>
    <t>Dale Taylor</t>
  </si>
  <si>
    <t>R M Cycling (RMCC)</t>
  </si>
  <si>
    <t>David Beachill</t>
  </si>
  <si>
    <t>Geared Up &amp; CN Cycles RT</t>
  </si>
  <si>
    <t>Roddy Weir</t>
  </si>
  <si>
    <t>Muckle Cycle Club</t>
  </si>
  <si>
    <t>Robert Burns</t>
  </si>
  <si>
    <t>Islabikes</t>
  </si>
  <si>
    <t>Joseph Beckingsale</t>
  </si>
  <si>
    <t>Wales Racing Academy</t>
  </si>
  <si>
    <t>Nick Drew</t>
  </si>
  <si>
    <t>Jordan Peacock</t>
  </si>
  <si>
    <t>Spirit Tifosi Racing Team</t>
  </si>
  <si>
    <t>Scott Chalmers</t>
  </si>
  <si>
    <t>Jonathan Dennis</t>
  </si>
  <si>
    <t>Kibosh</t>
  </si>
  <si>
    <t>Stefan Partridge</t>
  </si>
  <si>
    <t>Alan Duncan</t>
  </si>
  <si>
    <t>Matthew Lock</t>
  </si>
  <si>
    <t>Cliff Pratt Racing</t>
  </si>
  <si>
    <t>Matthew Ellis</t>
  </si>
  <si>
    <t>Charvieu-Chavagneux Isère Cyclisme</t>
  </si>
  <si>
    <t>Oscar Hutchings</t>
  </si>
  <si>
    <t>Cameron Hurst</t>
  </si>
  <si>
    <t>Freddie Checketts</t>
  </si>
  <si>
    <t>Richard Long</t>
  </si>
  <si>
    <t>Corey Bale</t>
  </si>
  <si>
    <t>Daniel Moore</t>
  </si>
  <si>
    <t>Christopher Burns</t>
  </si>
  <si>
    <t>Reifen Racing</t>
  </si>
  <si>
    <t>Josh Wakeling</t>
  </si>
  <si>
    <t>TWB - ON TIME RACE TEAM</t>
  </si>
  <si>
    <t>Adrian Lansley</t>
  </si>
  <si>
    <t>Grant Fraser</t>
  </si>
  <si>
    <t>Paceline RT</t>
  </si>
  <si>
    <t>Benjamin Shucksmith</t>
  </si>
  <si>
    <t>Lewis Askey</t>
  </si>
  <si>
    <t>Zannata Ride Coventry GSG XGear</t>
  </si>
  <si>
    <t>Jack Clarkson</t>
  </si>
  <si>
    <t>Finn Mansfield</t>
  </si>
  <si>
    <t>Paul Upton</t>
  </si>
  <si>
    <t>Jonathan Bayley</t>
  </si>
  <si>
    <t>Philip Holwell</t>
  </si>
  <si>
    <t>Peak Road Club</t>
  </si>
  <si>
    <t>Robert Jebb</t>
  </si>
  <si>
    <t>Felix Barker</t>
  </si>
  <si>
    <t>Barney Clacy</t>
  </si>
  <si>
    <t>Joe Peake</t>
  </si>
  <si>
    <t>Stayer Racing</t>
  </si>
  <si>
    <t>Bruce Johnston</t>
  </si>
  <si>
    <t>Daniel Atkins</t>
  </si>
  <si>
    <t>Didcot Phoenix CC</t>
  </si>
  <si>
    <t>Neil Dunn</t>
  </si>
  <si>
    <t>Pretorius Bikes</t>
  </si>
  <si>
    <t>Jay Allen</t>
  </si>
  <si>
    <t>Christopher McGovern</t>
  </si>
  <si>
    <t>Southampton University Road Club</t>
  </si>
  <si>
    <t>Charles Fletcher</t>
  </si>
  <si>
    <t>Cairngorm CC</t>
  </si>
  <si>
    <t>Dave Saunders</t>
  </si>
  <si>
    <t>Joseph Bennett</t>
  </si>
  <si>
    <t>Christopher Morrison</t>
  </si>
  <si>
    <t>Pearson Cycling Club</t>
  </si>
  <si>
    <t>Chris Panayiotou</t>
  </si>
  <si>
    <t>Fruit 4 London</t>
  </si>
  <si>
    <t>Mark Scott</t>
  </si>
  <si>
    <t>Alistair Slater</t>
  </si>
  <si>
    <t>ClancyBriggs Cycling Academy</t>
  </si>
  <si>
    <t>Ben Lambert</t>
  </si>
  <si>
    <t>Velo-One Cycling Team</t>
  </si>
  <si>
    <t>Chris Metcalfe</t>
  </si>
  <si>
    <t>James Thompson</t>
  </si>
  <si>
    <t>Ribble Pro Cycling</t>
  </si>
  <si>
    <t>Steve Lampier</t>
  </si>
  <si>
    <t>David Lines</t>
  </si>
  <si>
    <t>Vojtech Blazejovsky</t>
  </si>
  <si>
    <t>PMR</t>
  </si>
  <si>
    <t>Joshua Ibbett</t>
  </si>
  <si>
    <t>Kyle Cartmell</t>
  </si>
  <si>
    <t>RT23</t>
  </si>
  <si>
    <t>David Morris</t>
  </si>
  <si>
    <t>Joseph Taylor</t>
  </si>
  <si>
    <t>David Roper</t>
  </si>
  <si>
    <t>Ride 24/7</t>
  </si>
  <si>
    <t>Andrew Warr</t>
  </si>
  <si>
    <t>Chris Smith</t>
  </si>
  <si>
    <t>David Brazier</t>
  </si>
  <si>
    <t>Daniel Alexander</t>
  </si>
  <si>
    <t>www.Zepnat.com RT - Lazer helmets</t>
  </si>
  <si>
    <t>Sebastian Bacon</t>
  </si>
  <si>
    <t>Phil Wilks</t>
  </si>
  <si>
    <t>Craig Gow</t>
  </si>
  <si>
    <t>Team Andrew Allan Architecture</t>
  </si>
  <si>
    <t>Dean Hart</t>
  </si>
  <si>
    <t>Basildon CC</t>
  </si>
  <si>
    <t>Ben Wadey</t>
  </si>
  <si>
    <t>Matthew Wakefield</t>
  </si>
  <si>
    <t>Jimmy Smith</t>
  </si>
  <si>
    <t>Team Chronomaster</t>
  </si>
  <si>
    <t>Alec Briggs</t>
  </si>
  <si>
    <t>John Sawers</t>
  </si>
  <si>
    <t>Royal Navy &amp; Royal Marines CA</t>
  </si>
  <si>
    <t>Adam Cooke</t>
  </si>
  <si>
    <t>Oliver Hayward</t>
  </si>
  <si>
    <t>Holohan Coaching Race Team</t>
  </si>
  <si>
    <t>Tom Evans</t>
  </si>
  <si>
    <t>Cycle Sport South Hams</t>
  </si>
  <si>
    <t>Gavin McDougall</t>
  </si>
  <si>
    <t>Ronde Cycling Club</t>
  </si>
  <si>
    <t>Harry McGarvie</t>
  </si>
  <si>
    <t>Ayr Burners Cycling</t>
  </si>
  <si>
    <t>Alex Powell</t>
  </si>
  <si>
    <t>Fraser Ayears</t>
  </si>
  <si>
    <t>Luke Eggar</t>
  </si>
  <si>
    <t>William Hibberd</t>
  </si>
  <si>
    <t>Samuel Marriott</t>
  </si>
  <si>
    <t>Bruce Dalton</t>
  </si>
  <si>
    <t>Louis Evans</t>
  </si>
  <si>
    <t>Team Novo Nordisk</t>
  </si>
  <si>
    <t>Timothy Elsmore-Martin</t>
  </si>
  <si>
    <t>Joe Hickerton</t>
  </si>
  <si>
    <t>Timothy Jones</t>
  </si>
  <si>
    <t>University of Nottingham SCC</t>
  </si>
  <si>
    <t>William Brown</t>
  </si>
  <si>
    <t>Jonah Drake</t>
  </si>
  <si>
    <t>Felley Racing Team</t>
  </si>
  <si>
    <t>Jacob Scott</t>
  </si>
  <si>
    <t>Albion Cycling Co</t>
  </si>
  <si>
    <t>Neil Scott</t>
  </si>
  <si>
    <t>Craig Seaman</t>
  </si>
  <si>
    <t>Bynea CC</t>
  </si>
  <si>
    <t>Michael Webb</t>
  </si>
  <si>
    <t>Cardiff Ajax CC</t>
  </si>
  <si>
    <t>Christopher Parker</t>
  </si>
  <si>
    <t>VC St Raphael</t>
  </si>
  <si>
    <t>Tim Doole</t>
  </si>
  <si>
    <t>Maybush CC</t>
  </si>
  <si>
    <t>Craig Rogers</t>
  </si>
  <si>
    <t>Cambridge University CC</t>
  </si>
  <si>
    <t>Sam Andrews</t>
  </si>
  <si>
    <t>Liam Cahill</t>
  </si>
  <si>
    <t>Reflex Racing</t>
  </si>
  <si>
    <t>Jon Hare</t>
  </si>
  <si>
    <t>Exeter Wheelers</t>
  </si>
  <si>
    <t>Stuart Lynn</t>
  </si>
  <si>
    <t>Lloyd Chapman</t>
  </si>
  <si>
    <t>Cameron Hall</t>
  </si>
  <si>
    <t>Gabriel Hamon</t>
  </si>
  <si>
    <t>Stuart Baldwin</t>
  </si>
  <si>
    <t>Cameron Preece</t>
  </si>
  <si>
    <t>Southdowns Bikes – Casco PET</t>
  </si>
  <si>
    <t>Stefan Pietruszka</t>
  </si>
  <si>
    <t>Chris Roberts</t>
  </si>
  <si>
    <t>James Shaw</t>
  </si>
  <si>
    <t>David Jarrom</t>
  </si>
  <si>
    <t>Alex McNicol</t>
  </si>
  <si>
    <t>Velo Runner</t>
  </si>
  <si>
    <t>Liam Manser</t>
  </si>
  <si>
    <t>Richard Eakins</t>
  </si>
  <si>
    <t>Thomas Dye</t>
  </si>
  <si>
    <t>Robert Watson</t>
  </si>
  <si>
    <t>Paceline Cycles North</t>
  </si>
  <si>
    <t>Oliver McCall</t>
  </si>
  <si>
    <t>Hamish Fletcher-Cooney</t>
  </si>
  <si>
    <t>All Terrain Cycles Ride In Peace</t>
  </si>
  <si>
    <t>Alex Paton</t>
  </si>
  <si>
    <t>Vive Le Velo</t>
  </si>
  <si>
    <t>Iain Fairley</t>
  </si>
  <si>
    <t>Richard McDonald</t>
  </si>
  <si>
    <t>Moriarty Bikes-Project GO</t>
  </si>
  <si>
    <t>Harry Robson</t>
  </si>
  <si>
    <t>Triology ManHealth</t>
  </si>
  <si>
    <t>Niall Shannon</t>
  </si>
  <si>
    <t>Stefan Macina</t>
  </si>
  <si>
    <t>Graham Webb</t>
  </si>
  <si>
    <t>John Aston</t>
  </si>
  <si>
    <t>Generation Press CC</t>
  </si>
  <si>
    <t>Benjamin Mallett</t>
  </si>
  <si>
    <t>PeaceFIT Racing</t>
  </si>
  <si>
    <t>Alex Rhodes</t>
  </si>
  <si>
    <t>Wilfred Sinclair</t>
  </si>
  <si>
    <t>James Grogan</t>
  </si>
  <si>
    <t>http://www.giant-helston.co.uk</t>
  </si>
  <si>
    <t>Peter Kench</t>
  </si>
  <si>
    <t>ASE Racing</t>
  </si>
  <si>
    <t>Gabe Collins</t>
  </si>
  <si>
    <t>UEA Velo</t>
  </si>
  <si>
    <t>Leigh Smith</t>
  </si>
  <si>
    <t>JCA-Equipe Velo</t>
  </si>
  <si>
    <t>Nicholas Wood</t>
  </si>
  <si>
    <t>BowlPhish Racing</t>
  </si>
  <si>
    <t>Elliot Gough</t>
  </si>
  <si>
    <t>KTM UK Factory MTB Team</t>
  </si>
  <si>
    <t>Benjamin Horrobin</t>
  </si>
  <si>
    <t>Horwich CC</t>
  </si>
  <si>
    <t>William Scott</t>
  </si>
  <si>
    <t>Andrew Naylor</t>
  </si>
  <si>
    <t>Daniel Booth</t>
  </si>
  <si>
    <t>ClubLeClub Velo Club</t>
  </si>
  <si>
    <t>Luke Beswick</t>
  </si>
  <si>
    <t>Buxton CC/Sett Valley Cycles</t>
  </si>
  <si>
    <t>Sean Dunlea</t>
  </si>
  <si>
    <t>Alex Windett</t>
  </si>
  <si>
    <t>Mark Field</t>
  </si>
  <si>
    <t>James Smith</t>
  </si>
  <si>
    <t>Pedal Power Loughborough</t>
  </si>
  <si>
    <t>Scott Smith</t>
  </si>
  <si>
    <t>Biggar Cycling Club</t>
  </si>
  <si>
    <t>Martin Brown</t>
  </si>
  <si>
    <t>EvoVelo Karbona</t>
  </si>
  <si>
    <t>Ryan Smith</t>
  </si>
  <si>
    <t>Robin Godden</t>
  </si>
  <si>
    <t>Sunday Echappée</t>
  </si>
  <si>
    <t>Dominic Spencer</t>
  </si>
  <si>
    <t>Bristol South CC</t>
  </si>
  <si>
    <t>Luke Barton</t>
  </si>
  <si>
    <t>Louth Cycle Centre</t>
  </si>
  <si>
    <t>Alexander Forrester</t>
  </si>
  <si>
    <t>Gavin Howell</t>
  </si>
  <si>
    <t>Lee Williams</t>
  </si>
  <si>
    <t>Murray Swanson</t>
  </si>
  <si>
    <t>Pedal Power RT</t>
  </si>
  <si>
    <t>Leigh Andrews</t>
  </si>
  <si>
    <t>Edward Birdsall</t>
  </si>
  <si>
    <t>University Of Manchester CC</t>
  </si>
  <si>
    <t>Matthew Coulson</t>
  </si>
  <si>
    <t>Philip Glowinski</t>
  </si>
  <si>
    <t>David Janes</t>
  </si>
  <si>
    <t>Andrew White</t>
  </si>
  <si>
    <t>Andy Dryburgh</t>
  </si>
  <si>
    <t>Gateway Racing</t>
  </si>
  <si>
    <t>Brendan Schofield</t>
  </si>
  <si>
    <t>Abingdon Race Team</t>
  </si>
  <si>
    <t>Kyle Beattie</t>
  </si>
  <si>
    <t>Ewan Thorburn</t>
  </si>
  <si>
    <t>Richard Down</t>
  </si>
  <si>
    <t>Steven Henshall</t>
  </si>
  <si>
    <t>Port Sunlight Whls CC</t>
  </si>
  <si>
    <t>Luke Houghton</t>
  </si>
  <si>
    <t>Stephen Hodge</t>
  </si>
  <si>
    <t>Plymouth Corinthian CC</t>
  </si>
  <si>
    <t>Patrick Stumpf</t>
  </si>
  <si>
    <t>Joe Bale</t>
  </si>
  <si>
    <t>Jack Wilson</t>
  </si>
  <si>
    <t>Theo Brumhead</t>
  </si>
  <si>
    <t>Christopher Davies</t>
  </si>
  <si>
    <t>Cycle Specific CC</t>
  </si>
  <si>
    <t>Thomas Howes</t>
  </si>
  <si>
    <t>Ollie Rastall</t>
  </si>
  <si>
    <t>Andrew Vaughan</t>
  </si>
  <si>
    <t>Gethin Musk</t>
  </si>
  <si>
    <t>Performance Cycles</t>
  </si>
  <si>
    <t>Owen Prior</t>
  </si>
  <si>
    <t>Daniel Charlton</t>
  </si>
  <si>
    <t>QN Racing</t>
  </si>
  <si>
    <t>David Nichols</t>
  </si>
  <si>
    <t>Toby Perry</t>
  </si>
  <si>
    <t>Goma Dakwerken-VDB Steenhouwerij CT</t>
  </si>
  <si>
    <t>Ed Welsh</t>
  </si>
  <si>
    <t>Oliver Cox</t>
  </si>
  <si>
    <t>George Metcalfe</t>
  </si>
  <si>
    <t>Steve Revill-Darton</t>
  </si>
  <si>
    <t>Good Vibes Only</t>
  </si>
  <si>
    <t>Grant Leavy</t>
  </si>
  <si>
    <t>Daniel Lyness</t>
  </si>
  <si>
    <t>Henry Beaumont</t>
  </si>
  <si>
    <t>Benjamin Clement</t>
  </si>
  <si>
    <t>Bristol CX</t>
  </si>
  <si>
    <t>Matthew Fratesi</t>
  </si>
  <si>
    <t>TORQ Performance</t>
  </si>
  <si>
    <t>Ross Holland</t>
  </si>
  <si>
    <t>Malcolm Bain</t>
  </si>
  <si>
    <t>Granite City RT</t>
  </si>
  <si>
    <t>Owen Jowett</t>
  </si>
  <si>
    <t>Joshua Porter</t>
  </si>
  <si>
    <t>Portishead Cycling Club</t>
  </si>
  <si>
    <t>Craig Preece</t>
  </si>
  <si>
    <t>Connor Rumbles</t>
  </si>
  <si>
    <t>Strada 2020</t>
  </si>
  <si>
    <t>Mike Brunsdon</t>
  </si>
  <si>
    <t>Liam Holohan</t>
  </si>
  <si>
    <t>Glen Whittington</t>
  </si>
  <si>
    <t>Graham Briggs</t>
  </si>
  <si>
    <t>Richard Wiggins</t>
  </si>
  <si>
    <t>Josh Williams</t>
  </si>
  <si>
    <t>Jack Dunne</t>
  </si>
  <si>
    <t>Lindfield Coffee Work</t>
  </si>
  <si>
    <t>Peter Janak</t>
  </si>
  <si>
    <t>Thomas Price</t>
  </si>
  <si>
    <t>Charlie Revell</t>
  </si>
  <si>
    <t>Team Tor 2000 | Kalas</t>
  </si>
  <si>
    <t>Sam Bradley</t>
  </si>
  <si>
    <t>Giorgio Coppola</t>
  </si>
  <si>
    <t>Andy Shackel</t>
  </si>
  <si>
    <t>Team Wiggle</t>
  </si>
  <si>
    <t>Keith Watson</t>
  </si>
  <si>
    <t>Adalta Race Team</t>
  </si>
  <si>
    <t>Adam Gascoigne</t>
  </si>
  <si>
    <t>Jason Marriott</t>
  </si>
  <si>
    <t>Stanley Nutter</t>
  </si>
  <si>
    <t>Dan Clark</t>
  </si>
  <si>
    <t>HuntBikeWheels</t>
  </si>
  <si>
    <t>James Drain</t>
  </si>
  <si>
    <t>Thom Hayward</t>
  </si>
  <si>
    <t>Mason Hollyman</t>
  </si>
  <si>
    <t>Gareth Hunt</t>
  </si>
  <si>
    <t>Tom Mazzone</t>
  </si>
  <si>
    <t>Vitus Pro Cycling p/b Brother UK</t>
  </si>
  <si>
    <t>Sean Townsend</t>
  </si>
  <si>
    <t>James Vickers</t>
  </si>
  <si>
    <t>www.cyclocrossrider.com</t>
  </si>
  <si>
    <t>Andrew Cox</t>
  </si>
  <si>
    <t>James Phillips</t>
  </si>
  <si>
    <t>BIKESTRONG-KTM</t>
  </si>
  <si>
    <t>Owain Roberts</t>
  </si>
  <si>
    <t>Dave Powell</t>
  </si>
  <si>
    <t>James Somerfield</t>
  </si>
  <si>
    <t>Thomas Bowden</t>
  </si>
  <si>
    <t>James Britton</t>
  </si>
  <si>
    <t>Scot Easter</t>
  </si>
  <si>
    <t>Nathan Edmondson</t>
  </si>
  <si>
    <t>PMRR</t>
  </si>
  <si>
    <t>Declan Egan</t>
  </si>
  <si>
    <t>Kingston Wheelers CC</t>
  </si>
  <si>
    <t>Jason Elliott</t>
  </si>
  <si>
    <t>Doncaster Whls CC</t>
  </si>
  <si>
    <t>Robbie Mitchell</t>
  </si>
  <si>
    <t>Auchencrow Thistle</t>
  </si>
  <si>
    <t>Mark Staples</t>
  </si>
  <si>
    <t>VC VELDRIJDEN</t>
  </si>
  <si>
    <t>Jamieson Blain</t>
  </si>
  <si>
    <t>Daniel Burbridge</t>
  </si>
  <si>
    <t>Billy Fadden</t>
  </si>
  <si>
    <t>Adrian Hill</t>
  </si>
  <si>
    <t>Lawrence James</t>
  </si>
  <si>
    <t>Swindon Wheelers</t>
  </si>
  <si>
    <t>Duncan Murdison</t>
  </si>
  <si>
    <t>Mid Cornwall Cycling Club</t>
  </si>
  <si>
    <t>Kieran Day</t>
  </si>
  <si>
    <t>Thomas Fletcher</t>
  </si>
  <si>
    <t>Max Hale</t>
  </si>
  <si>
    <t>Toby Miles</t>
  </si>
  <si>
    <t>Reuben Orr</t>
  </si>
  <si>
    <t>SF Racing</t>
  </si>
  <si>
    <t>Stanimir Bolyarov</t>
  </si>
  <si>
    <t>Michael Burke</t>
  </si>
  <si>
    <t>Alexander Harper</t>
  </si>
  <si>
    <t>Matthew Lebelinski</t>
  </si>
  <si>
    <t>Isaac Russell</t>
  </si>
  <si>
    <t>Team PB Performance</t>
  </si>
  <si>
    <t>Jonathan Williams</t>
  </si>
  <si>
    <t>Fred Williams Cycles</t>
  </si>
  <si>
    <t>362</t>
  </si>
  <si>
    <t>Keir Greatorex</t>
  </si>
  <si>
    <t>Torvelo Racing</t>
  </si>
  <si>
    <t>363</t>
  </si>
  <si>
    <t>Chris Hinds</t>
  </si>
  <si>
    <t>365</t>
  </si>
  <si>
    <t>Ian Lee</t>
  </si>
  <si>
    <t>Royal Air Force CA</t>
  </si>
  <si>
    <t>Thomas Yeatman</t>
  </si>
  <si>
    <t>367</t>
  </si>
  <si>
    <t>Robert Rogers</t>
  </si>
  <si>
    <t>369</t>
  </si>
  <si>
    <t>Ross Wood</t>
  </si>
  <si>
    <t>Ronde Works Racing</t>
  </si>
  <si>
    <t>370</t>
  </si>
  <si>
    <t>Theo Clarke</t>
  </si>
  <si>
    <t>TRASH MILE</t>
  </si>
  <si>
    <t>Philip Collings</t>
  </si>
  <si>
    <t>Saint Piran Cycling</t>
  </si>
  <si>
    <t>372</t>
  </si>
  <si>
    <t>Mark Day</t>
  </si>
  <si>
    <t>URDT</t>
  </si>
  <si>
    <t>373</t>
  </si>
  <si>
    <t>Ben Eedy</t>
  </si>
  <si>
    <t>374</t>
  </si>
  <si>
    <t>Adam Reeder</t>
  </si>
  <si>
    <t>Alford Wheelers</t>
  </si>
  <si>
    <t>375</t>
  </si>
  <si>
    <t>Ian Taylor</t>
  </si>
  <si>
    <t>Arthur Wilson</t>
  </si>
  <si>
    <t>377</t>
  </si>
  <si>
    <t>Fletcher Adams</t>
  </si>
  <si>
    <t>University Of Portsmouth CC</t>
  </si>
  <si>
    <t>378</t>
  </si>
  <si>
    <t>Ian Critchley</t>
  </si>
  <si>
    <t>C2 Racing</t>
  </si>
  <si>
    <t>379</t>
  </si>
  <si>
    <t>Matthew Dennis</t>
  </si>
  <si>
    <t>380</t>
  </si>
  <si>
    <t>Chris Donnelly</t>
  </si>
  <si>
    <t>High Peak Cycles RT</t>
  </si>
  <si>
    <t>381</t>
  </si>
  <si>
    <t>Richard Kirkham</t>
  </si>
  <si>
    <t>RAMcc</t>
  </si>
  <si>
    <t>382</t>
  </si>
  <si>
    <t>Adam Martin</t>
  </si>
  <si>
    <t>Newcastle Cheviot CC</t>
  </si>
  <si>
    <t>383</t>
  </si>
  <si>
    <t>Paul Nutton</t>
  </si>
  <si>
    <t>Here Come The Belgians</t>
  </si>
  <si>
    <t>Thomas Ramsay</t>
  </si>
  <si>
    <t>Wold Top The Edge RT</t>
  </si>
  <si>
    <t>385</t>
  </si>
  <si>
    <t>Christopher Stuart-Leach</t>
  </si>
  <si>
    <t>386</t>
  </si>
  <si>
    <t>Craig Wood</t>
  </si>
  <si>
    <t>wattbike.com</t>
  </si>
  <si>
    <t>387</t>
  </si>
  <si>
    <t>Iain Armstrong</t>
  </si>
  <si>
    <t>Bill Nickson Cycles RT</t>
  </si>
  <si>
    <t>Daniel David</t>
  </si>
  <si>
    <t>389</t>
  </si>
  <si>
    <t>Christian Aucote</t>
  </si>
  <si>
    <t>Carwyn Davies</t>
  </si>
  <si>
    <t>391</t>
  </si>
  <si>
    <t>Phillip Glaze</t>
  </si>
  <si>
    <t>FISHFACE CYCLES RT</t>
  </si>
  <si>
    <t>393</t>
  </si>
  <si>
    <t>James Hill</t>
  </si>
  <si>
    <t>George Holland</t>
  </si>
  <si>
    <t>395</t>
  </si>
  <si>
    <t>Stuart Matthews</t>
  </si>
  <si>
    <t>InfinityCycles-Cube Store Cycling</t>
  </si>
  <si>
    <t>Ryan Middlemiss</t>
  </si>
  <si>
    <t>397</t>
  </si>
  <si>
    <t>Connor Murphy</t>
  </si>
  <si>
    <t>trainSharp Club</t>
  </si>
  <si>
    <t>Mark Preston</t>
  </si>
  <si>
    <t>PainTrain Lincoln</t>
  </si>
  <si>
    <t>Jonathan Pybus</t>
  </si>
  <si>
    <t>400</t>
  </si>
  <si>
    <t>James Sharp</t>
  </si>
  <si>
    <t>Rapha Cycling Club</t>
  </si>
  <si>
    <t>401</t>
  </si>
  <si>
    <t>Jonathan Sheasby</t>
  </si>
  <si>
    <t>402</t>
  </si>
  <si>
    <t>Benedict Wallis</t>
  </si>
  <si>
    <t>Bristol RC</t>
  </si>
  <si>
    <t>403</t>
  </si>
  <si>
    <t>Sam Edwards</t>
  </si>
  <si>
    <t>404</t>
  </si>
  <si>
    <t>Olly Hunt</t>
  </si>
  <si>
    <t>405</t>
  </si>
  <si>
    <t>William Linton</t>
  </si>
  <si>
    <t>Ewan Mulhern</t>
  </si>
  <si>
    <t>Glasgow United CC</t>
  </si>
  <si>
    <t>Nicholas Popham</t>
  </si>
  <si>
    <t>409</t>
  </si>
  <si>
    <t>410</t>
  </si>
  <si>
    <t>Curtis Green</t>
  </si>
  <si>
    <t>J's Cycle Shack</t>
  </si>
  <si>
    <t>411</t>
  </si>
  <si>
    <t>Brett Waterhouse</t>
  </si>
  <si>
    <t>412</t>
  </si>
  <si>
    <t>Liam Yates</t>
  </si>
  <si>
    <t>The 5th Floor Cycle Club</t>
  </si>
  <si>
    <t>Paul Cox</t>
  </si>
  <si>
    <t>415</t>
  </si>
  <si>
    <t>Joe Curran</t>
  </si>
  <si>
    <t>416</t>
  </si>
  <si>
    <t>Miles Earl</t>
  </si>
  <si>
    <t>417</t>
  </si>
  <si>
    <t>Joshua Ferguson</t>
  </si>
  <si>
    <t>GS Metro</t>
  </si>
  <si>
    <t>418</t>
  </si>
  <si>
    <t>Lewys Hobbs</t>
  </si>
  <si>
    <t>Carl Jackson</t>
  </si>
  <si>
    <t>420</t>
  </si>
  <si>
    <t>Luke Kennard</t>
  </si>
  <si>
    <t>421</t>
  </si>
  <si>
    <t>Robert Staines</t>
  </si>
  <si>
    <t>422</t>
  </si>
  <si>
    <t>Spencer Tapia</t>
  </si>
  <si>
    <t>Royal Leamington Spa CC (RLSCC)</t>
  </si>
  <si>
    <t>423</t>
  </si>
  <si>
    <t>James Whateley</t>
  </si>
  <si>
    <t>Russell Jelly</t>
  </si>
  <si>
    <t>Mapperley CC</t>
  </si>
  <si>
    <t>Matthew Kennelly</t>
  </si>
  <si>
    <t>426</t>
  </si>
  <si>
    <t>Chris Nicholson</t>
  </si>
  <si>
    <t>Lee Smith</t>
  </si>
  <si>
    <t>Nuun-Sigma Sports-London RT</t>
  </si>
  <si>
    <t>428</t>
  </si>
  <si>
    <t>Kian Wagg</t>
  </si>
  <si>
    <t>Swansea University Cycling Team</t>
  </si>
  <si>
    <t>429</t>
  </si>
  <si>
    <t>Colin Bailey</t>
  </si>
  <si>
    <t>North Road CC</t>
  </si>
  <si>
    <t>430</t>
  </si>
  <si>
    <t>Patrick Brown</t>
  </si>
  <si>
    <t>Rowan Ellis</t>
  </si>
  <si>
    <t>433</t>
  </si>
  <si>
    <t>James Furniss</t>
  </si>
  <si>
    <t>434</t>
  </si>
  <si>
    <t>435</t>
  </si>
  <si>
    <t>Alex Glasgow</t>
  </si>
  <si>
    <t>436</t>
  </si>
  <si>
    <t>Simon Hale</t>
  </si>
  <si>
    <t>437</t>
  </si>
  <si>
    <t>Neil Henderson</t>
  </si>
  <si>
    <t>438</t>
  </si>
  <si>
    <t>Tom Knight</t>
  </si>
  <si>
    <t>Dynamic Rides CC</t>
  </si>
  <si>
    <t>439</t>
  </si>
  <si>
    <t>Richard Morgan</t>
  </si>
  <si>
    <t>440</t>
  </si>
  <si>
    <t>Jacek Nowak</t>
  </si>
  <si>
    <t>441</t>
  </si>
  <si>
    <t>Samuel Painter</t>
  </si>
  <si>
    <t>442</t>
  </si>
  <si>
    <t>Chris Pitblado</t>
  </si>
  <si>
    <t>Mark Ramage</t>
  </si>
  <si>
    <t>444</t>
  </si>
  <si>
    <t>Tony Revell</t>
  </si>
  <si>
    <t>BmthCycleworks VitecFire FordCE</t>
  </si>
  <si>
    <t>445</t>
  </si>
  <si>
    <t>Matthew Smith</t>
  </si>
  <si>
    <t>446</t>
  </si>
  <si>
    <t>Harry Walshaw</t>
  </si>
  <si>
    <t>447</t>
  </si>
  <si>
    <t>Mark Whittaker</t>
  </si>
  <si>
    <t>GS Invicta/ELO/Herberts Cycles</t>
  </si>
  <si>
    <t>Joe Williams</t>
  </si>
  <si>
    <t>449</t>
  </si>
  <si>
    <t>Simon Askham</t>
  </si>
  <si>
    <t>450</t>
  </si>
  <si>
    <t>Chris Crabtree</t>
  </si>
  <si>
    <t>451</t>
  </si>
  <si>
    <t>Ashley Dennis</t>
  </si>
  <si>
    <t>452</t>
  </si>
  <si>
    <t>William Dunk</t>
  </si>
  <si>
    <t>453</t>
  </si>
  <si>
    <t>James George Dunn</t>
  </si>
  <si>
    <t>454</t>
  </si>
  <si>
    <t>455</t>
  </si>
  <si>
    <t>Ross Fawcett</t>
  </si>
  <si>
    <t>456</t>
  </si>
  <si>
    <t>Thomas Halhead</t>
  </si>
  <si>
    <t>457</t>
  </si>
  <si>
    <t>Seb Lloyd</t>
  </si>
  <si>
    <t>Blazing Saddles Cycles</t>
  </si>
  <si>
    <t>458</t>
  </si>
  <si>
    <t>Craig Owen</t>
  </si>
  <si>
    <t>459</t>
  </si>
  <si>
    <t>Philip Stanley</t>
  </si>
  <si>
    <t>Ouroboros</t>
  </si>
  <si>
    <t>Krzysztof Zakreta</t>
  </si>
  <si>
    <t>CC Luton</t>
  </si>
  <si>
    <t>Stefan Abram</t>
  </si>
  <si>
    <t>462</t>
  </si>
  <si>
    <t>Patrick Atkinson</t>
  </si>
  <si>
    <t>463</t>
  </si>
  <si>
    <t>464</t>
  </si>
  <si>
    <t>465</t>
  </si>
  <si>
    <t>466</t>
  </si>
  <si>
    <t>467</t>
  </si>
  <si>
    <t>468</t>
  </si>
  <si>
    <t>Sebastian Garry</t>
  </si>
  <si>
    <t>High Wycombe Cycling Club</t>
  </si>
  <si>
    <t>469</t>
  </si>
  <si>
    <t>Enrico Guizzardi</t>
  </si>
  <si>
    <t>470</t>
  </si>
  <si>
    <t>James Hadfield</t>
  </si>
  <si>
    <t>Blaydon Cycle Club</t>
  </si>
  <si>
    <t>471</t>
  </si>
  <si>
    <t>Martin Lenney</t>
  </si>
  <si>
    <t>Penzance Wheelers</t>
  </si>
  <si>
    <t>472</t>
  </si>
  <si>
    <t>James Robertson</t>
  </si>
  <si>
    <t>473</t>
  </si>
  <si>
    <t>Thomas Smith</t>
  </si>
  <si>
    <t>Robert Smithers</t>
  </si>
  <si>
    <t>XLR8 XC Team</t>
  </si>
  <si>
    <t>475</t>
  </si>
  <si>
    <t>Sam Stewart</t>
  </si>
  <si>
    <t>476</t>
  </si>
  <si>
    <t>Philip Thomas</t>
  </si>
  <si>
    <t>Merthyr Cycling Club</t>
  </si>
  <si>
    <t>477</t>
  </si>
  <si>
    <t>Tom Whitworth</t>
  </si>
  <si>
    <t>Andrew Bramham</t>
  </si>
  <si>
    <t>479</t>
  </si>
  <si>
    <t>Dimitri Demishev</t>
  </si>
  <si>
    <t>NLTCBMBC</t>
  </si>
  <si>
    <t>480</t>
  </si>
  <si>
    <t>Rob Dyde</t>
  </si>
  <si>
    <t>Pembrokeshire Velo</t>
  </si>
  <si>
    <t>481</t>
  </si>
  <si>
    <t>John MacDonald</t>
  </si>
  <si>
    <t>Manchester Wheelers Club</t>
  </si>
  <si>
    <t>482</t>
  </si>
  <si>
    <t>William Thackray</t>
  </si>
  <si>
    <t>484</t>
  </si>
  <si>
    <t>Edmund Bradbury</t>
  </si>
  <si>
    <t>485</t>
  </si>
  <si>
    <t>Michael Burdon</t>
  </si>
  <si>
    <t>486</t>
  </si>
  <si>
    <t>Jackie Chan</t>
  </si>
  <si>
    <t>Alan Collins</t>
  </si>
  <si>
    <t>488</t>
  </si>
  <si>
    <t>Adam Egner</t>
  </si>
  <si>
    <t>489</t>
  </si>
  <si>
    <t>George Finch</t>
  </si>
  <si>
    <t>Liverpool University Cycling Club</t>
  </si>
  <si>
    <t>Sam Kettlewell</t>
  </si>
  <si>
    <t>491</t>
  </si>
  <si>
    <t>Ewen Macgillivray</t>
  </si>
  <si>
    <t>Chris Main</t>
  </si>
  <si>
    <t>493</t>
  </si>
  <si>
    <t>Luke Norris</t>
  </si>
  <si>
    <t>Marc Roberts</t>
  </si>
  <si>
    <t>Elgin CC</t>
  </si>
  <si>
    <t>Roger Cutler</t>
  </si>
  <si>
    <t>Beacon Roads CC</t>
  </si>
  <si>
    <t>496</t>
  </si>
  <si>
    <t>Calum Gibb</t>
  </si>
  <si>
    <t>Holburn Cycles</t>
  </si>
  <si>
    <t>497</t>
  </si>
  <si>
    <t>Nick Herlihy</t>
  </si>
  <si>
    <t>498</t>
  </si>
  <si>
    <t>David Holgate</t>
  </si>
  <si>
    <t>499</t>
  </si>
  <si>
    <t>Dan Hopes</t>
  </si>
  <si>
    <t>Matthew Lynn</t>
  </si>
  <si>
    <t>501</t>
  </si>
  <si>
    <t>Tim Berry</t>
  </si>
  <si>
    <t>502</t>
  </si>
  <si>
    <t>Robert Braithwaite</t>
  </si>
  <si>
    <t>503</t>
  </si>
  <si>
    <t>Lawrence Coyle</t>
  </si>
  <si>
    <t>504</t>
  </si>
  <si>
    <t>Wayne Crombie</t>
  </si>
  <si>
    <t>East London Velo</t>
  </si>
  <si>
    <t>505</t>
  </si>
  <si>
    <t>506</t>
  </si>
  <si>
    <t>Arthur Green</t>
  </si>
  <si>
    <t>507</t>
  </si>
  <si>
    <t>Joel Hawkins</t>
  </si>
  <si>
    <t>Dean Hill</t>
  </si>
  <si>
    <t>509</t>
  </si>
  <si>
    <t>Greg Hilson</t>
  </si>
  <si>
    <t>OCTAVE</t>
  </si>
  <si>
    <t>510</t>
  </si>
  <si>
    <t>Josh Housley</t>
  </si>
  <si>
    <t>511</t>
  </si>
  <si>
    <t>Kyle Houston</t>
  </si>
  <si>
    <t>Gorilla Coffee Cycling Club</t>
  </si>
  <si>
    <t>512</t>
  </si>
  <si>
    <t>Phillip Pearce</t>
  </si>
  <si>
    <t>513</t>
  </si>
  <si>
    <t>514</t>
  </si>
  <si>
    <t>Ian Russell</t>
  </si>
  <si>
    <t>Moda RT</t>
  </si>
  <si>
    <t>515</t>
  </si>
  <si>
    <t>Ross Turner</t>
  </si>
  <si>
    <t>PM racing UK</t>
  </si>
  <si>
    <t>516</t>
  </si>
  <si>
    <t>Thomas Vale</t>
  </si>
  <si>
    <t>Ely Race Club</t>
  </si>
  <si>
    <t>517</t>
  </si>
  <si>
    <t>Gareth Vickers</t>
  </si>
  <si>
    <t>Troy Wingar</t>
  </si>
  <si>
    <t>Gipping Race Team ( GRT )</t>
  </si>
  <si>
    <t>519</t>
  </si>
  <si>
    <t>Harry Horsman</t>
  </si>
  <si>
    <t>TBW23 Stuart Hall Cycling</t>
  </si>
  <si>
    <t>520</t>
  </si>
  <si>
    <t>Andrew Lindsay</t>
  </si>
  <si>
    <t>Surrey Hills Cycleworks</t>
  </si>
  <si>
    <t>521</t>
  </si>
  <si>
    <t>522</t>
  </si>
  <si>
    <t>Lewis Muncaster</t>
  </si>
  <si>
    <t>523</t>
  </si>
  <si>
    <t>Rory Munn</t>
  </si>
  <si>
    <t>524</t>
  </si>
  <si>
    <t>Iain Murray</t>
  </si>
  <si>
    <t>525</t>
  </si>
  <si>
    <t>Jacqui Simcock</t>
  </si>
  <si>
    <t>Team JMC</t>
  </si>
  <si>
    <t>526</t>
  </si>
  <si>
    <t>John Spanner</t>
  </si>
  <si>
    <t>527</t>
  </si>
  <si>
    <t>Jim Bainbridge</t>
  </si>
  <si>
    <t>Thames Velo</t>
  </si>
  <si>
    <t>528</t>
  </si>
  <si>
    <t>Lewis Bradley</t>
  </si>
  <si>
    <t>529</t>
  </si>
  <si>
    <t>Nathaniel Cooke</t>
  </si>
  <si>
    <t>530</t>
  </si>
  <si>
    <t>Edward Davies</t>
  </si>
  <si>
    <t>532</t>
  </si>
  <si>
    <t>Mitch Evans</t>
  </si>
  <si>
    <t>533</t>
  </si>
  <si>
    <t>Mark Fiddy</t>
  </si>
  <si>
    <t>Max Gibbons</t>
  </si>
  <si>
    <t>535</t>
  </si>
  <si>
    <t>Stuart Gough</t>
  </si>
  <si>
    <t>Ewan Grivell-Mellor</t>
  </si>
  <si>
    <t>537</t>
  </si>
  <si>
    <t>Zac Herrod</t>
  </si>
  <si>
    <t>539</t>
  </si>
  <si>
    <t>Gavin James</t>
  </si>
  <si>
    <t>540</t>
  </si>
  <si>
    <t>Andrew Kirby</t>
  </si>
  <si>
    <t>73Degrees CC</t>
  </si>
  <si>
    <t>541</t>
  </si>
  <si>
    <t>James Middleton</t>
  </si>
  <si>
    <t>Media Velo</t>
  </si>
  <si>
    <t>542</t>
  </si>
  <si>
    <t>David Pugh</t>
  </si>
  <si>
    <t>Stafford Road Club</t>
  </si>
  <si>
    <t>543</t>
  </si>
  <si>
    <t>Ollie Taylor</t>
  </si>
  <si>
    <t>545</t>
  </si>
  <si>
    <t>Felix Young</t>
  </si>
  <si>
    <t>546</t>
  </si>
  <si>
    <t>Sam Bacon</t>
  </si>
  <si>
    <t>547</t>
  </si>
  <si>
    <t>Alex Blomeley</t>
  </si>
  <si>
    <t>548</t>
  </si>
  <si>
    <t>Luke Brown</t>
  </si>
  <si>
    <t>Benjamin Caine</t>
  </si>
  <si>
    <t>550</t>
  </si>
  <si>
    <t>James Cartlidge</t>
  </si>
  <si>
    <t>551</t>
  </si>
  <si>
    <t>552</t>
  </si>
  <si>
    <t>553</t>
  </si>
  <si>
    <t>Richard Davidson</t>
  </si>
  <si>
    <t>554</t>
  </si>
  <si>
    <t>Ewan Gronkowski</t>
  </si>
  <si>
    <t>555</t>
  </si>
  <si>
    <t>Patrick Hough</t>
  </si>
  <si>
    <t>Lewes Wanderers CC</t>
  </si>
  <si>
    <t>556</t>
  </si>
  <si>
    <t>Tyla Loftus</t>
  </si>
  <si>
    <t>557</t>
  </si>
  <si>
    <t>Ed Moseley</t>
  </si>
  <si>
    <t>558</t>
  </si>
  <si>
    <t>Ryan Parkinson</t>
  </si>
  <si>
    <t>559</t>
  </si>
  <si>
    <t>Isaac Peatfield</t>
  </si>
  <si>
    <t>560</t>
  </si>
  <si>
    <t>Nicholas Richards</t>
  </si>
  <si>
    <t>561</t>
  </si>
  <si>
    <t>Daniel Runciman</t>
  </si>
  <si>
    <t>562</t>
  </si>
  <si>
    <t>Riley Searle</t>
  </si>
  <si>
    <t>563</t>
  </si>
  <si>
    <t>Harry Shepherd</t>
  </si>
  <si>
    <t>564</t>
  </si>
  <si>
    <t>Ben Siemaszko</t>
  </si>
  <si>
    <t>DHCyclesport Cycling Club</t>
  </si>
  <si>
    <t>565</t>
  </si>
  <si>
    <t>Richie Sim</t>
  </si>
  <si>
    <t>Moray Firth Cycling Club</t>
  </si>
  <si>
    <t>566</t>
  </si>
  <si>
    <t>Samuel Tuplin</t>
  </si>
  <si>
    <t>567</t>
  </si>
  <si>
    <t>Daniel Watts</t>
  </si>
  <si>
    <t>568</t>
  </si>
  <si>
    <t>569</t>
  </si>
  <si>
    <t>570</t>
  </si>
  <si>
    <t>Seonaidh Charity</t>
  </si>
  <si>
    <t>571</t>
  </si>
  <si>
    <t>Joshua Curtis</t>
  </si>
  <si>
    <t>Pedalworks Performance Team</t>
  </si>
  <si>
    <t>572</t>
  </si>
  <si>
    <t>573</t>
  </si>
  <si>
    <t>Mark Edwards</t>
  </si>
  <si>
    <t>Reece Egner</t>
  </si>
  <si>
    <t>575</t>
  </si>
  <si>
    <t>Thomas Green</t>
  </si>
  <si>
    <t>576</t>
  </si>
  <si>
    <t>Neil Halliday</t>
  </si>
  <si>
    <t>577</t>
  </si>
  <si>
    <t>Luke Hind</t>
  </si>
  <si>
    <t>578</t>
  </si>
  <si>
    <t>Luke Kingsland</t>
  </si>
  <si>
    <t>579</t>
  </si>
  <si>
    <t>James Maddison</t>
  </si>
  <si>
    <t>580</t>
  </si>
  <si>
    <t>Theodor Obholzer</t>
  </si>
  <si>
    <t>Durham University Cycling Club</t>
  </si>
  <si>
    <t>581</t>
  </si>
  <si>
    <t>Alistair Thornton</t>
  </si>
  <si>
    <t>Anthony White</t>
  </si>
  <si>
    <t>583</t>
  </si>
  <si>
    <t>Matthew Boazman</t>
  </si>
  <si>
    <t>584</t>
  </si>
  <si>
    <t>Luke Bonnett</t>
  </si>
  <si>
    <t>Beeston RC</t>
  </si>
  <si>
    <t>585</t>
  </si>
  <si>
    <t>Stephen Bradbury</t>
  </si>
  <si>
    <t>SwiftCarbon Pro Cycling</t>
  </si>
  <si>
    <t>587</t>
  </si>
  <si>
    <t>Thomas Colley</t>
  </si>
  <si>
    <t>588</t>
  </si>
  <si>
    <t>Stephen Crispin</t>
  </si>
  <si>
    <t>Penge Cycle Club</t>
  </si>
  <si>
    <t>589</t>
  </si>
  <si>
    <t>Simon Dawe</t>
  </si>
  <si>
    <t>Stroud Valley Velos</t>
  </si>
  <si>
    <t>590</t>
  </si>
  <si>
    <t>Peter Hair</t>
  </si>
  <si>
    <t>591</t>
  </si>
  <si>
    <t>Alan Horsburgh</t>
  </si>
  <si>
    <t>Inverness Cycle Club</t>
  </si>
  <si>
    <t>592</t>
  </si>
  <si>
    <t>William Hughes</t>
  </si>
  <si>
    <t>593</t>
  </si>
  <si>
    <t>Daniel Ingham</t>
  </si>
  <si>
    <t>594</t>
  </si>
  <si>
    <t>Stuart Jones</t>
  </si>
  <si>
    <t>Black Country Racing Club</t>
  </si>
  <si>
    <t>595</t>
  </si>
  <si>
    <t>Curtis Maltby</t>
  </si>
  <si>
    <t>596</t>
  </si>
  <si>
    <t>Meirion Rhys</t>
  </si>
  <si>
    <t>597</t>
  </si>
  <si>
    <t>Michael Rogers</t>
  </si>
  <si>
    <t>598</t>
  </si>
  <si>
    <t>Oliver Smee</t>
  </si>
  <si>
    <t>599</t>
  </si>
  <si>
    <t>Colin Smith</t>
  </si>
  <si>
    <t>600</t>
  </si>
  <si>
    <t>Beau Smith</t>
  </si>
  <si>
    <t>601</t>
  </si>
  <si>
    <t>Tony Vickers</t>
  </si>
  <si>
    <t>602</t>
  </si>
  <si>
    <t>Daniel Weale</t>
  </si>
  <si>
    <t>603</t>
  </si>
  <si>
    <t>Stuart Alford</t>
  </si>
  <si>
    <t>Warwick Lanterne Rouge C.C</t>
  </si>
  <si>
    <t>604</t>
  </si>
  <si>
    <t>Rupert Baker</t>
  </si>
  <si>
    <t>605</t>
  </si>
  <si>
    <t>Mike Chatterton</t>
  </si>
  <si>
    <t>606</t>
  </si>
  <si>
    <t>Jonathan Clarke</t>
  </si>
  <si>
    <t>607</t>
  </si>
  <si>
    <t>Ben Dowson</t>
  </si>
  <si>
    <t>608</t>
  </si>
  <si>
    <t>Lester Grant</t>
  </si>
  <si>
    <t>609</t>
  </si>
  <si>
    <t>610</t>
  </si>
  <si>
    <t>Callum Hughes</t>
  </si>
  <si>
    <t>611</t>
  </si>
  <si>
    <t>612</t>
  </si>
  <si>
    <t>Darren Longhurst</t>
  </si>
  <si>
    <t>613</t>
  </si>
  <si>
    <t>Matthew Page</t>
  </si>
  <si>
    <t>614</t>
  </si>
  <si>
    <t>James Paradine</t>
  </si>
  <si>
    <t>615</t>
  </si>
  <si>
    <t>Martin Pearson</t>
  </si>
  <si>
    <t>616</t>
  </si>
  <si>
    <t>617</t>
  </si>
  <si>
    <t>Alex Raynard</t>
  </si>
  <si>
    <t>618</t>
  </si>
  <si>
    <t>Ben Staley</t>
  </si>
  <si>
    <t>619</t>
  </si>
  <si>
    <t>620</t>
  </si>
  <si>
    <t>Lewis Tarnai-Wilson</t>
  </si>
  <si>
    <t>621</t>
  </si>
  <si>
    <t>David Winter</t>
  </si>
  <si>
    <t>622</t>
  </si>
  <si>
    <t>George Armstrong</t>
  </si>
  <si>
    <t>623</t>
  </si>
  <si>
    <t>James Bevan</t>
  </si>
  <si>
    <t>624</t>
  </si>
  <si>
    <t>Chris Bradley</t>
  </si>
  <si>
    <t>625</t>
  </si>
  <si>
    <t>626</t>
  </si>
  <si>
    <t>Gavin Fowler</t>
  </si>
  <si>
    <t>Team Trident</t>
  </si>
  <si>
    <t>627</t>
  </si>
  <si>
    <t>Philip Gleave</t>
  </si>
  <si>
    <t>Congleton CC</t>
  </si>
  <si>
    <t>628</t>
  </si>
  <si>
    <t>Mark Gower</t>
  </si>
  <si>
    <t>629</t>
  </si>
  <si>
    <t>Christopher Hordon</t>
  </si>
  <si>
    <t>Spokes Racing Team</t>
  </si>
  <si>
    <t>630</t>
  </si>
  <si>
    <t>Leon Malpas</t>
  </si>
  <si>
    <t>631</t>
  </si>
  <si>
    <t>James Mapley</t>
  </si>
  <si>
    <t>632</t>
  </si>
  <si>
    <t>Richard Mathie</t>
  </si>
  <si>
    <t>Frank Moore</t>
  </si>
  <si>
    <t>634</t>
  </si>
  <si>
    <t>Kaj Scarsbrook</t>
  </si>
  <si>
    <t>635</t>
  </si>
  <si>
    <t>Ben Scott-Munden</t>
  </si>
  <si>
    <t>636</t>
  </si>
  <si>
    <t>Jonathon Snowden</t>
  </si>
  <si>
    <t>637</t>
  </si>
  <si>
    <t>David Turner</t>
  </si>
  <si>
    <t>638</t>
  </si>
  <si>
    <t>Tavis Walker</t>
  </si>
  <si>
    <t>Velo Club Walcot</t>
  </si>
  <si>
    <t>Ally Anderson</t>
  </si>
  <si>
    <t>dooleys cycles</t>
  </si>
  <si>
    <t>640</t>
  </si>
  <si>
    <t>Donatas Askoldavicius</t>
  </si>
  <si>
    <t>641</t>
  </si>
  <si>
    <t>Alex Ballinger</t>
  </si>
  <si>
    <t>642</t>
  </si>
  <si>
    <t>Alec Bond</t>
  </si>
  <si>
    <t>643</t>
  </si>
  <si>
    <t>Benjamin Colley</t>
  </si>
  <si>
    <t>644</t>
  </si>
  <si>
    <t>Derick Coppola</t>
  </si>
  <si>
    <t>645</t>
  </si>
  <si>
    <t>Stephen Corbyn</t>
  </si>
  <si>
    <t>Scott Davidson</t>
  </si>
  <si>
    <t>647</t>
  </si>
  <si>
    <t>Beranger Fric</t>
  </si>
  <si>
    <t>648</t>
  </si>
  <si>
    <t>Fred Gill</t>
  </si>
  <si>
    <t>Joseph Halloran</t>
  </si>
  <si>
    <t>Cambridge CC</t>
  </si>
  <si>
    <t>650</t>
  </si>
  <si>
    <t>Jack Hartley</t>
  </si>
  <si>
    <t>651</t>
  </si>
  <si>
    <t>Matt Jacobs</t>
  </si>
  <si>
    <t>Plomesgate CC</t>
  </si>
  <si>
    <t>652</t>
  </si>
  <si>
    <t>Thomas Jacques</t>
  </si>
  <si>
    <t>Amicus 13</t>
  </si>
  <si>
    <t>653</t>
  </si>
  <si>
    <t>Craig Joy</t>
  </si>
  <si>
    <t>654</t>
  </si>
  <si>
    <t>Sam Leng</t>
  </si>
  <si>
    <t>AIMS Cycling</t>
  </si>
  <si>
    <t>655</t>
  </si>
  <si>
    <t>Louis Moorehead</t>
  </si>
  <si>
    <t>656</t>
  </si>
  <si>
    <t>Alan Myles</t>
  </si>
  <si>
    <t>657</t>
  </si>
  <si>
    <t>Jonathan Reilly</t>
  </si>
  <si>
    <t>Verulam CC</t>
  </si>
  <si>
    <t>658</t>
  </si>
  <si>
    <t>659</t>
  </si>
  <si>
    <t>Stephen Shawmarsh-Smith</t>
  </si>
  <si>
    <t>RMNC</t>
  </si>
  <si>
    <t>660</t>
  </si>
  <si>
    <t>Kristian Spreckley</t>
  </si>
  <si>
    <t>Element Cycling Team</t>
  </si>
  <si>
    <t>661</t>
  </si>
  <si>
    <t>Mark Stacey</t>
  </si>
  <si>
    <t>662</t>
  </si>
  <si>
    <t>Chris Thomas</t>
  </si>
  <si>
    <t>663</t>
  </si>
  <si>
    <t>Rhys Warburton</t>
  </si>
  <si>
    <t>664</t>
  </si>
  <si>
    <t>Stuart White</t>
  </si>
  <si>
    <t>665</t>
  </si>
  <si>
    <t>Mark Ainsworth</t>
  </si>
  <si>
    <t>666</t>
  </si>
  <si>
    <t>Brett Betts</t>
  </si>
  <si>
    <t>667</t>
  </si>
  <si>
    <t>Mark Botteley</t>
  </si>
  <si>
    <t>668</t>
  </si>
  <si>
    <t>Ben Cavers</t>
  </si>
  <si>
    <t>669</t>
  </si>
  <si>
    <t>670</t>
  </si>
  <si>
    <t>George Edwards</t>
  </si>
  <si>
    <t>Cowley Road Condors</t>
  </si>
  <si>
    <t>671</t>
  </si>
  <si>
    <t>Steffan James</t>
  </si>
  <si>
    <t>672</t>
  </si>
  <si>
    <t>William Makin</t>
  </si>
  <si>
    <t>673</t>
  </si>
  <si>
    <t>James Mcgough</t>
  </si>
  <si>
    <t>674</t>
  </si>
  <si>
    <t>Jamie Murray</t>
  </si>
  <si>
    <t>ActiveEdge Race Team</t>
  </si>
  <si>
    <t>675</t>
  </si>
  <si>
    <t>James Raw</t>
  </si>
  <si>
    <t>Hambleton RC</t>
  </si>
  <si>
    <t>676</t>
  </si>
  <si>
    <t>Rob Shipley</t>
  </si>
  <si>
    <t>Pontypool RCC</t>
  </si>
  <si>
    <t>677</t>
  </si>
  <si>
    <t>Fauxpro.cc</t>
  </si>
  <si>
    <t>678</t>
  </si>
  <si>
    <t>679</t>
  </si>
  <si>
    <t>Rory Webster</t>
  </si>
  <si>
    <t>Ayr Roads Cycling Club</t>
  </si>
  <si>
    <t>680</t>
  </si>
  <si>
    <t>Simon Wright</t>
  </si>
  <si>
    <t>681</t>
  </si>
  <si>
    <t>John Alexander</t>
  </si>
  <si>
    <t>University of Aberdeen</t>
  </si>
  <si>
    <t>682</t>
  </si>
  <si>
    <t>Stuart Archard</t>
  </si>
  <si>
    <t>683</t>
  </si>
  <si>
    <t>Damian Baker</t>
  </si>
  <si>
    <t>684</t>
  </si>
  <si>
    <t>Peter Beisty</t>
  </si>
  <si>
    <t>GS Henley</t>
  </si>
  <si>
    <t>685</t>
  </si>
  <si>
    <t>Michael Boucher</t>
  </si>
  <si>
    <t>686</t>
  </si>
  <si>
    <t>Jason Brooks</t>
  </si>
  <si>
    <t>687</t>
  </si>
  <si>
    <t>688</t>
  </si>
  <si>
    <t>Matthew Burton</t>
  </si>
  <si>
    <t>689</t>
  </si>
  <si>
    <t>James Bush</t>
  </si>
  <si>
    <t>690</t>
  </si>
  <si>
    <t>Thomas Clarke</t>
  </si>
  <si>
    <t>691</t>
  </si>
  <si>
    <t>692</t>
  </si>
  <si>
    <t>Michael Daniels</t>
  </si>
  <si>
    <t>National Ventilation - LSEA CRT</t>
  </si>
  <si>
    <t>693</t>
  </si>
  <si>
    <t>Alexander Dobiecki</t>
  </si>
  <si>
    <t>694</t>
  </si>
  <si>
    <t>Paul Double</t>
  </si>
  <si>
    <t>TEAM COLPACK - CPK</t>
  </si>
  <si>
    <t>696</t>
  </si>
  <si>
    <t>Russell Gordon</t>
  </si>
  <si>
    <t>697</t>
  </si>
  <si>
    <t>Timothy Gould</t>
  </si>
  <si>
    <t>698</t>
  </si>
  <si>
    <t>Henry Gould</t>
  </si>
  <si>
    <t>699</t>
  </si>
  <si>
    <t>Dean Hendry</t>
  </si>
  <si>
    <t>GS Mossa</t>
  </si>
  <si>
    <t>700</t>
  </si>
  <si>
    <t>701</t>
  </si>
  <si>
    <t>Craig Jarratt</t>
  </si>
  <si>
    <t>Michael Johnston</t>
  </si>
  <si>
    <t>703</t>
  </si>
  <si>
    <t>Andrew Lewis-Chaston</t>
  </si>
  <si>
    <t>704</t>
  </si>
  <si>
    <t>Peter Link</t>
  </si>
  <si>
    <t>705</t>
  </si>
  <si>
    <t>Henry Lloydlangston</t>
  </si>
  <si>
    <t>706</t>
  </si>
  <si>
    <t>Taylor Marshall</t>
  </si>
  <si>
    <t>Belper BC</t>
  </si>
  <si>
    <t>707</t>
  </si>
  <si>
    <t>Timothy Maundrell</t>
  </si>
  <si>
    <t>708</t>
  </si>
  <si>
    <t>Levi Moody</t>
  </si>
  <si>
    <t>709</t>
  </si>
  <si>
    <t>Neil Mosgrove</t>
  </si>
  <si>
    <t>710</t>
  </si>
  <si>
    <t>Ryan Palmer</t>
  </si>
  <si>
    <t>Shutt Test Team</t>
  </si>
  <si>
    <t>711</t>
  </si>
  <si>
    <t>Daniel Smith</t>
  </si>
  <si>
    <t>712</t>
  </si>
  <si>
    <t>713</t>
  </si>
  <si>
    <t>Jake Stewart</t>
  </si>
  <si>
    <t>Equipe Cycliste Continentale Groupama-FDJ</t>
  </si>
  <si>
    <t>714</t>
  </si>
  <si>
    <t>Paul Barrett</t>
  </si>
  <si>
    <t>Wearside Triathlon</t>
  </si>
  <si>
    <t>Robert Brown</t>
  </si>
  <si>
    <t>716</t>
  </si>
  <si>
    <t>Scott Chappell</t>
  </si>
  <si>
    <t>718</t>
  </si>
  <si>
    <t>Ian Cliffe</t>
  </si>
  <si>
    <t>719</t>
  </si>
  <si>
    <t>Stuart Davies</t>
  </si>
  <si>
    <t>720</t>
  </si>
  <si>
    <t>Adam Dean</t>
  </si>
  <si>
    <t>721</t>
  </si>
  <si>
    <t>Andrew Haines</t>
  </si>
  <si>
    <t>722</t>
  </si>
  <si>
    <t>Richard Hall</t>
  </si>
  <si>
    <t>Dartford Whls</t>
  </si>
  <si>
    <t>723</t>
  </si>
  <si>
    <t>Julian Howell</t>
  </si>
  <si>
    <t>Gala Cycling Club</t>
  </si>
  <si>
    <t>724</t>
  </si>
  <si>
    <t>Alexander Hutchings</t>
  </si>
  <si>
    <t>Newcastle University Cycling Club</t>
  </si>
  <si>
    <t>725</t>
  </si>
  <si>
    <t>Alex Ioannides</t>
  </si>
  <si>
    <t>726</t>
  </si>
  <si>
    <t>Sam Lashley</t>
  </si>
  <si>
    <t>727</t>
  </si>
  <si>
    <t>Michael Page</t>
  </si>
  <si>
    <t>728</t>
  </si>
  <si>
    <t>Ben Phillips</t>
  </si>
  <si>
    <t>729</t>
  </si>
  <si>
    <t>Ben Pym</t>
  </si>
  <si>
    <t>IRIS Race Team</t>
  </si>
  <si>
    <t>Roy Rowland</t>
  </si>
  <si>
    <t>Velo Schils - Interbike RT</t>
  </si>
  <si>
    <t>731</t>
  </si>
  <si>
    <t>Aidan Scully</t>
  </si>
  <si>
    <t>732</t>
  </si>
  <si>
    <t>Russell Short</t>
  </si>
  <si>
    <t>CHAINGANG Racing Team</t>
  </si>
  <si>
    <t>733</t>
  </si>
  <si>
    <t>Brian Stanley</t>
  </si>
  <si>
    <t>734</t>
  </si>
  <si>
    <t>Michael Stimson</t>
  </si>
  <si>
    <t>Maillot Noir CC</t>
  </si>
  <si>
    <t>735</t>
  </si>
  <si>
    <t>Stephen Stuart</t>
  </si>
  <si>
    <t>736</t>
  </si>
  <si>
    <t>Joshua Van Nierop</t>
  </si>
  <si>
    <t>737</t>
  </si>
  <si>
    <t>Rob Walker</t>
  </si>
  <si>
    <t>738</t>
  </si>
  <si>
    <t>Alan Wylie</t>
  </si>
  <si>
    <t>Amersham Road Cycling Club</t>
  </si>
  <si>
    <t>Paul Lloyd</t>
  </si>
  <si>
    <t>1008</t>
  </si>
  <si>
    <t>949</t>
  </si>
  <si>
    <t>811</t>
  </si>
  <si>
    <t>Tony Fawcett</t>
  </si>
  <si>
    <t>Neil Ellison</t>
  </si>
  <si>
    <t>Specialized Ruislip</t>
  </si>
  <si>
    <t>Mike Simpson</t>
  </si>
  <si>
    <t>Nicholas Whitley</t>
  </si>
  <si>
    <t>Chester RC</t>
  </si>
  <si>
    <t>Crispin Doyle</t>
  </si>
  <si>
    <t>Benjamin Lewis</t>
  </si>
  <si>
    <t>James Allaway</t>
  </si>
  <si>
    <t>Andrew Taylor</t>
  </si>
  <si>
    <t>Simon Burgess</t>
  </si>
  <si>
    <t>Steve Wood</t>
  </si>
  <si>
    <t>Martin Kennedy</t>
  </si>
  <si>
    <t>Oliver Yates</t>
  </si>
  <si>
    <t>Southfork Racing.co.uk</t>
  </si>
  <si>
    <t>James Dear</t>
  </si>
  <si>
    <t>Jonathan Gregory</t>
  </si>
  <si>
    <t>Colin Miller</t>
  </si>
  <si>
    <t>Ride Coventry</t>
  </si>
  <si>
    <t>Jamie Norfolk</t>
  </si>
  <si>
    <t>Simon Snowden</t>
  </si>
  <si>
    <t>Morgan Donnelly</t>
  </si>
  <si>
    <t>Allen Valley Velo</t>
  </si>
  <si>
    <t>Glyndwr Griffiths</t>
  </si>
  <si>
    <t>Bill Bell</t>
  </si>
  <si>
    <t>Bigfoot CC</t>
  </si>
  <si>
    <t>Jason McNulty</t>
  </si>
  <si>
    <t>Simon Loose</t>
  </si>
  <si>
    <t>Dave Allen</t>
  </si>
  <si>
    <t>Shaun Aldous</t>
  </si>
  <si>
    <t>Glenn Davey</t>
  </si>
  <si>
    <t>Matthew Loake</t>
  </si>
  <si>
    <t>Alan Nixon</t>
  </si>
  <si>
    <t>Blumilk.com</t>
  </si>
  <si>
    <t>Dominic Rorke</t>
  </si>
  <si>
    <t>Leigh Mahoney</t>
  </si>
  <si>
    <t>Chris Buchan</t>
  </si>
  <si>
    <t>Matt Holmes</t>
  </si>
  <si>
    <t>Bartlomiej Kieres</t>
  </si>
  <si>
    <t>Stuart Pryce</t>
  </si>
  <si>
    <t>Ryan Harris</t>
  </si>
  <si>
    <t>Geoffrey Lulham</t>
  </si>
  <si>
    <t>Simon Gibbs</t>
  </si>
  <si>
    <t>Simon Stretton</t>
  </si>
  <si>
    <t>Rob Hope</t>
  </si>
  <si>
    <t>Chorley Cycling Club</t>
  </si>
  <si>
    <t>John Russell</t>
  </si>
  <si>
    <t>Dream Cycling</t>
  </si>
  <si>
    <t>Antony Buchan</t>
  </si>
  <si>
    <t>Phillip Craker</t>
  </si>
  <si>
    <t>Ivan Oxborough</t>
  </si>
  <si>
    <t>Paul Robertson</t>
  </si>
  <si>
    <t>Treads Cycle Club - Northampton</t>
  </si>
  <si>
    <t>Richard Knowles</t>
  </si>
  <si>
    <t>Anthony Turner</t>
  </si>
  <si>
    <t>Richard Skinner</t>
  </si>
  <si>
    <t>Philip Deacon</t>
  </si>
  <si>
    <t>Marcus Durant</t>
  </si>
  <si>
    <t>Matthew Lewis</t>
  </si>
  <si>
    <t>Andrew Brindle</t>
  </si>
  <si>
    <t>Kevin Brewer</t>
  </si>
  <si>
    <t>Jason Painton</t>
  </si>
  <si>
    <t>Simon Muir</t>
  </si>
  <si>
    <t>Prima Team Racing</t>
  </si>
  <si>
    <t>Roy Davies</t>
  </si>
  <si>
    <t>Darren Rutterford</t>
  </si>
  <si>
    <t>Andy Hoskins</t>
  </si>
  <si>
    <t>Greg Simcock</t>
  </si>
  <si>
    <t>Rory West</t>
  </si>
  <si>
    <t>Pankhurst Cycles</t>
  </si>
  <si>
    <t>James Carver</t>
  </si>
  <si>
    <t>Bill Nickson</t>
  </si>
  <si>
    <t>Adam Betts</t>
  </si>
  <si>
    <t>Jason Killiner</t>
  </si>
  <si>
    <t>Bradley Tooze</t>
  </si>
  <si>
    <t>Paul Elcock</t>
  </si>
  <si>
    <t>Graeme Cross</t>
  </si>
  <si>
    <t>Philip Simcock</t>
  </si>
  <si>
    <t>Jeremy Addis</t>
  </si>
  <si>
    <t>Kieren Jarratt</t>
  </si>
  <si>
    <t>Andy Hurst</t>
  </si>
  <si>
    <t>Gordon Mackenzie</t>
  </si>
  <si>
    <t>Hors catégorie (HC)</t>
  </si>
  <si>
    <t>George Hackney</t>
  </si>
  <si>
    <t>David Ogden</t>
  </si>
  <si>
    <t>James Bovey</t>
  </si>
  <si>
    <t>Lee Hayward</t>
  </si>
  <si>
    <t>Malcolm Davies</t>
  </si>
  <si>
    <t>Ross Litherland</t>
  </si>
  <si>
    <t>Marc Chamberlain</t>
  </si>
  <si>
    <t>Euan Hamilton-Rigg</t>
  </si>
  <si>
    <t>Chris Mather</t>
  </si>
  <si>
    <t>Mark Calvert</t>
  </si>
  <si>
    <t>James Dalton</t>
  </si>
  <si>
    <t>Nigel Wood</t>
  </si>
  <si>
    <t>Kendal Cycle Club</t>
  </si>
  <si>
    <t>Matthew Crouch</t>
  </si>
  <si>
    <t>Chris Ames</t>
  </si>
  <si>
    <t>Machen Miggly Moos MTB Club</t>
  </si>
  <si>
    <t>Steve Hambling</t>
  </si>
  <si>
    <t>Robert Grimes</t>
  </si>
  <si>
    <t>Matthew Hewis</t>
  </si>
  <si>
    <t>North Devon Wheelers</t>
  </si>
  <si>
    <t>Mike Jackson</t>
  </si>
  <si>
    <t>James Malone</t>
  </si>
  <si>
    <t>Shawn Manning</t>
  </si>
  <si>
    <t>Roger Prior</t>
  </si>
  <si>
    <t>Kevin Heywood</t>
  </si>
  <si>
    <t>Holsworthy Peloton</t>
  </si>
  <si>
    <t>Malcolm Gray</t>
  </si>
  <si>
    <t>Mark Powell</t>
  </si>
  <si>
    <t>Jorge Ribeiro Manso</t>
  </si>
  <si>
    <t>Arwel Davies</t>
  </si>
  <si>
    <t>Mark Perry</t>
  </si>
  <si>
    <t>Kieron Hastings</t>
  </si>
  <si>
    <t>Andy Collis</t>
  </si>
  <si>
    <t>CC Giro</t>
  </si>
  <si>
    <t>Keith Randle</t>
  </si>
  <si>
    <t>Philip Coad</t>
  </si>
  <si>
    <t>Douglas Cameron</t>
  </si>
  <si>
    <t>Andy Edwards</t>
  </si>
  <si>
    <t>Ben Darnton</t>
  </si>
  <si>
    <t>Daniel Baines</t>
  </si>
  <si>
    <t>Hans van Nierop</t>
  </si>
  <si>
    <t>Paul Jones</t>
  </si>
  <si>
    <t>David Spencer</t>
  </si>
  <si>
    <t>Leon Gierat</t>
  </si>
  <si>
    <t>Nick Ashmore</t>
  </si>
  <si>
    <t>Adam Ellis</t>
  </si>
  <si>
    <t>Spalding Cycling Club</t>
  </si>
  <si>
    <t>Tim O'Rourke</t>
  </si>
  <si>
    <t>Imperial Racing Team</t>
  </si>
  <si>
    <t>Timothy Dunford</t>
  </si>
  <si>
    <t>Jeremy Honor</t>
  </si>
  <si>
    <t>Richard Lloyd</t>
  </si>
  <si>
    <t>James Norris</t>
  </si>
  <si>
    <t>SD Cycling Club</t>
  </si>
  <si>
    <t>Paul Lewis</t>
  </si>
  <si>
    <t>David Haygarth</t>
  </si>
  <si>
    <t>John Darroch</t>
  </si>
  <si>
    <t>Gary Howard</t>
  </si>
  <si>
    <t>William Jones</t>
  </si>
  <si>
    <t>Paul Groombridge</t>
  </si>
  <si>
    <t>David Oxberry</t>
  </si>
  <si>
    <t>Pete Dawe</t>
  </si>
  <si>
    <t>Adrian Lawrence</t>
  </si>
  <si>
    <t>Paul White</t>
  </si>
  <si>
    <t>James Mccallum</t>
  </si>
  <si>
    <t>META Bike Division</t>
  </si>
  <si>
    <t>Paul Hamblett</t>
  </si>
  <si>
    <t>Mark Robbins</t>
  </si>
  <si>
    <t>Scunthorpe Polytechnic CC</t>
  </si>
  <si>
    <t>Tim Hyde</t>
  </si>
  <si>
    <t>Graeme Wardale</t>
  </si>
  <si>
    <t>Team Bikestop Tyrekey</t>
  </si>
  <si>
    <t>Daniel Crook</t>
  </si>
  <si>
    <t>Andover Whls</t>
  </si>
  <si>
    <t>Ian Rutherford</t>
  </si>
  <si>
    <t>The Edge Cycleworks</t>
  </si>
  <si>
    <t>Gareth Scott</t>
  </si>
  <si>
    <t>Craig Hardie</t>
  </si>
  <si>
    <t>Paul Colling</t>
  </si>
  <si>
    <t>Andrew Baum</t>
  </si>
  <si>
    <t>Christopher Smith</t>
  </si>
  <si>
    <t>Steve Calland</t>
  </si>
  <si>
    <t>Tristan Ellis</t>
  </si>
  <si>
    <t>Will Hutchins</t>
  </si>
  <si>
    <t>WarVena Racing Team</t>
  </si>
  <si>
    <t>Andrew Martin</t>
  </si>
  <si>
    <t>David Whittle</t>
  </si>
  <si>
    <t>Wayne Barr</t>
  </si>
  <si>
    <t>Velocity 44 RT</t>
  </si>
  <si>
    <t>Kevin Fearnshaw</t>
  </si>
  <si>
    <t>Barbarian Cycling Club</t>
  </si>
  <si>
    <t>Steve Hayward</t>
  </si>
  <si>
    <t>Robert Purcell</t>
  </si>
  <si>
    <t>NVCC</t>
  </si>
  <si>
    <t>Peter Christopher</t>
  </si>
  <si>
    <t>VC10</t>
  </si>
  <si>
    <t>Julian Freeman</t>
  </si>
  <si>
    <t>John Swindells</t>
  </si>
  <si>
    <t>Nathan Thomas</t>
  </si>
  <si>
    <t>David Mitchinson</t>
  </si>
  <si>
    <t>Cinnamon Cafe-Contour Cycles SDRT</t>
  </si>
  <si>
    <t>Steven Whitehurst</t>
  </si>
  <si>
    <t>Dan Blackburn</t>
  </si>
  <si>
    <t>VC Norwich</t>
  </si>
  <si>
    <t>Andrew Larking</t>
  </si>
  <si>
    <t>Sussex Revolution Velo Club</t>
  </si>
  <si>
    <t>Andrew Ramsdale</t>
  </si>
  <si>
    <t>Leisure Lakes Bikes.com</t>
  </si>
  <si>
    <t>Darryl Thomas</t>
  </si>
  <si>
    <t>Andy Jones</t>
  </si>
  <si>
    <t>John Peters</t>
  </si>
  <si>
    <t>Robin Short</t>
  </si>
  <si>
    <t>Richard Edge</t>
  </si>
  <si>
    <t>George Richardson</t>
  </si>
  <si>
    <t>Jonathan Moyle</t>
  </si>
  <si>
    <t>John Woodrow</t>
  </si>
  <si>
    <t>Leon Goodwin</t>
  </si>
  <si>
    <t>Tony McCullagh</t>
  </si>
  <si>
    <t>Darlington CC</t>
  </si>
  <si>
    <t>Glenn Stanford</t>
  </si>
  <si>
    <t>Matt Waters</t>
  </si>
  <si>
    <t>Phillip Bowley</t>
  </si>
  <si>
    <t>Alton CC/Owens Cycles</t>
  </si>
  <si>
    <t>Adam Frewin</t>
  </si>
  <si>
    <t>Hans Forhaug</t>
  </si>
  <si>
    <t>Matt J Smith</t>
  </si>
  <si>
    <t>David Lewis</t>
  </si>
  <si>
    <t>Andrew Watson-Smith</t>
  </si>
  <si>
    <t>Scott Anderson</t>
  </si>
  <si>
    <t>Bryan Holland</t>
  </si>
  <si>
    <t>Mark Shepherd</t>
  </si>
  <si>
    <t>VOST</t>
  </si>
  <si>
    <t>Phil Smith</t>
  </si>
  <si>
    <t>Lakes RC</t>
  </si>
  <si>
    <t>Edward Burkitt</t>
  </si>
  <si>
    <t>Simon Dixey</t>
  </si>
  <si>
    <t>Marcus Nainby</t>
  </si>
  <si>
    <t>WNT Development Team</t>
  </si>
  <si>
    <t>Dylan Bexley</t>
  </si>
  <si>
    <t>Owen Davies</t>
  </si>
  <si>
    <t>Stuart Nisbett</t>
  </si>
  <si>
    <t>Tim Jones</t>
  </si>
  <si>
    <t>Eat Plants Not Pigs CC</t>
  </si>
  <si>
    <t>Jonathan Needham</t>
  </si>
  <si>
    <t>Jonathan Robinson</t>
  </si>
  <si>
    <t>Gavin Slack</t>
  </si>
  <si>
    <t>Paul Bond</t>
  </si>
  <si>
    <t>Glen Turnbull</t>
  </si>
  <si>
    <t>Alan Yule</t>
  </si>
  <si>
    <t>Mark Prinsloo</t>
  </si>
  <si>
    <t>Holmes Chapel Velo</t>
  </si>
  <si>
    <t>Rob Burnham</t>
  </si>
  <si>
    <t>Robert Cross</t>
  </si>
  <si>
    <t>James Wilson</t>
  </si>
  <si>
    <t>Mathew Livesey</t>
  </si>
  <si>
    <t>Neil Mansfield</t>
  </si>
  <si>
    <t>Chris Stewart</t>
  </si>
  <si>
    <t>Chris Annable</t>
  </si>
  <si>
    <t>Claude Binchet</t>
  </si>
  <si>
    <t>Nigel Dilks</t>
  </si>
  <si>
    <t>James Fraser-Moodie</t>
  </si>
  <si>
    <t>Philip Hinchliffe</t>
  </si>
  <si>
    <t>Nick Reese</t>
  </si>
  <si>
    <t>Ludlow Brewery Race Team</t>
  </si>
  <si>
    <t>Martin Smith</t>
  </si>
  <si>
    <t>Robert Wimble</t>
  </si>
  <si>
    <t>Drogon Racing Team</t>
  </si>
  <si>
    <t>Keith Froude</t>
  </si>
  <si>
    <t>Alan Gunner</t>
  </si>
  <si>
    <t>Paul Beattie</t>
  </si>
  <si>
    <t>David Kift</t>
  </si>
  <si>
    <t>BW Cycling</t>
  </si>
  <si>
    <t>Darren Matthews</t>
  </si>
  <si>
    <t>Daniel Di Principe</t>
  </si>
  <si>
    <t>Lee Campbell</t>
  </si>
  <si>
    <t>Glasgow Nightingale CC</t>
  </si>
  <si>
    <t>Daniel James</t>
  </si>
  <si>
    <t>Rupert May</t>
  </si>
  <si>
    <t>Coalville Wheelers CC</t>
  </si>
  <si>
    <t>Christian Nightingale</t>
  </si>
  <si>
    <t>Craig Morris</t>
  </si>
  <si>
    <t>Timothy Peters</t>
  </si>
  <si>
    <t>Horsham Cycling</t>
  </si>
  <si>
    <t>Andrew South</t>
  </si>
  <si>
    <t>GS Avanti</t>
  </si>
  <si>
    <t>Benjamin Bartlett</t>
  </si>
  <si>
    <t>Folkestone Velo Club</t>
  </si>
  <si>
    <t>Benjamin Causon</t>
  </si>
  <si>
    <t>David Griffiths</t>
  </si>
  <si>
    <t>Steven Liddle</t>
  </si>
  <si>
    <t>Luke Bates</t>
  </si>
  <si>
    <t>EH Star Cycling</t>
  </si>
  <si>
    <t>Paul Bird</t>
  </si>
  <si>
    <t>Graham Hollidge</t>
  </si>
  <si>
    <t>Stuart Jackson</t>
  </si>
  <si>
    <t>Christopher Blackmore</t>
  </si>
  <si>
    <t>Keiron Harding</t>
  </si>
  <si>
    <t>Philip Hersey</t>
  </si>
  <si>
    <t>Eagle RC</t>
  </si>
  <si>
    <t>Gerard Scott</t>
  </si>
  <si>
    <t>Tom Bird</t>
  </si>
  <si>
    <t>Phil Mowbray</t>
  </si>
  <si>
    <t>Sam Chatwin</t>
  </si>
  <si>
    <t>Oliver Humphreys</t>
  </si>
  <si>
    <t>Karl Schumacher</t>
  </si>
  <si>
    <t>Jason Barnes</t>
  </si>
  <si>
    <t>Barney Horne</t>
  </si>
  <si>
    <t>Norwich Amateur BC</t>
  </si>
  <si>
    <t>Vincent Mackintosh</t>
  </si>
  <si>
    <t>Austin Smith</t>
  </si>
  <si>
    <t>Malcolm Dines</t>
  </si>
  <si>
    <t>Thomas Hadfield</t>
  </si>
  <si>
    <t>Alan Ramsay</t>
  </si>
  <si>
    <t>Miles Thomas</t>
  </si>
  <si>
    <t>Hart Evolution Racing Team</t>
  </si>
  <si>
    <t>Nick Taylor</t>
  </si>
  <si>
    <t>Michael Hardcastle</t>
  </si>
  <si>
    <t>Matthew Hayden</t>
  </si>
  <si>
    <t>Nick Horder</t>
  </si>
  <si>
    <t>Brett Marcus Ireland</t>
  </si>
  <si>
    <t>Wayne Jones</t>
  </si>
  <si>
    <t>SprocketsUK</t>
  </si>
  <si>
    <t>George Roberts</t>
  </si>
  <si>
    <t>Icarus Racing</t>
  </si>
  <si>
    <t>Antony Ryder</t>
  </si>
  <si>
    <t>Tony Boness</t>
  </si>
  <si>
    <t>Christopher Cooknell</t>
  </si>
  <si>
    <t>Cheddar Cycle Club</t>
  </si>
  <si>
    <t>David Pena</t>
  </si>
  <si>
    <t>Antony Glover</t>
  </si>
  <si>
    <t>Chris Hoggard</t>
  </si>
  <si>
    <t>Anthony Marsh</t>
  </si>
  <si>
    <t>Stephen Gibson</t>
  </si>
  <si>
    <t>James Griffiths</t>
  </si>
  <si>
    <t>Daniel Lewis</t>
  </si>
  <si>
    <t>Raymond Turner</t>
  </si>
  <si>
    <t>Steven Bloor</t>
  </si>
  <si>
    <t>Ashbourne Cycling Club</t>
  </si>
  <si>
    <t>Kevin Belton</t>
  </si>
  <si>
    <t>Moray Cycle Racing Team</t>
  </si>
  <si>
    <t>Edward Catford</t>
  </si>
  <si>
    <t>David Dodsworth</t>
  </si>
  <si>
    <t>Phil Kirby</t>
  </si>
  <si>
    <t>Jared Millar</t>
  </si>
  <si>
    <t>Tony Mills</t>
  </si>
  <si>
    <t>York Cycleworks</t>
  </si>
  <si>
    <t>Richard Bowen</t>
  </si>
  <si>
    <t>Paul Broom</t>
  </si>
  <si>
    <t>Somerset Road Club</t>
  </si>
  <si>
    <t>Warren Drew</t>
  </si>
  <si>
    <t>Jason Hurt</t>
  </si>
  <si>
    <t>Tim Kershaw</t>
  </si>
  <si>
    <t>Ben Martin</t>
  </si>
  <si>
    <t>Garry Russell</t>
  </si>
  <si>
    <t>Matt Steel</t>
  </si>
  <si>
    <t>Shaftesbury CC</t>
  </si>
  <si>
    <t>Robert Blake</t>
  </si>
  <si>
    <t>Andrew Owen</t>
  </si>
  <si>
    <t>Kenilworth Wheelers CC</t>
  </si>
  <si>
    <t>Marcus Spencer</t>
  </si>
  <si>
    <t>Simon Titmuss</t>
  </si>
  <si>
    <t>Trevor Allt</t>
  </si>
  <si>
    <t>Matthew Denny</t>
  </si>
  <si>
    <t>Christian Faires</t>
  </si>
  <si>
    <t>Simon Kenny</t>
  </si>
  <si>
    <t>David Menzies</t>
  </si>
  <si>
    <t>David Reilly</t>
  </si>
  <si>
    <t>Gary Spencer</t>
  </si>
  <si>
    <t>Stuart Harrison</t>
  </si>
  <si>
    <t>Brook Estates Cycling Team</t>
  </si>
  <si>
    <t>David Kent</t>
  </si>
  <si>
    <t>Whitby Wheelers CC</t>
  </si>
  <si>
    <t>Nick Pashley</t>
  </si>
  <si>
    <t>Andrew Stevenson</t>
  </si>
  <si>
    <t>Mark Wood</t>
  </si>
  <si>
    <t>Huw Bendall</t>
  </si>
  <si>
    <t>Tîm Beicio IBE</t>
  </si>
  <si>
    <t>Jason Burkinshaw</t>
  </si>
  <si>
    <t>Steffan Chandler</t>
  </si>
  <si>
    <t>Tim Guy</t>
  </si>
  <si>
    <t>Spencer Laborde</t>
  </si>
  <si>
    <t>Roger Maidment</t>
  </si>
  <si>
    <t>Adrian Read</t>
  </si>
  <si>
    <t>Mega Bike Race Team</t>
  </si>
  <si>
    <t>Magnus Wills</t>
  </si>
  <si>
    <t>Lloyd Bettles</t>
  </si>
  <si>
    <t>Martin Chisholm</t>
  </si>
  <si>
    <t>Paul Davis</t>
  </si>
  <si>
    <t>John Grenfell</t>
  </si>
  <si>
    <t>Bradford on Avon</t>
  </si>
  <si>
    <t>Simon Stockley</t>
  </si>
  <si>
    <t>Westerham Cycling Club</t>
  </si>
  <si>
    <t>John Blunsdon</t>
  </si>
  <si>
    <t>Niall Brown</t>
  </si>
  <si>
    <t>Steve Glass</t>
  </si>
  <si>
    <t>www.Sports-Coaching.com</t>
  </si>
  <si>
    <t>Mark Hudson</t>
  </si>
  <si>
    <t>Ian Marshall</t>
  </si>
  <si>
    <t>Glenn McMenamin</t>
  </si>
  <si>
    <t>Ian Packer</t>
  </si>
  <si>
    <t>Velo Club Montpellier</t>
  </si>
  <si>
    <t>Gethin Howells</t>
  </si>
  <si>
    <t>Dean Mosley</t>
  </si>
  <si>
    <t>Robin Wilmott</t>
  </si>
  <si>
    <t>Paul Anderson</t>
  </si>
  <si>
    <t>David Cocker</t>
  </si>
  <si>
    <t>Sam Long</t>
  </si>
  <si>
    <t>Christian Roberts</t>
  </si>
  <si>
    <t>Seth Smith</t>
  </si>
  <si>
    <t>James Cotty</t>
  </si>
  <si>
    <t>Graham Garnsworthy</t>
  </si>
  <si>
    <t>William Hornby</t>
  </si>
  <si>
    <t>Stephen Jefferies</t>
  </si>
  <si>
    <t>Stuart McGhee</t>
  </si>
  <si>
    <t>Evans Cycles Race Team</t>
  </si>
  <si>
    <t>Stewart Melling</t>
  </si>
  <si>
    <t>Simon Moss</t>
  </si>
  <si>
    <t>Darren Robson</t>
  </si>
  <si>
    <t>Paul Campbell</t>
  </si>
  <si>
    <t>Hull Thursday RC</t>
  </si>
  <si>
    <t>Eddie Halstead</t>
  </si>
  <si>
    <t>Backyardbikeshop.com</t>
  </si>
  <si>
    <t>Philip Hughes</t>
  </si>
  <si>
    <t>William McDonald</t>
  </si>
  <si>
    <t>James Oldroyd</t>
  </si>
  <si>
    <t>Phil Oliver</t>
  </si>
  <si>
    <t>Rutland CC</t>
  </si>
  <si>
    <t>Ricardo Parreirinha</t>
  </si>
  <si>
    <t>Alexander Roger</t>
  </si>
  <si>
    <t>Wesley Soltanpur</t>
  </si>
  <si>
    <t>Daniel Varley</t>
  </si>
  <si>
    <t>David Woodsford</t>
  </si>
  <si>
    <t>Iain Tinsley</t>
  </si>
  <si>
    <t>Darren Armstrong</t>
  </si>
  <si>
    <t>Louis Baker</t>
  </si>
  <si>
    <t>Andrew Brown</t>
  </si>
  <si>
    <t>Jason Clark</t>
  </si>
  <si>
    <t>Adam Robertson</t>
  </si>
  <si>
    <t>Andrew Whiteside</t>
  </si>
  <si>
    <t>Scott Andrew</t>
  </si>
  <si>
    <t>Martin Baisch</t>
  </si>
  <si>
    <t>Berkshire Gregario Racing</t>
  </si>
  <si>
    <t>Matthew Butters</t>
  </si>
  <si>
    <t>Johnathan Dominguez</t>
  </si>
  <si>
    <t>Russ Harland</t>
  </si>
  <si>
    <t>Daniel Hayes</t>
  </si>
  <si>
    <t>Russell Kingston</t>
  </si>
  <si>
    <t>Worcester St Johns CC</t>
  </si>
  <si>
    <t>Paul Maven</t>
  </si>
  <si>
    <t>Alex Pearson</t>
  </si>
  <si>
    <t>Woolwich CC</t>
  </si>
  <si>
    <t>Jamie Town</t>
  </si>
  <si>
    <t>Owen Wilby</t>
  </si>
  <si>
    <t>Stuart Burke</t>
  </si>
  <si>
    <t>45 Road Club</t>
  </si>
  <si>
    <t>Damian Cudmore</t>
  </si>
  <si>
    <t>Tim Draycott</t>
  </si>
  <si>
    <t>Richard Lister</t>
  </si>
  <si>
    <t>Darren Orchard</t>
  </si>
  <si>
    <t>Wessex Road Club</t>
  </si>
  <si>
    <t>Leon Reeves</t>
  </si>
  <si>
    <t>Elbry Sandland</t>
  </si>
  <si>
    <t>Revo Racing</t>
  </si>
  <si>
    <t>Stuart Spies</t>
  </si>
  <si>
    <t>Kevan Findlay</t>
  </si>
  <si>
    <t>Vincent Plosky</t>
  </si>
  <si>
    <t>St Neots CC</t>
  </si>
  <si>
    <t>Martin Richardson</t>
  </si>
  <si>
    <t>Mark Stanley</t>
  </si>
  <si>
    <t>Paul Stockwell</t>
  </si>
  <si>
    <t>West Yorkshire Police CC</t>
  </si>
  <si>
    <t>Carwyn Williams</t>
  </si>
  <si>
    <t>Henry Aarvold</t>
  </si>
  <si>
    <t>Chris Britten</t>
  </si>
  <si>
    <t>Sodbury Cycle Sport</t>
  </si>
  <si>
    <t>John Hines</t>
  </si>
  <si>
    <t>3C Payment sports</t>
  </si>
  <si>
    <t>Damian Kemp</t>
  </si>
  <si>
    <t>Gordon Park</t>
  </si>
  <si>
    <t>NFTO Cycling Club</t>
  </si>
  <si>
    <t>Dennis Randell</t>
  </si>
  <si>
    <t>Chepstow Cycling Club</t>
  </si>
  <si>
    <t>Alan Sanders</t>
  </si>
  <si>
    <t>Matthew Stephenson</t>
  </si>
  <si>
    <t>Daniel Bell</t>
  </si>
  <si>
    <t>Chris Clayton</t>
  </si>
  <si>
    <t>Chris Cornish</t>
  </si>
  <si>
    <t>Mervyn Dempsey</t>
  </si>
  <si>
    <t>Berkhamsted Cycling Club</t>
  </si>
  <si>
    <t>Ian Drake</t>
  </si>
  <si>
    <t>Nicholas English</t>
  </si>
  <si>
    <t>AeroCoach</t>
  </si>
  <si>
    <t>Iain Foulkes</t>
  </si>
  <si>
    <t>Michael Fugaccia</t>
  </si>
  <si>
    <t>Michael Glynn</t>
  </si>
  <si>
    <t>SKCC</t>
  </si>
  <si>
    <t>Mark Gray</t>
  </si>
  <si>
    <t>Darren Haynes</t>
  </si>
  <si>
    <t>Matthew Heathcote</t>
  </si>
  <si>
    <t>Natural RT</t>
  </si>
  <si>
    <t>Fraser Howard</t>
  </si>
  <si>
    <t>Stourbridge Velo</t>
  </si>
  <si>
    <t>Craig Lawson</t>
  </si>
  <si>
    <t>Alastair Little</t>
  </si>
  <si>
    <t>Julian Mann</t>
  </si>
  <si>
    <t>Chris Reed</t>
  </si>
  <si>
    <t>Duncan Rimmer</t>
  </si>
  <si>
    <t>Morden Cycle Racing Club</t>
  </si>
  <si>
    <t>Darren Shaw</t>
  </si>
  <si>
    <t>Martin Stanley</t>
  </si>
  <si>
    <t>Daniel Street</t>
  </si>
  <si>
    <t>Adrian Dalgleish</t>
  </si>
  <si>
    <t>Lune Racing Cycling Club</t>
  </si>
  <si>
    <t>Tim Edwins</t>
  </si>
  <si>
    <t>Enrico Gaoni</t>
  </si>
  <si>
    <t>Kevin Lister</t>
  </si>
  <si>
    <t>John Odell</t>
  </si>
  <si>
    <t>Mark Van Adrichem</t>
  </si>
  <si>
    <t>Edwin Ward</t>
  </si>
  <si>
    <t>Stephen Bradbrook</t>
  </si>
  <si>
    <t>Douglas Bradshaw</t>
  </si>
  <si>
    <t>Lee Coulson</t>
  </si>
  <si>
    <t>Paul Daniels</t>
  </si>
  <si>
    <t>Simon Flatau</t>
  </si>
  <si>
    <t>Bryan Healy</t>
  </si>
  <si>
    <t>Thomas Hinchliffe</t>
  </si>
  <si>
    <t>Anthony Horsley</t>
  </si>
  <si>
    <t>Jason Hynd</t>
  </si>
  <si>
    <t>MTB Guisborough</t>
  </si>
  <si>
    <t>Alan McCaffrey</t>
  </si>
  <si>
    <t>Ross-Shire RCC</t>
  </si>
  <si>
    <t>Ross Mcculloch</t>
  </si>
  <si>
    <t>Angus Menter</t>
  </si>
  <si>
    <t>Ian Munday</t>
  </si>
  <si>
    <t>James Powlesland</t>
  </si>
  <si>
    <t>Max Reuter</t>
  </si>
  <si>
    <t>London Phoenix CC</t>
  </si>
  <si>
    <t>Peter Smith</t>
  </si>
  <si>
    <t>Ian Thomas</t>
  </si>
  <si>
    <t>Paul Tomlinson</t>
  </si>
  <si>
    <t>Jean-Sebastien Vecten</t>
  </si>
  <si>
    <t>Gorilla Firm Racing</t>
  </si>
  <si>
    <t>Steven Bunton</t>
  </si>
  <si>
    <t>Andy Crowther</t>
  </si>
  <si>
    <t>VC Revolution</t>
  </si>
  <si>
    <t>Michael Greaney</t>
  </si>
  <si>
    <t>Stockport Clarion CC</t>
  </si>
  <si>
    <t>Edward Gurney</t>
  </si>
  <si>
    <t>David Hadsley</t>
  </si>
  <si>
    <t>Nicholas Kershaw</t>
  </si>
  <si>
    <t>Keith Law</t>
  </si>
  <si>
    <t>Michael Miach</t>
  </si>
  <si>
    <t>Twickenham CC</t>
  </si>
  <si>
    <t>Malcolm Paterson</t>
  </si>
  <si>
    <t>Damain Pittock</t>
  </si>
  <si>
    <t>Javier Simon</t>
  </si>
  <si>
    <t>Nicholas Smith</t>
  </si>
  <si>
    <t>James Waddington</t>
  </si>
  <si>
    <t>Philip Wilkinson</t>
  </si>
  <si>
    <t>Matthew Wootton</t>
  </si>
  <si>
    <t>Paul Buckley</t>
  </si>
  <si>
    <t>Adam Chamberlin</t>
  </si>
  <si>
    <t>Matthew Eastwood</t>
  </si>
  <si>
    <t>Alistair Fisher</t>
  </si>
  <si>
    <t>Jason Fowler</t>
  </si>
  <si>
    <t>Michael Greaves</t>
  </si>
  <si>
    <t>Gannet CC</t>
  </si>
  <si>
    <t>Garreth Humphries</t>
  </si>
  <si>
    <t>Martin Johnson</t>
  </si>
  <si>
    <t>Maciej Malyszka</t>
  </si>
  <si>
    <t>Velouse Flyers</t>
  </si>
  <si>
    <t>Graeme McBirnie</t>
  </si>
  <si>
    <t>Julian Mills</t>
  </si>
  <si>
    <t>Simon Nurse</t>
  </si>
  <si>
    <t>Christopher Rathbone</t>
  </si>
  <si>
    <t>Steve Rodgers</t>
  </si>
  <si>
    <t>Jeremy Sharland</t>
  </si>
  <si>
    <t>G!RO Race Team</t>
  </si>
  <si>
    <t>Marcus Shields</t>
  </si>
  <si>
    <t>Finn Spicer</t>
  </si>
  <si>
    <t>Chippenham &amp; Dist Whls</t>
  </si>
  <si>
    <t>Stephen Walton</t>
  </si>
  <si>
    <t>Pete Middleton</t>
  </si>
  <si>
    <t>1238</t>
  </si>
  <si>
    <t>1030</t>
  </si>
  <si>
    <t>Philip Roach</t>
  </si>
  <si>
    <t>Team Jewson-M.I.Racing</t>
  </si>
  <si>
    <t>821</t>
  </si>
  <si>
    <t>Mark James</t>
  </si>
  <si>
    <t>794</t>
  </si>
  <si>
    <t>Nigel Gregory</t>
  </si>
  <si>
    <t>Kevin Holloway</t>
  </si>
  <si>
    <t>GS Vecchi</t>
  </si>
  <si>
    <t>Grant Johnson</t>
  </si>
  <si>
    <t>Darren Atkins</t>
  </si>
  <si>
    <t>Andrew Peace</t>
  </si>
  <si>
    <t>Ian Jeremiah</t>
  </si>
  <si>
    <t>Stephen Knight</t>
  </si>
  <si>
    <t>Rob Watson</t>
  </si>
  <si>
    <t>Timothy Davies</t>
  </si>
  <si>
    <t>Ian Newby</t>
  </si>
  <si>
    <t>Philip Boarer</t>
  </si>
  <si>
    <t>Jon Lyons</t>
  </si>
  <si>
    <t>Richard John</t>
  </si>
  <si>
    <t>Leon Field</t>
  </si>
  <si>
    <t>Jeremy Parsons</t>
  </si>
  <si>
    <t>Brighton Excelsior CC</t>
  </si>
  <si>
    <t>John Elwell</t>
  </si>
  <si>
    <t>Ian Knights</t>
  </si>
  <si>
    <t>Mick Style</t>
  </si>
  <si>
    <t>Tim Carpenter</t>
  </si>
  <si>
    <t>Bill Kay</t>
  </si>
  <si>
    <t>Sean Beswick</t>
  </si>
  <si>
    <t>Stuart Evans</t>
  </si>
  <si>
    <t>Nigel Smith</t>
  </si>
  <si>
    <t>Jonathan Hall</t>
  </si>
  <si>
    <t>Nick Baldwin</t>
  </si>
  <si>
    <t>Somer Valley CC</t>
  </si>
  <si>
    <t>Martyn Dymond</t>
  </si>
  <si>
    <t>Philip Murrell</t>
  </si>
  <si>
    <t>Andrew Cracknell</t>
  </si>
  <si>
    <t>Lewis King</t>
  </si>
  <si>
    <t>Gary McCrae</t>
  </si>
  <si>
    <t>Shaun Green</t>
  </si>
  <si>
    <t>Stonehenge Triathlon and Road</t>
  </si>
  <si>
    <t>Dave Copland</t>
  </si>
  <si>
    <t>Adrian Lyons</t>
  </si>
  <si>
    <t>Andrew Johnston</t>
  </si>
  <si>
    <t>Brian Johnson</t>
  </si>
  <si>
    <t>Roy Chamberlain</t>
  </si>
  <si>
    <t>Stephen Wilkinson</t>
  </si>
  <si>
    <t>Jimmy Piper</t>
  </si>
  <si>
    <t>Mark Mullender</t>
  </si>
  <si>
    <t>Russell Bayliss</t>
  </si>
  <si>
    <t>Jez Hart</t>
  </si>
  <si>
    <t>Stephen Walker</t>
  </si>
  <si>
    <t>Trent Valley Road Club</t>
  </si>
  <si>
    <t>James Melville</t>
  </si>
  <si>
    <t>Grant Hughes-Dowdle</t>
  </si>
  <si>
    <t>Mike Williams</t>
  </si>
  <si>
    <t>Nigel Dykes</t>
  </si>
  <si>
    <t>Lancaster CC</t>
  </si>
  <si>
    <t>Richard House</t>
  </si>
  <si>
    <t>Chris Hutchings</t>
  </si>
  <si>
    <t>David Hobbs</t>
  </si>
  <si>
    <t>Paul Caton</t>
  </si>
  <si>
    <t>John McGrath</t>
  </si>
  <si>
    <t>Richard Taylor</t>
  </si>
  <si>
    <t>Gareth Highley</t>
  </si>
  <si>
    <t>Richard Lewis</t>
  </si>
  <si>
    <t>Russell Jones</t>
  </si>
  <si>
    <t>Matt Ingram</t>
  </si>
  <si>
    <t>George Higgs</t>
  </si>
  <si>
    <t>Sam Phillips</t>
  </si>
  <si>
    <t>Michael Murray</t>
  </si>
  <si>
    <t>Neil Taylor</t>
  </si>
  <si>
    <t>Gary Hobbs</t>
  </si>
  <si>
    <t>Gary Strickland</t>
  </si>
  <si>
    <t>Charles Warren</t>
  </si>
  <si>
    <t>Kyle Martin</t>
  </si>
  <si>
    <t>Bruce Mackie</t>
  </si>
  <si>
    <t>Aberdeen Wheelers Cycling Club</t>
  </si>
  <si>
    <t>Patrick Foley</t>
  </si>
  <si>
    <t>Carl Bullingham</t>
  </si>
  <si>
    <t>Kevin Payton</t>
  </si>
  <si>
    <t>Andrew Stokes</t>
  </si>
  <si>
    <t>Michael Bowen</t>
  </si>
  <si>
    <t>Transition Race Team</t>
  </si>
  <si>
    <t>Glenn Coltman</t>
  </si>
  <si>
    <t>Peter Fielding-Smith</t>
  </si>
  <si>
    <t>John Jones</t>
  </si>
  <si>
    <t>Robert Waller</t>
  </si>
  <si>
    <t>Graham How</t>
  </si>
  <si>
    <t>Anthony Matthews</t>
  </si>
  <si>
    <t>Paul Byford</t>
  </si>
  <si>
    <t>Jim Davies</t>
  </si>
  <si>
    <t>Keswick Bikes - KMB</t>
  </si>
  <si>
    <t>Thomas Bardgett</t>
  </si>
  <si>
    <t>Thomas Gordon</t>
  </si>
  <si>
    <t>Neil Raitt</t>
  </si>
  <si>
    <t>Angus Bike Chain</t>
  </si>
  <si>
    <t>Peter Goy</t>
  </si>
  <si>
    <t>Ross Porter</t>
  </si>
  <si>
    <t>Cwmcarn Paragon Cycle Club</t>
  </si>
  <si>
    <t>Christopher Green</t>
  </si>
  <si>
    <t>Nicholas Helsing</t>
  </si>
  <si>
    <t>Simon Patton</t>
  </si>
  <si>
    <t>Jonathan Marshall</t>
  </si>
  <si>
    <t>Robin Myers</t>
  </si>
  <si>
    <t>Hamsterley Trailblazers</t>
  </si>
  <si>
    <t>Keith Siddle</t>
  </si>
  <si>
    <t>Ben Paton</t>
  </si>
  <si>
    <t>Mark Booth</t>
  </si>
  <si>
    <t>Steve Smith</t>
  </si>
  <si>
    <t>Victor Allan</t>
  </si>
  <si>
    <t>Stephen Crawford</t>
  </si>
  <si>
    <t>John Cordner</t>
  </si>
  <si>
    <t>John Docker</t>
  </si>
  <si>
    <t>Alan Green</t>
  </si>
  <si>
    <t>Chris Taylor</t>
  </si>
  <si>
    <t>Jan Kardasz</t>
  </si>
  <si>
    <t>Fibrax Wrexham Roads Club</t>
  </si>
  <si>
    <t>Pascal Arnoux</t>
  </si>
  <si>
    <t>Paul Douglas</t>
  </si>
  <si>
    <t>Paul Sinclair</t>
  </si>
  <si>
    <t>Richard Muchmore</t>
  </si>
  <si>
    <t>Gary Webber</t>
  </si>
  <si>
    <t>Paul Davies</t>
  </si>
  <si>
    <t>Clive Mitchell Cycles</t>
  </si>
  <si>
    <t>Gary Milton</t>
  </si>
  <si>
    <t>Simon Hime</t>
  </si>
  <si>
    <t>Sean Hoban</t>
  </si>
  <si>
    <t>Velo Club Cumbria</t>
  </si>
  <si>
    <t>Martyn Hughes-Dowdle</t>
  </si>
  <si>
    <t>Robert Allen</t>
  </si>
  <si>
    <t>Richard Collins</t>
  </si>
  <si>
    <t>Paul Conneely</t>
  </si>
  <si>
    <t>Graeme Gow</t>
  </si>
  <si>
    <t>Donald Gray</t>
  </si>
  <si>
    <t>Andrew Powers</t>
  </si>
  <si>
    <t>Paul Champness</t>
  </si>
  <si>
    <t>Peter Farrell</t>
  </si>
  <si>
    <t>East Coast Riders</t>
  </si>
  <si>
    <t>Andrew Granger</t>
  </si>
  <si>
    <t>Steve Nicholson</t>
  </si>
  <si>
    <t>Andrew Seltzer</t>
  </si>
  <si>
    <t>In-Gear</t>
  </si>
  <si>
    <t>Adrian Healey</t>
  </si>
  <si>
    <t>Stephen Whitehouse</t>
  </si>
  <si>
    <t>John McDowall</t>
  </si>
  <si>
    <t>Dermot Mckee</t>
  </si>
  <si>
    <t>Pedalsport Cycling Club</t>
  </si>
  <si>
    <t>Stuart Gillies</t>
  </si>
  <si>
    <t>Stephen Jones</t>
  </si>
  <si>
    <t>Martin Peace</t>
  </si>
  <si>
    <t>Mark Sutton</t>
  </si>
  <si>
    <t>Michael Aspey</t>
  </si>
  <si>
    <t>Jeff Roberts</t>
  </si>
  <si>
    <t>Roger Chamberlain</t>
  </si>
  <si>
    <t>Richard Noble</t>
  </si>
  <si>
    <t>Tyne&amp;Wear Fire&amp;Rescue CC</t>
  </si>
  <si>
    <t>Stephen De Boltz</t>
  </si>
  <si>
    <t>XRT - Elmy Cycles</t>
  </si>
  <si>
    <t>Paul Gibbs</t>
  </si>
  <si>
    <t>Alan Parsons</t>
  </si>
  <si>
    <t>Peter Busby</t>
  </si>
  <si>
    <t>Adrian Brown</t>
  </si>
  <si>
    <t>Shaun Campling</t>
  </si>
  <si>
    <t>Matthew Camps</t>
  </si>
  <si>
    <t>Bridport CC</t>
  </si>
  <si>
    <t>Nigel Jones</t>
  </si>
  <si>
    <t>Steve Coombs</t>
  </si>
  <si>
    <t>Nick Davy</t>
  </si>
  <si>
    <t>Joseph Heywood</t>
  </si>
  <si>
    <t>Stephen Bottomley</t>
  </si>
  <si>
    <t>Peter Bromwich</t>
  </si>
  <si>
    <t>Craig Tabiner</t>
  </si>
  <si>
    <t>Roger Flury</t>
  </si>
  <si>
    <t>John Polak</t>
  </si>
  <si>
    <t>David Brown</t>
  </si>
  <si>
    <t>Steven Jenkyn</t>
  </si>
  <si>
    <t>Andrew Prince</t>
  </si>
  <si>
    <t>Dave Dalton</t>
  </si>
  <si>
    <t>Simon Pateman</t>
  </si>
  <si>
    <t>Jeffrey Rees</t>
  </si>
  <si>
    <t>John Wilkinson</t>
  </si>
  <si>
    <t>Moonglu CC</t>
  </si>
  <si>
    <t>John Murfin</t>
  </si>
  <si>
    <t>Paul Hudson</t>
  </si>
  <si>
    <t>Kevin Dunster</t>
  </si>
  <si>
    <t>Brecon Wheelers</t>
  </si>
  <si>
    <t>Paul Driver</t>
  </si>
  <si>
    <t>Lee Edmonds</t>
  </si>
  <si>
    <t>Mercedes AMG PETRONAS</t>
  </si>
  <si>
    <t>Mike Giles</t>
  </si>
  <si>
    <t>Keith Sheridan</t>
  </si>
  <si>
    <t>Paul Wilson</t>
  </si>
  <si>
    <t>Shaun Williams</t>
  </si>
  <si>
    <t>Abellio - SFA Racing Team</t>
  </si>
  <si>
    <t>Anthony Dyment</t>
  </si>
  <si>
    <t>North Hampshire RC</t>
  </si>
  <si>
    <t>Paul Moss</t>
  </si>
  <si>
    <t>Mark Remon</t>
  </si>
  <si>
    <t>Christopher Ware</t>
  </si>
  <si>
    <t>Lincsquad (Quadrathlon Club)</t>
  </si>
  <si>
    <t>David Collins</t>
  </si>
  <si>
    <t>Paul Watson</t>
  </si>
  <si>
    <t>Adrian Parry</t>
  </si>
  <si>
    <t>Paul James</t>
  </si>
  <si>
    <t>Michael Vaughan</t>
  </si>
  <si>
    <t>Mike Vaughan Cycles</t>
  </si>
  <si>
    <t>Kevin Hayward</t>
  </si>
  <si>
    <t>Jake Jakobson</t>
  </si>
  <si>
    <t>Mike Deeney</t>
  </si>
  <si>
    <t>Simon Scarsbrook</t>
  </si>
  <si>
    <t>Colin Shearer</t>
  </si>
  <si>
    <t>Ian Kendall</t>
  </si>
  <si>
    <t>David Smith</t>
  </si>
  <si>
    <t>Mike Young</t>
  </si>
  <si>
    <t>Jonathan Gall</t>
  </si>
  <si>
    <t>Clevedon &amp; District RC</t>
  </si>
  <si>
    <t>Ned Potter</t>
  </si>
  <si>
    <t>Nicholas Beech</t>
  </si>
  <si>
    <t>Paul Crapper</t>
  </si>
  <si>
    <t>Alistair Dow</t>
  </si>
  <si>
    <t>Rich Cutsforth</t>
  </si>
  <si>
    <t>Paul Neville</t>
  </si>
  <si>
    <t>John Wood</t>
  </si>
  <si>
    <t>David Coghill</t>
  </si>
  <si>
    <t>Nigel Holl</t>
  </si>
  <si>
    <t>John Buchan</t>
  </si>
  <si>
    <t>David Jennaway</t>
  </si>
  <si>
    <t>Kenny Kentley</t>
  </si>
  <si>
    <t>Hamish Scott</t>
  </si>
  <si>
    <t>Jonathon Bister</t>
  </si>
  <si>
    <t>Simon Charlesworth</t>
  </si>
  <si>
    <t>Colin Woollard</t>
  </si>
  <si>
    <t>Ashford Whlrs CC</t>
  </si>
  <si>
    <t>Andy Collins</t>
  </si>
  <si>
    <t>Mark Watson</t>
  </si>
  <si>
    <t>Stephen Blackmore</t>
  </si>
  <si>
    <t>Gordon Chisholm</t>
  </si>
  <si>
    <t>Philip Connell</t>
  </si>
  <si>
    <t>Stephen Brown</t>
  </si>
  <si>
    <t>Andy Clapham</t>
  </si>
  <si>
    <t>OVB</t>
  </si>
  <si>
    <t>Craig Wilson</t>
  </si>
  <si>
    <t>Meudon Pedal Heaven Le Col RT</t>
  </si>
  <si>
    <t>Simon Davis</t>
  </si>
  <si>
    <t>Anthony Grey</t>
  </si>
  <si>
    <t>Robert Tutt</t>
  </si>
  <si>
    <t>Charles Codrington</t>
  </si>
  <si>
    <t>Simon Croft</t>
  </si>
  <si>
    <t>Andy Jukes</t>
  </si>
  <si>
    <t>Fraser Tait</t>
  </si>
  <si>
    <t>David Garrett</t>
  </si>
  <si>
    <t>Rugby Velo</t>
  </si>
  <si>
    <t>Graham Steward</t>
  </si>
  <si>
    <t>Kevin Bodley</t>
  </si>
  <si>
    <t>Barry McGuire</t>
  </si>
  <si>
    <t>Keith Ashbridge</t>
  </si>
  <si>
    <t>Anthony Donaldson</t>
  </si>
  <si>
    <t>Velolife</t>
  </si>
  <si>
    <t>Brian Mccutcheon</t>
  </si>
  <si>
    <t>Walkers Cycling Club</t>
  </si>
  <si>
    <t>Calvin Price</t>
  </si>
  <si>
    <t>Simon Bell</t>
  </si>
  <si>
    <t>Clive Evans</t>
  </si>
  <si>
    <t>Andrew Strathdee</t>
  </si>
  <si>
    <t>Mark Langley</t>
  </si>
  <si>
    <t>Edward Sarmiento</t>
  </si>
  <si>
    <t>Charles Gray</t>
  </si>
  <si>
    <t>Chris Lee</t>
  </si>
  <si>
    <t>Mike Mooney</t>
  </si>
  <si>
    <t>Dave Phillips</t>
  </si>
  <si>
    <t>Chris Bracewell</t>
  </si>
  <si>
    <t>Dominic Laval</t>
  </si>
  <si>
    <t>Stewart Coates</t>
  </si>
  <si>
    <t>Andrew Edmond</t>
  </si>
  <si>
    <t>Ashburn Wealth</t>
  </si>
  <si>
    <t>Andrew Kitchin</t>
  </si>
  <si>
    <t>Roger May</t>
  </si>
  <si>
    <t>Brian Primett</t>
  </si>
  <si>
    <t>Nick Salter</t>
  </si>
  <si>
    <t>Histon &amp; Impington Bicycle Club</t>
  </si>
  <si>
    <t>Dominic Watts</t>
  </si>
  <si>
    <t>VeloViewer</t>
  </si>
  <si>
    <t>Paul Horta-Hopkins</t>
  </si>
  <si>
    <t>Handsling Racing</t>
  </si>
  <si>
    <t>Adam Sangster</t>
  </si>
  <si>
    <t>Clive Sharman</t>
  </si>
  <si>
    <t>Montvelo CC</t>
  </si>
  <si>
    <t>Steve Shepherd</t>
  </si>
  <si>
    <t>Mark Ashurst</t>
  </si>
  <si>
    <t>Gregory Slater</t>
  </si>
  <si>
    <t>Dion Thomas</t>
  </si>
  <si>
    <t>Sean Davey</t>
  </si>
  <si>
    <t>Newport Phoenix CC</t>
  </si>
  <si>
    <t>Brian Handley</t>
  </si>
  <si>
    <t>Craig Tindall</t>
  </si>
  <si>
    <t>Tex Lord</t>
  </si>
  <si>
    <t>Franco Porco</t>
  </si>
  <si>
    <t>James Anderson</t>
  </si>
  <si>
    <t>Richard Binks</t>
  </si>
  <si>
    <t>Jonathan Watson</t>
  </si>
  <si>
    <t>Mark Barnett</t>
  </si>
  <si>
    <t>Graham Bryce</t>
  </si>
  <si>
    <t>Dave Cherry</t>
  </si>
  <si>
    <t>David Hogg</t>
  </si>
  <si>
    <t>Konrad Manning</t>
  </si>
  <si>
    <t>Terry Smith</t>
  </si>
  <si>
    <t>Simon Beldon</t>
  </si>
  <si>
    <t>Team Bottrill</t>
  </si>
  <si>
    <t>Mark Deakin</t>
  </si>
  <si>
    <t>Adrian Hawkins</t>
  </si>
  <si>
    <t>Tim Hutchinson</t>
  </si>
  <si>
    <t>Andy Webb</t>
  </si>
  <si>
    <t>Craige Goodson</t>
  </si>
  <si>
    <t>Robert Palmer</t>
  </si>
  <si>
    <t>Gareth Buddo</t>
  </si>
  <si>
    <t>Cycle Heaven</t>
  </si>
  <si>
    <t>Mark Goulsbra</t>
  </si>
  <si>
    <t>Greg Vallance</t>
  </si>
  <si>
    <t>Cheshire Maverick CC</t>
  </si>
  <si>
    <t>Marcus Boret</t>
  </si>
  <si>
    <t>David Gamble</t>
  </si>
  <si>
    <t>Bury Clarion Cycling Club</t>
  </si>
  <si>
    <t>Scott Heyhoe</t>
  </si>
  <si>
    <t>David Jackson</t>
  </si>
  <si>
    <t>Lee King</t>
  </si>
  <si>
    <t>Michael Leaney</t>
  </si>
  <si>
    <t>Colin Murray</t>
  </si>
  <si>
    <t>Robin Murray</t>
  </si>
  <si>
    <t>Gary Brooks</t>
  </si>
  <si>
    <t>Torquil Clyde</t>
  </si>
  <si>
    <t>Orkney Cycling Club</t>
  </si>
  <si>
    <t>Kevin Darragh</t>
  </si>
  <si>
    <t>Alistair Hardy</t>
  </si>
  <si>
    <t>Cheltenham &amp; County Cycling Club</t>
  </si>
  <si>
    <t>Roy Jones</t>
  </si>
  <si>
    <t>Simon Jones</t>
  </si>
  <si>
    <t>Paul Julien</t>
  </si>
  <si>
    <t>Paul Steadman</t>
  </si>
  <si>
    <t>Patrick Stokes</t>
  </si>
  <si>
    <t>Steven Edwards</t>
  </si>
  <si>
    <t>Geoffrey Garnham</t>
  </si>
  <si>
    <t>Grant McDiarmid</t>
  </si>
  <si>
    <t>Robert Nicholson</t>
  </si>
  <si>
    <t>Classic Racing Team</t>
  </si>
  <si>
    <t>Graham Pentney</t>
  </si>
  <si>
    <t>Greenwich Tritons</t>
  </si>
  <si>
    <t>Martin Shapland</t>
  </si>
  <si>
    <t>Michael Stegeman</t>
  </si>
  <si>
    <t>Jeremy Toy</t>
  </si>
  <si>
    <t>Dundee Wheelers CC</t>
  </si>
  <si>
    <t>Jeremy Eastham</t>
  </si>
  <si>
    <t>Steve James</t>
  </si>
  <si>
    <t>Nicholas Vipond</t>
  </si>
  <si>
    <t>Derek Billham</t>
  </si>
  <si>
    <t>North Tyneside Riders</t>
  </si>
  <si>
    <t>Steve Boyd</t>
  </si>
  <si>
    <t>Ian Chatten</t>
  </si>
  <si>
    <t>Push Sport / Barford Van Hire</t>
  </si>
  <si>
    <t>Stephen Clayton</t>
  </si>
  <si>
    <t>Craig Dyce</t>
  </si>
  <si>
    <t>Neil McLaughlin</t>
  </si>
  <si>
    <t>Martin ONeill</t>
  </si>
  <si>
    <t>Guy Pearson</t>
  </si>
  <si>
    <t>Harvey Levann</t>
  </si>
  <si>
    <t>David Linsley</t>
  </si>
  <si>
    <t>Martin Backes</t>
  </si>
  <si>
    <t>Gary Beall</t>
  </si>
  <si>
    <t>Richard Bremner</t>
  </si>
  <si>
    <t>Jon Friend</t>
  </si>
  <si>
    <t>Tim Howcroft</t>
  </si>
  <si>
    <t>Paul Loosemore</t>
  </si>
  <si>
    <t>Team Striking Bikes</t>
  </si>
  <si>
    <t>Craig MacWilliam</t>
  </si>
  <si>
    <t>RC Cumbernauld &amp; Kilsyth</t>
  </si>
  <si>
    <t>Alastair Scott</t>
  </si>
  <si>
    <t>Martin Vesty</t>
  </si>
  <si>
    <t>Chevin Cycles.com Trek</t>
  </si>
  <si>
    <t>John Wright</t>
  </si>
  <si>
    <t>Wakefield CC</t>
  </si>
  <si>
    <t>David Baird</t>
  </si>
  <si>
    <t>Loudoun RC</t>
  </si>
  <si>
    <t>Ian Bradley</t>
  </si>
  <si>
    <t>Tom Nicholson</t>
  </si>
  <si>
    <t>Ian Robson</t>
  </si>
  <si>
    <t>Michael Townend</t>
  </si>
  <si>
    <t>Mike Carden</t>
  </si>
  <si>
    <t>Paul Carpenter</t>
  </si>
  <si>
    <t>Neil James</t>
  </si>
  <si>
    <t>Dorking Cycling Club</t>
  </si>
  <si>
    <t>Andy O'Regan</t>
  </si>
  <si>
    <t>Martin Rowark</t>
  </si>
  <si>
    <t>Simon Bowler</t>
  </si>
  <si>
    <t>Jonathan Groves</t>
  </si>
  <si>
    <t>Matthew Hartley</t>
  </si>
  <si>
    <t>Darren Parsons</t>
  </si>
  <si>
    <t>Pro Vision Cycle Clothing</t>
  </si>
  <si>
    <t>John Phillips</t>
  </si>
  <si>
    <t>Euan Ritchie</t>
  </si>
  <si>
    <t>Carnoustie Cycling Club</t>
  </si>
  <si>
    <t>Roland Tilley</t>
  </si>
  <si>
    <t>Willie Webster</t>
  </si>
  <si>
    <t>Gideon Aroussi</t>
  </si>
  <si>
    <t>Simon Bills</t>
  </si>
  <si>
    <t>Richard Cheetham</t>
  </si>
  <si>
    <t>Martin Edmonds</t>
  </si>
  <si>
    <t>Cameron Gray</t>
  </si>
  <si>
    <t>Paul Hewitt</t>
  </si>
  <si>
    <t>Matt Reynolds</t>
  </si>
  <si>
    <t>Gareth Richards</t>
  </si>
  <si>
    <t>Andrew Auburn</t>
  </si>
  <si>
    <t>Sean Bell</t>
  </si>
  <si>
    <t>Jay Chisnall</t>
  </si>
  <si>
    <t>Richard Dean</t>
  </si>
  <si>
    <t>Peter Hall</t>
  </si>
  <si>
    <t>Adrian Hoyle</t>
  </si>
  <si>
    <t>Gavin Sykes</t>
  </si>
  <si>
    <t>Anthony Taylor</t>
  </si>
  <si>
    <t>James Tredray</t>
  </si>
  <si>
    <t>Keith Bidwell</t>
  </si>
  <si>
    <t>Garry Blackmore</t>
  </si>
  <si>
    <t>Ian Brown</t>
  </si>
  <si>
    <t>Andrew King</t>
  </si>
  <si>
    <t>Allan Maclean</t>
  </si>
  <si>
    <t>VC Glasgow South</t>
  </si>
  <si>
    <t>Martin O'Brien</t>
  </si>
  <si>
    <t>Howard Perkins</t>
  </si>
  <si>
    <t>Edward Baldwin</t>
  </si>
  <si>
    <t>Seamons CC</t>
  </si>
  <si>
    <t>Christopher Clark</t>
  </si>
  <si>
    <t>Jim Foulis</t>
  </si>
  <si>
    <t>Mark Gibbs</t>
  </si>
  <si>
    <t>Newmarket Cycling &amp;Triathlon Club</t>
  </si>
  <si>
    <t>Julian Gould</t>
  </si>
  <si>
    <t>Martin Hillier</t>
  </si>
  <si>
    <t>David Martin</t>
  </si>
  <si>
    <t>Paul Milner</t>
  </si>
  <si>
    <t>Stevenage CC</t>
  </si>
  <si>
    <t>Matt Norris</t>
  </si>
  <si>
    <t>Banbury Star CC</t>
  </si>
  <si>
    <t>Graham Prentice</t>
  </si>
  <si>
    <t>James Rimmer</t>
  </si>
  <si>
    <t>Steven Smales</t>
  </si>
  <si>
    <t>Onimpex Bioracer RT</t>
  </si>
  <si>
    <t>Brian Tear</t>
  </si>
  <si>
    <t>Timothy Bailey</t>
  </si>
  <si>
    <t>Daniel Doncaster</t>
  </si>
  <si>
    <t>Matthew Foote</t>
  </si>
  <si>
    <t>Steve Macluskie</t>
  </si>
  <si>
    <t>Stuart Neilson</t>
  </si>
  <si>
    <t>Deal Tri</t>
  </si>
  <si>
    <t>Andreas Quansah</t>
  </si>
  <si>
    <t>Sean Quarmby</t>
  </si>
  <si>
    <t>David Riley</t>
  </si>
  <si>
    <t>Geoff Robinson</t>
  </si>
  <si>
    <t>Team Lusso</t>
  </si>
  <si>
    <t>David Anderson</t>
  </si>
  <si>
    <t>Stephen Croggon</t>
  </si>
  <si>
    <t>Peter Dukes</t>
  </si>
  <si>
    <t>Richard Franklin</t>
  </si>
  <si>
    <t>Rob Haddock</t>
  </si>
  <si>
    <t>Mark Hardwicke</t>
  </si>
  <si>
    <t>Bournemouth Arrow</t>
  </si>
  <si>
    <t>Mark Hunter</t>
  </si>
  <si>
    <t>Emmeric Hurault</t>
  </si>
  <si>
    <t>Alan Kingshott</t>
  </si>
  <si>
    <t>Mark Mather</t>
  </si>
  <si>
    <t>Ferryhill Wheelers CC</t>
  </si>
  <si>
    <t>Craig Moody</t>
  </si>
  <si>
    <t>3RT</t>
  </si>
  <si>
    <t>Jackie Murray</t>
  </si>
  <si>
    <t>Michael Scott</t>
  </si>
  <si>
    <t>Paul Sleaford</t>
  </si>
  <si>
    <t>Norton Wheelers</t>
  </si>
  <si>
    <t>Philip Watkins</t>
  </si>
  <si>
    <t>North Norfolk Wheelers CC</t>
  </si>
  <si>
    <t>Simon Whitham</t>
  </si>
  <si>
    <t>Dave McMullen</t>
  </si>
  <si>
    <t>Peter Harris</t>
  </si>
  <si>
    <t>Pearce Cycles RT</t>
  </si>
  <si>
    <t>Michael Davies</t>
  </si>
  <si>
    <t>Chris Watts</t>
  </si>
  <si>
    <t>Peter Turner</t>
  </si>
  <si>
    <t>John Galway</t>
  </si>
  <si>
    <t>Chris Wreghitt</t>
  </si>
  <si>
    <t>Second Wind</t>
  </si>
  <si>
    <t>Malcolm Cross</t>
  </si>
  <si>
    <t>Kirby Bennett</t>
  </si>
  <si>
    <t>Robin Delve</t>
  </si>
  <si>
    <t>Roy Hunt</t>
  </si>
  <si>
    <t>Team Kinesis UK</t>
  </si>
  <si>
    <t>Barry Kipling</t>
  </si>
  <si>
    <t>Gary Rowing-Parker</t>
  </si>
  <si>
    <t>Joseph Rowe</t>
  </si>
  <si>
    <t>Bush Healthcare CRT</t>
  </si>
  <si>
    <t>Brian Gough</t>
  </si>
  <si>
    <t>Southport CC</t>
  </si>
  <si>
    <t>Timothy Beachill</t>
  </si>
  <si>
    <t>David Robinson</t>
  </si>
  <si>
    <t>Philip Stokes</t>
  </si>
  <si>
    <t>Ian Wright</t>
  </si>
  <si>
    <t>Clifford Featherstone</t>
  </si>
  <si>
    <t>Tony Jones</t>
  </si>
  <si>
    <t>Peter Wilkin</t>
  </si>
  <si>
    <t>Fietsen Tempo</t>
  </si>
  <si>
    <t>Nick Welsh</t>
  </si>
  <si>
    <t>Ray Pugh</t>
  </si>
  <si>
    <t>St Helens CRC</t>
  </si>
  <si>
    <t>Anthony Jones</t>
  </si>
  <si>
    <t>Knottingley Velo</t>
  </si>
  <si>
    <t>Graham Brown</t>
  </si>
  <si>
    <t>Nigel Herrod</t>
  </si>
  <si>
    <t>Geoff Bores</t>
  </si>
  <si>
    <t>Ford Cycling Club</t>
  </si>
  <si>
    <t>Peter Murray</t>
  </si>
  <si>
    <t>Salford Cycling Club</t>
  </si>
  <si>
    <t>James Sutherland</t>
  </si>
  <si>
    <t>Phil Lacoux</t>
  </si>
  <si>
    <t>Carse of Gowrie Velo (COG Velo)</t>
  </si>
  <si>
    <t>Charlie Elsey</t>
  </si>
  <si>
    <t>Newbury RC</t>
  </si>
  <si>
    <t>Derek Schofield</t>
  </si>
  <si>
    <t>Rossendale RC</t>
  </si>
  <si>
    <t>Victor Barnett</t>
  </si>
  <si>
    <t>Peter Barton</t>
  </si>
  <si>
    <t>Chelmer CC</t>
  </si>
  <si>
    <t>Peter Golding</t>
  </si>
  <si>
    <t>Colin Blacklock</t>
  </si>
  <si>
    <t>James Dickinson</t>
  </si>
  <si>
    <t>Peter Mooney</t>
  </si>
  <si>
    <t>John Risby</t>
  </si>
  <si>
    <t>Graham Atkins</t>
  </si>
  <si>
    <t>Gregor Grant</t>
  </si>
  <si>
    <t>John Filleul</t>
  </si>
  <si>
    <t>Peter Ward</t>
  </si>
  <si>
    <t>Christopher Thacker</t>
  </si>
  <si>
    <t>Douglas Fox</t>
  </si>
  <si>
    <t>Tim Crumpton</t>
  </si>
  <si>
    <t>John Hodgson</t>
  </si>
  <si>
    <t>Donald MacGregor</t>
  </si>
  <si>
    <t>Charles Martin</t>
  </si>
  <si>
    <t>Paul Thornton</t>
  </si>
  <si>
    <t>Russell Crowe</t>
  </si>
  <si>
    <t>Ian Forrester</t>
  </si>
  <si>
    <t>Andy Grant</t>
  </si>
  <si>
    <t>Lynn Lines</t>
  </si>
  <si>
    <t>Neil Blessitt</t>
  </si>
  <si>
    <t>John Newton</t>
  </si>
  <si>
    <t>Roger Mitchell</t>
  </si>
  <si>
    <t>Steve Whitehouse</t>
  </si>
  <si>
    <t>Raymond Cochrane</t>
  </si>
  <si>
    <t>Brendan Roe</t>
  </si>
  <si>
    <t>Denis Smith</t>
  </si>
  <si>
    <t>Tim Butler</t>
  </si>
  <si>
    <t>John Ginley</t>
  </si>
  <si>
    <t>John Newport</t>
  </si>
  <si>
    <t>Mountain Trax RT</t>
  </si>
  <si>
    <t>Terry Whalley</t>
  </si>
  <si>
    <t>Keith Ramsey</t>
  </si>
  <si>
    <t>Kent Velo Girls CC</t>
  </si>
  <si>
    <t>Pete Marshall</t>
  </si>
  <si>
    <t>Alex McAllister</t>
  </si>
  <si>
    <t>Peter Payton</t>
  </si>
  <si>
    <t>Martin Hackley</t>
  </si>
  <si>
    <t>Geoff Turner</t>
  </si>
  <si>
    <t>Alan Boyd</t>
  </si>
  <si>
    <t>Tay Titans</t>
  </si>
  <si>
    <t>Stephen Johnson</t>
  </si>
  <si>
    <t>John Terrell</t>
  </si>
  <si>
    <t>Christopher White</t>
  </si>
  <si>
    <t>Fife Century RC</t>
  </si>
  <si>
    <t>Philip Jones</t>
  </si>
  <si>
    <t>Robert Smith</t>
  </si>
  <si>
    <t>Clive Powell</t>
  </si>
  <si>
    <t>Rhayader Riders Cycling Club</t>
  </si>
  <si>
    <t>Jan Shearsmith</t>
  </si>
  <si>
    <t>John Gemmell</t>
  </si>
  <si>
    <t>Nicholas Selibas</t>
  </si>
  <si>
    <t>Velo Karbona</t>
  </si>
  <si>
    <t>Philip Wallace-Tarry</t>
  </si>
  <si>
    <t>Martin Eadon</t>
  </si>
  <si>
    <t>Brian Clayton</t>
  </si>
  <si>
    <t>Dominic Lowden</t>
  </si>
  <si>
    <t>John Walker</t>
  </si>
  <si>
    <t>Stuart Green</t>
  </si>
  <si>
    <t>Bute Wheelers</t>
  </si>
  <si>
    <t>Michael Smith</t>
  </si>
  <si>
    <t>Andy Firman</t>
  </si>
  <si>
    <t>David Hales</t>
  </si>
  <si>
    <t>Clive Tricker</t>
  </si>
  <si>
    <t>Terry Beisty</t>
  </si>
  <si>
    <t>Robert Finch</t>
  </si>
  <si>
    <t>Vim Thurlow</t>
  </si>
  <si>
    <t>Paul Green</t>
  </si>
  <si>
    <t>Steven Hilbert</t>
  </si>
  <si>
    <t>Chris Ring</t>
  </si>
  <si>
    <t>Tony Wilkins</t>
  </si>
  <si>
    <t>Wolsey RC</t>
  </si>
  <si>
    <t>Richard Hardy</t>
  </si>
  <si>
    <t>Richard Simmons</t>
  </si>
  <si>
    <t>VC Meudon</t>
  </si>
  <si>
    <t>Stuart Walters</t>
  </si>
  <si>
    <t>Geoffrey Booker</t>
  </si>
  <si>
    <t>John Hawes</t>
  </si>
  <si>
    <t>David Poole</t>
  </si>
  <si>
    <t>Malcolm Dunlop</t>
  </si>
  <si>
    <t>Veloclub Edinburgh</t>
  </si>
  <si>
    <t>John Graveling</t>
  </si>
  <si>
    <t>Brian Perks</t>
  </si>
  <si>
    <t>Philip Harries</t>
  </si>
  <si>
    <t>David McLean</t>
  </si>
  <si>
    <t>Gordon Richards</t>
  </si>
  <si>
    <t>Florence Greenhalgh</t>
  </si>
  <si>
    <t>Carys Lloyd</t>
  </si>
  <si>
    <t>Lucy Wollaston</t>
  </si>
  <si>
    <t>Lucy Glover</t>
  </si>
  <si>
    <t>Imogen Wolff</t>
  </si>
  <si>
    <t>Cat Ferguson</t>
  </si>
  <si>
    <t>Cycle Sport Pendle</t>
  </si>
  <si>
    <t>Greta Carey</t>
  </si>
  <si>
    <t>Amelia Cebak</t>
  </si>
  <si>
    <t>Hannah Cockroft</t>
  </si>
  <si>
    <t>Bethany-Ann Jackson</t>
  </si>
  <si>
    <t>Millie Coleman</t>
  </si>
  <si>
    <t>Florence Barnett</t>
  </si>
  <si>
    <t>Daisy Taylor</t>
  </si>
  <si>
    <t>Lucy Allsop</t>
  </si>
  <si>
    <t>Anna Patterson</t>
  </si>
  <si>
    <t>Daisy Freer</t>
  </si>
  <si>
    <t>Melissa  Cooper</t>
  </si>
  <si>
    <t>Imogen Cox</t>
  </si>
  <si>
    <t>Lucy Phillips</t>
  </si>
  <si>
    <t>Millie Thomson</t>
  </si>
  <si>
    <t>Faye Williams</t>
  </si>
  <si>
    <t>Alice Colling</t>
  </si>
  <si>
    <t>Tulsi Bakrania</t>
  </si>
  <si>
    <t>WXC World Racing</t>
  </si>
  <si>
    <t>Aoife Bakovic</t>
  </si>
  <si>
    <t>Anwen Nesham</t>
  </si>
  <si>
    <t>Skye Willis</t>
  </si>
  <si>
    <t>Mari Porton</t>
  </si>
  <si>
    <t>Rebecca Woodvine</t>
  </si>
  <si>
    <t>Ellen Phillips</t>
  </si>
  <si>
    <t>Amy Scott</t>
  </si>
  <si>
    <t>Emily Miller</t>
  </si>
  <si>
    <t>Rudie Shearer</t>
  </si>
  <si>
    <t>Esther Wong</t>
  </si>
  <si>
    <t>Arabella Blackburn</t>
  </si>
  <si>
    <t>Jessica Hoskins</t>
  </si>
  <si>
    <t>Mia Rutterford</t>
  </si>
  <si>
    <t>Megan Lloyd</t>
  </si>
  <si>
    <t>Harry Middleton Cycling Club</t>
  </si>
  <si>
    <t>Caitlin Dinning</t>
  </si>
  <si>
    <t>WyndyMilla</t>
  </si>
  <si>
    <t>Gabby Scott</t>
  </si>
  <si>
    <t>Amy Kolbert</t>
  </si>
  <si>
    <t>Zoe Parker</t>
  </si>
  <si>
    <t>Ella Tandy</t>
  </si>
  <si>
    <t>Imogen Morris</t>
  </si>
  <si>
    <t>Charlotte Smith</t>
  </si>
  <si>
    <t>Anna Lane</t>
  </si>
  <si>
    <t>Edith Davies</t>
  </si>
  <si>
    <t>Ellie Harrison</t>
  </si>
  <si>
    <t>Madeline Moorhouse Smith</t>
  </si>
  <si>
    <t>Ella Friedlander</t>
  </si>
  <si>
    <t>Georgette Rand</t>
  </si>
  <si>
    <t>Harriette Taylor</t>
  </si>
  <si>
    <t>Isla Glossop</t>
  </si>
  <si>
    <t>Caitlin Havisham</t>
  </si>
  <si>
    <t>Layla Bradbrook</t>
  </si>
  <si>
    <t>Emma Harrison</t>
  </si>
  <si>
    <t>Erin Boothman</t>
  </si>
  <si>
    <t>Meribel Hudson</t>
  </si>
  <si>
    <t>Caitlyn Beardsmore</t>
  </si>
  <si>
    <t>Kate Coulson</t>
  </si>
  <si>
    <t>Evelyn Nurse</t>
  </si>
  <si>
    <t>Ellie Mitchinson</t>
  </si>
  <si>
    <t>Olivia Allman</t>
  </si>
  <si>
    <t>Astrid Spragg</t>
  </si>
  <si>
    <t>Lucy Benezet Minns</t>
  </si>
  <si>
    <t>Abigail Biggs</t>
  </si>
  <si>
    <t>Cerys Greaves</t>
  </si>
  <si>
    <t>Sarah Johnson</t>
  </si>
  <si>
    <t>Grace Porter</t>
  </si>
  <si>
    <t>Grace Ward</t>
  </si>
  <si>
    <t>Esme Wiley</t>
  </si>
  <si>
    <t>Molly Lane</t>
  </si>
  <si>
    <t>Orla Kenna</t>
  </si>
  <si>
    <t>Lacey Holmes</t>
  </si>
  <si>
    <t>Grace Longden</t>
  </si>
  <si>
    <t>Holly Nainby</t>
  </si>
  <si>
    <t>Briony Roberts</t>
  </si>
  <si>
    <t>Sofia Brandon-Higgs</t>
  </si>
  <si>
    <t>Neve Laycock</t>
  </si>
  <si>
    <t>Isabel Mayes</t>
  </si>
  <si>
    <t>Elen Ruck</t>
  </si>
  <si>
    <t>Tilly Wadsworth</t>
  </si>
  <si>
    <t>Ella Chatfield</t>
  </si>
  <si>
    <t>Amelia Cleathero</t>
  </si>
  <si>
    <t>Mia Hopkins</t>
  </si>
  <si>
    <t>Jessica Stewart</t>
  </si>
  <si>
    <t>Elise Whitaker</t>
  </si>
  <si>
    <t>Electra Morris</t>
  </si>
  <si>
    <t>Tabitha Ward</t>
  </si>
  <si>
    <t>Katherine Bucknell</t>
  </si>
  <si>
    <t>Harriet Greensill</t>
  </si>
  <si>
    <t>Rapid Racer Products</t>
  </si>
  <si>
    <t>Molly Evans</t>
  </si>
  <si>
    <t>Harriet Hendry</t>
  </si>
  <si>
    <t>Amelie Macfarlane</t>
  </si>
  <si>
    <t>Hannah Henderson</t>
  </si>
  <si>
    <t>Megan Plews</t>
  </si>
  <si>
    <t>Lola Stevenson</t>
  </si>
  <si>
    <t>Rebecca Carter</t>
  </si>
  <si>
    <t>Eva Ellis</t>
  </si>
  <si>
    <t>Madeleine Tingay</t>
  </si>
  <si>
    <t>Martha Cooper</t>
  </si>
  <si>
    <t>Anna Mackenzie</t>
  </si>
  <si>
    <t>Abigail Miller</t>
  </si>
  <si>
    <t>Polly Parsons</t>
  </si>
  <si>
    <t>Rebecca Van Aardt</t>
  </si>
  <si>
    <t>Anna Birrell</t>
  </si>
  <si>
    <t>Evie Moran</t>
  </si>
  <si>
    <t>Myfanwy Meeran</t>
  </si>
  <si>
    <t>Ailsa Walton</t>
  </si>
  <si>
    <t>Eleanor Whalley</t>
  </si>
  <si>
    <t>Ingrid Gascoigne</t>
  </si>
  <si>
    <t>Erin Hall</t>
  </si>
  <si>
    <t>Brooke Traynor</t>
  </si>
  <si>
    <t>Jessica Woollas</t>
  </si>
  <si>
    <t>Emma Cull</t>
  </si>
  <si>
    <t>Harriet Dale</t>
  </si>
  <si>
    <t>Ffion Hill</t>
  </si>
  <si>
    <t>Sophie Jackson</t>
  </si>
  <si>
    <t>Thea Aitken</t>
  </si>
  <si>
    <t>Jasmine Alexander</t>
  </si>
  <si>
    <t>Ruby Flavell</t>
  </si>
  <si>
    <t>Eloise Pennington</t>
  </si>
  <si>
    <t>Kingston Junior Cycle Club</t>
  </si>
  <si>
    <t>Emma Poulston</t>
  </si>
  <si>
    <t>Lizzie Wellsted</t>
  </si>
  <si>
    <t>Molly Barker</t>
  </si>
  <si>
    <t>Eva Griffith</t>
  </si>
  <si>
    <t>Olivia Hynd</t>
  </si>
  <si>
    <t>Megan Lewis</t>
  </si>
  <si>
    <t>Ilana Lord</t>
  </si>
  <si>
    <t>Efa Oliver</t>
  </si>
  <si>
    <t>Edie Palfreyman</t>
  </si>
  <si>
    <t>Alice Potter</t>
  </si>
  <si>
    <t>Charlotte Redeyoff</t>
  </si>
  <si>
    <t>Manchester BMX Club</t>
  </si>
  <si>
    <t>Orla Maguire</t>
  </si>
  <si>
    <t>Lauren Pritchard</t>
  </si>
  <si>
    <t>Sophie Schonbach</t>
  </si>
  <si>
    <t>Iona Simcock</t>
  </si>
  <si>
    <t>Matilda Stringer</t>
  </si>
  <si>
    <t>Richardsons Cycle Club</t>
  </si>
  <si>
    <t>Emily Tanner</t>
  </si>
  <si>
    <t>Anna Whelan</t>
  </si>
  <si>
    <t>Amelia Jackson</t>
  </si>
  <si>
    <t>Jamie Leigh Lloyd</t>
  </si>
  <si>
    <t>Liverpool Braveheart Bicycle Club</t>
  </si>
  <si>
    <t>Lucy Sartain</t>
  </si>
  <si>
    <t>Grace Thomas</t>
  </si>
  <si>
    <t>Zoe Backstedt</t>
  </si>
  <si>
    <t>Storey Racing</t>
  </si>
  <si>
    <t>Ella Maclean-Howell</t>
  </si>
  <si>
    <t>Niamh Murphy</t>
  </si>
  <si>
    <t>Libby Bell</t>
  </si>
  <si>
    <t>Hope Inglis</t>
  </si>
  <si>
    <t>Emily Carrick-Anderson</t>
  </si>
  <si>
    <t>Freya Whiteside</t>
  </si>
  <si>
    <t>Madeline Cooper</t>
  </si>
  <si>
    <t>Daphne Jones</t>
  </si>
  <si>
    <t>Elizabeth McKinnon</t>
  </si>
  <si>
    <t>Matilda McKibben</t>
  </si>
  <si>
    <t>Phoebe Roche</t>
  </si>
  <si>
    <t>Ella Jamieson</t>
  </si>
  <si>
    <t>Evie Steed</t>
  </si>
  <si>
    <t>Kacey Eyeington</t>
  </si>
  <si>
    <t>Harriet Limb</t>
  </si>
  <si>
    <t>Amber Junker-Brameld</t>
  </si>
  <si>
    <t>Eva Newby</t>
  </si>
  <si>
    <t>Christina Mcgorum</t>
  </si>
  <si>
    <t>Awen Roberts</t>
  </si>
  <si>
    <t>Elena Day</t>
  </si>
  <si>
    <t>Holly Bailey</t>
  </si>
  <si>
    <t>Hannah McClorey</t>
  </si>
  <si>
    <t>Heather Robinson</t>
  </si>
  <si>
    <t>Florence Lissaman</t>
  </si>
  <si>
    <t>Freya Evans</t>
  </si>
  <si>
    <t>Kim Greening</t>
  </si>
  <si>
    <t>Amy Mourne</t>
  </si>
  <si>
    <t>Morven Yeoman</t>
  </si>
  <si>
    <t>Emily Lines</t>
  </si>
  <si>
    <t>Morgan Leeming-Sykes</t>
  </si>
  <si>
    <t>Emily Richards</t>
  </si>
  <si>
    <t>Alice Orgill</t>
  </si>
  <si>
    <t>Lotty Dawson</t>
  </si>
  <si>
    <t>Ellen Garnsworthy</t>
  </si>
  <si>
    <t>Annabel Parker</t>
  </si>
  <si>
    <t>Georgina Pasmore</t>
  </si>
  <si>
    <t>Ella Ruggles</t>
  </si>
  <si>
    <t>Hitchin Nomads CC</t>
  </si>
  <si>
    <t>Bryony Fishpool</t>
  </si>
  <si>
    <t>Georgia Lancaster</t>
  </si>
  <si>
    <t>Freya Eccleston</t>
  </si>
  <si>
    <t>Erin Corrigan</t>
  </si>
  <si>
    <t>Ellen Webber</t>
  </si>
  <si>
    <t>Anna Reid</t>
  </si>
  <si>
    <t>Katie-Anne Calton</t>
  </si>
  <si>
    <t>Hermione Pickering</t>
  </si>
  <si>
    <t>Jadan Cyclespace- Vive le Velo</t>
  </si>
  <si>
    <t>Ruby-Soho Smith</t>
  </si>
  <si>
    <t>Shona Mosley</t>
  </si>
  <si>
    <t>Lucy Dalgleish</t>
  </si>
  <si>
    <t>Grace Lister</t>
  </si>
  <si>
    <t>Tallulah Butcher</t>
  </si>
  <si>
    <t>Amie Hatton</t>
  </si>
  <si>
    <t>Evie White</t>
  </si>
  <si>
    <t>Bethany Bennett</t>
  </si>
  <si>
    <t>Larissa Campbell</t>
  </si>
  <si>
    <t>Beatrix Kiehlmann</t>
  </si>
  <si>
    <t>Isla Long</t>
  </si>
  <si>
    <t>Eilidh Shaw</t>
  </si>
  <si>
    <t>Phoebe Skinner</t>
  </si>
  <si>
    <t>Eleanor Bolton</t>
  </si>
  <si>
    <t>Paige Elding</t>
  </si>
  <si>
    <t>Beatrice Pauley</t>
  </si>
  <si>
    <t>Niamh Campbell Williams</t>
  </si>
  <si>
    <t>Jacqueline Kinsey</t>
  </si>
  <si>
    <t>Efa Williams</t>
  </si>
  <si>
    <t>Kirsty Johnson</t>
  </si>
  <si>
    <t>Shannon Neame</t>
  </si>
  <si>
    <t>Jessica Ayears</t>
  </si>
  <si>
    <t>Kayleigh Cooke</t>
  </si>
  <si>
    <t>Isabella Vinter</t>
  </si>
  <si>
    <t>Florence Whiteley</t>
  </si>
  <si>
    <t>Beth Bennett</t>
  </si>
  <si>
    <t>Lowri Richards</t>
  </si>
  <si>
    <t>Erin Wood</t>
  </si>
  <si>
    <t>Sophie Godfrey</t>
  </si>
  <si>
    <t>Emma Jeffers</t>
  </si>
  <si>
    <t>Sarah Schonbach</t>
  </si>
  <si>
    <t>Zoe Swainston</t>
  </si>
  <si>
    <t>Lindsay Toy</t>
  </si>
  <si>
    <t>Josie Vallis</t>
  </si>
  <si>
    <t>Lola Ellis</t>
  </si>
  <si>
    <t>Ciara Simcock</t>
  </si>
  <si>
    <t>Sasha Blendis</t>
  </si>
  <si>
    <t>Grace Chambers</t>
  </si>
  <si>
    <t>Amelia Cox</t>
  </si>
  <si>
    <t>Domini Fatuga</t>
  </si>
  <si>
    <t>Ellie Swingell</t>
  </si>
  <si>
    <t>Emelia Barker</t>
  </si>
  <si>
    <t>Katie Youp</t>
  </si>
  <si>
    <t>Jodie Fox</t>
  </si>
  <si>
    <t>Lucy Friedlander</t>
  </si>
  <si>
    <t>Evelina Black</t>
  </si>
  <si>
    <t>Posie Forrester</t>
  </si>
  <si>
    <t>Una Morrice</t>
  </si>
  <si>
    <t>Abigail Saggs</t>
  </si>
  <si>
    <t>Annabel Shunburne</t>
  </si>
  <si>
    <t>Emma Spriggs</t>
  </si>
  <si>
    <t>Morgan Crussell</t>
  </si>
  <si>
    <t>RFDA</t>
  </si>
  <si>
    <t>Ailsa Long</t>
  </si>
  <si>
    <t>Madeleine Osborn</t>
  </si>
  <si>
    <t>Sophie Quay-Clark</t>
  </si>
  <si>
    <t>Sarah Sharkey</t>
  </si>
  <si>
    <t>Beth Shaw</t>
  </si>
  <si>
    <t>Lauren Wadie</t>
  </si>
  <si>
    <t>Hannah Whitworth</t>
  </si>
  <si>
    <t>Ella Brooks</t>
  </si>
  <si>
    <t>Katie Galloway</t>
  </si>
  <si>
    <t>Mollie Makepeace</t>
  </si>
  <si>
    <t>Imogen Sutton</t>
  </si>
  <si>
    <t>Ayla Tonkin</t>
  </si>
  <si>
    <t>Millie Couzens</t>
  </si>
  <si>
    <t>Anna Flynn</t>
  </si>
  <si>
    <t>Josie Nelson</t>
  </si>
  <si>
    <t>Lotta Mansfield</t>
  </si>
  <si>
    <t>Maddie Wadsworth</t>
  </si>
  <si>
    <t>Charlotte-Louise McGreevy</t>
  </si>
  <si>
    <t>Awol</t>
  </si>
  <si>
    <t>Ellen Bennett</t>
  </si>
  <si>
    <t>Roisin Lally</t>
  </si>
  <si>
    <t>Scott Eurocycles.com</t>
  </si>
  <si>
    <t>Imogen Chastell</t>
  </si>
  <si>
    <t>Amelie Wayte</t>
  </si>
  <si>
    <t>Harley Pell</t>
  </si>
  <si>
    <t>Amelie Prior</t>
  </si>
  <si>
    <t>Bethany Barnett</t>
  </si>
  <si>
    <t>Lily Young</t>
  </si>
  <si>
    <t>Chloe Hinchliffe</t>
  </si>
  <si>
    <t>Amy Cantelo</t>
  </si>
  <si>
    <t>Martha Lebentz</t>
  </si>
  <si>
    <t>Lucy Buckley</t>
  </si>
  <si>
    <t>Ellie Dilks</t>
  </si>
  <si>
    <t>Ella Lawrence</t>
  </si>
  <si>
    <t>Valkyrie Race Team</t>
  </si>
  <si>
    <t>Isla Mason</t>
  </si>
  <si>
    <t>Mollie Bilner</t>
  </si>
  <si>
    <t>Molly Lewis</t>
  </si>
  <si>
    <t>Rosie Andrews</t>
  </si>
  <si>
    <t>Certini Bicycle Company</t>
  </si>
  <si>
    <t>Kate Taylor</t>
  </si>
  <si>
    <t>The Racing Chance Foundation</t>
  </si>
  <si>
    <t>Iona Moir</t>
  </si>
  <si>
    <t>Elena McGorum</t>
  </si>
  <si>
    <t>Ellie-Mae Pledger</t>
  </si>
  <si>
    <t>Emily Conn</t>
  </si>
  <si>
    <t>Amy Bird</t>
  </si>
  <si>
    <t>Poppy Pattinson</t>
  </si>
  <si>
    <t>Alice Davies</t>
  </si>
  <si>
    <t>Holly Bradbrook</t>
  </si>
  <si>
    <t>Ellen Fordham</t>
  </si>
  <si>
    <t>Molli Keenor</t>
  </si>
  <si>
    <t>Grace Whitehouse</t>
  </si>
  <si>
    <t>Ruby Carleton</t>
  </si>
  <si>
    <t>Alexa Hawkins</t>
  </si>
  <si>
    <t>Erin Avill</t>
  </si>
  <si>
    <t>Jenna Govan</t>
  </si>
  <si>
    <t>Emi Grover</t>
  </si>
  <si>
    <t>Eva McCabe</t>
  </si>
  <si>
    <t>Erin Murphy</t>
  </si>
  <si>
    <t>Niamha Albones</t>
  </si>
  <si>
    <t>Liverpool Century Cycling Academy</t>
  </si>
  <si>
    <t>Penelope de Brett</t>
  </si>
  <si>
    <t>Hannah Rainger</t>
  </si>
  <si>
    <t>Rebecca Wren</t>
  </si>
  <si>
    <t>Hannah Paice</t>
  </si>
  <si>
    <t>Eva Callinan</t>
  </si>
  <si>
    <t>Charlie Dash</t>
  </si>
  <si>
    <t>Connie McLaughlin</t>
  </si>
  <si>
    <t>Annabel Ramsay</t>
  </si>
  <si>
    <t>Freya Richardson</t>
  </si>
  <si>
    <t>Ruby Yates</t>
  </si>
  <si>
    <t>Hannah Yates</t>
  </si>
  <si>
    <t>Holly Bristow</t>
  </si>
  <si>
    <t>Charlotte Fox</t>
  </si>
  <si>
    <t>Megan Free</t>
  </si>
  <si>
    <t>Eluned King</t>
  </si>
  <si>
    <t>Liv Cycling Club - Halo Cycles</t>
  </si>
  <si>
    <t>Eva Young</t>
  </si>
  <si>
    <t>Ella Beard</t>
  </si>
  <si>
    <t>Lizzy Edge</t>
  </si>
  <si>
    <t>Darcey Ellis</t>
  </si>
  <si>
    <t>Elise Hatton</t>
  </si>
  <si>
    <t>Eleanor Hunt</t>
  </si>
  <si>
    <t>Ellen Inglis</t>
  </si>
  <si>
    <t>Abby Munro</t>
  </si>
  <si>
    <t>Kirsty Ormrod</t>
  </si>
  <si>
    <t>Polly Burge</t>
  </si>
  <si>
    <t>Hannah Lonsdale</t>
  </si>
  <si>
    <t>Mia Padmanabhan</t>
  </si>
  <si>
    <t>Eleanor Partridge</t>
  </si>
  <si>
    <t>Anna Kay</t>
  </si>
  <si>
    <t>Experza Pro CX</t>
  </si>
  <si>
    <t>1700</t>
  </si>
  <si>
    <t>Evie Richards</t>
  </si>
  <si>
    <t>Trek Factory Racing XC</t>
  </si>
  <si>
    <t>1135</t>
  </si>
  <si>
    <t>Caroline Reuter</t>
  </si>
  <si>
    <t>822</t>
  </si>
  <si>
    <t>Sophie Thackray</t>
  </si>
  <si>
    <t>787</t>
  </si>
  <si>
    <t>Bethany Crumpton</t>
  </si>
  <si>
    <t>Tarteletto - Isorex</t>
  </si>
  <si>
    <t>Ffion James</t>
  </si>
  <si>
    <t>Harriet Harnden</t>
  </si>
  <si>
    <t>Xan Crees</t>
  </si>
  <si>
    <t>Kate Eedy</t>
  </si>
  <si>
    <t>Amy Perryman</t>
  </si>
  <si>
    <t>Hargroves RT</t>
  </si>
  <si>
    <t>Lindy Brazier-Larkin</t>
  </si>
  <si>
    <t>Emily Ashwood</t>
  </si>
  <si>
    <t>Maryka Sennema</t>
  </si>
  <si>
    <t>Katie Scott</t>
  </si>
  <si>
    <t>Diane Lee</t>
  </si>
  <si>
    <t>Helen Pattinson</t>
  </si>
  <si>
    <t>Carly Ibbitson</t>
  </si>
  <si>
    <t>Christina Wiejak</t>
  </si>
  <si>
    <t>Fiona Turnbull</t>
  </si>
  <si>
    <t>Slingshot</t>
  </si>
  <si>
    <t>Amira Mellor</t>
  </si>
  <si>
    <t>Gemma Melton</t>
  </si>
  <si>
    <t>Alderney Baker</t>
  </si>
  <si>
    <t>Charlotte Heywood</t>
  </si>
  <si>
    <t>Les Filles Racing Team</t>
  </si>
  <si>
    <t>Anastasia Bowler</t>
  </si>
  <si>
    <t>Kate Robson</t>
  </si>
  <si>
    <t>Katy Simcock</t>
  </si>
  <si>
    <t>Trek Bicycle Club</t>
  </si>
  <si>
    <t>Emma Collier</t>
  </si>
  <si>
    <t>Stan's No Tubes UK</t>
  </si>
  <si>
    <t>Tracy Wilkinson-Begg</t>
  </si>
  <si>
    <t>Elvita Branch</t>
  </si>
  <si>
    <t>Sussed Out / Mondraker UK</t>
  </si>
  <si>
    <t>Victoria Peel</t>
  </si>
  <si>
    <t>Fran Whyte</t>
  </si>
  <si>
    <t>Olivia Campbell</t>
  </si>
  <si>
    <t>Scarpa Racing</t>
  </si>
  <si>
    <t>Mary Wilkinson</t>
  </si>
  <si>
    <t>Abbie Manley</t>
  </si>
  <si>
    <t>Cheryl Vaughan</t>
  </si>
  <si>
    <t>Marie Lynn</t>
  </si>
  <si>
    <t>Kate Dixon</t>
  </si>
  <si>
    <t>Oscar Bravo CC</t>
  </si>
  <si>
    <t>Abby-Mae Parkinson</t>
  </si>
  <si>
    <t>Karen Heppenstall</t>
  </si>
  <si>
    <t>Nicola Davies</t>
  </si>
  <si>
    <t>Katie Scotter</t>
  </si>
  <si>
    <t>Clare Hoskins</t>
  </si>
  <si>
    <t>Hannah Saville</t>
  </si>
  <si>
    <t>Ruby Miller</t>
  </si>
  <si>
    <t>Gemma Bitaraf</t>
  </si>
  <si>
    <t>Lovelo Squadra Donne</t>
  </si>
  <si>
    <t>Laura Brown</t>
  </si>
  <si>
    <t>Jennifer Forrester</t>
  </si>
  <si>
    <t>Caroline Harvey</t>
  </si>
  <si>
    <t>Melissa Baker</t>
  </si>
  <si>
    <t>Lucy Siddle</t>
  </si>
  <si>
    <t>Tracy Bremner</t>
  </si>
  <si>
    <t>Rebecca Preece</t>
  </si>
  <si>
    <t>Kerry MacPhee</t>
  </si>
  <si>
    <t>Jessica Cobbe</t>
  </si>
  <si>
    <t>Helen Jackson</t>
  </si>
  <si>
    <t>Sian Botteley</t>
  </si>
  <si>
    <t>Lauren Higham</t>
  </si>
  <si>
    <t>Team LDN - Brother UK</t>
  </si>
  <si>
    <t>Madeleine Gammons</t>
  </si>
  <si>
    <t>University of Birmingham CC</t>
  </si>
  <si>
    <t>Catherine Litherland</t>
  </si>
  <si>
    <t>Connie Hayes</t>
  </si>
  <si>
    <t>Adeline Moreau</t>
  </si>
  <si>
    <t>Gemma Wilks</t>
  </si>
  <si>
    <t>Karen Summers</t>
  </si>
  <si>
    <t>Alicia Lisle</t>
  </si>
  <si>
    <t>Elizabeth Hughes</t>
  </si>
  <si>
    <t>Helen Dussek</t>
  </si>
  <si>
    <t>Sam Burman</t>
  </si>
  <si>
    <t>Monica Greenwood</t>
  </si>
  <si>
    <t>Eileen Roe</t>
  </si>
  <si>
    <t>Paula Salter</t>
  </si>
  <si>
    <t>Catriona Ross</t>
  </si>
  <si>
    <t>Zoe Codd</t>
  </si>
  <si>
    <t>Emma Porter</t>
  </si>
  <si>
    <t>Clare Dallimore</t>
  </si>
  <si>
    <t>Rebecca Laurel</t>
  </si>
  <si>
    <t>Lydia Brookes</t>
  </si>
  <si>
    <t>Jane Barr</t>
  </si>
  <si>
    <t>Joanne Newstead</t>
  </si>
  <si>
    <t>Melanie Annable</t>
  </si>
  <si>
    <t>Natalie Brooks</t>
  </si>
  <si>
    <t>Paramount CRT</t>
  </si>
  <si>
    <t>Cassandra Mackintosh</t>
  </si>
  <si>
    <t>Verity Appleyard</t>
  </si>
  <si>
    <t>Brotherton Cycles</t>
  </si>
  <si>
    <t>Lindsay Newman</t>
  </si>
  <si>
    <t>Sarah Hickman</t>
  </si>
  <si>
    <t>Lillie Swan</t>
  </si>
  <si>
    <t>April Tacey</t>
  </si>
  <si>
    <t>Brother UK Fusion RT</t>
  </si>
  <si>
    <t>Nicola Kent</t>
  </si>
  <si>
    <t>Isla Short</t>
  </si>
  <si>
    <t>Libby Greatorex</t>
  </si>
  <si>
    <t>Tracey Fletcher</t>
  </si>
  <si>
    <t>Ishbel Strathdee</t>
  </si>
  <si>
    <t>Jane Rayner</t>
  </si>
  <si>
    <t>Sophie Halhead</t>
  </si>
  <si>
    <t>Sara Hallas</t>
  </si>
  <si>
    <t>Hannah Bayes</t>
  </si>
  <si>
    <t>Alison Rushton</t>
  </si>
  <si>
    <t>Joanne Thom</t>
  </si>
  <si>
    <t>Madeleine Davy</t>
  </si>
  <si>
    <t>Gemma Hutchins</t>
  </si>
  <si>
    <t>Donna Short</t>
  </si>
  <si>
    <t>Laura Warburton</t>
  </si>
  <si>
    <t>Helen Webb</t>
  </si>
  <si>
    <t>Sussex Nomads CC</t>
  </si>
  <si>
    <t>Jo Tindley</t>
  </si>
  <si>
    <t>CAMS-Tifosi</t>
  </si>
  <si>
    <t>Phoebe Sneddon</t>
  </si>
  <si>
    <t>Lynne Coldray</t>
  </si>
  <si>
    <t>Catherine Kilburn</t>
  </si>
  <si>
    <t>Laura Jeremiah</t>
  </si>
  <si>
    <t>Emma Jane Hornsby</t>
  </si>
  <si>
    <t>Elspeth Grace</t>
  </si>
  <si>
    <t>Honor Elliott</t>
  </si>
  <si>
    <t>Rebecca Johnson</t>
  </si>
  <si>
    <t>Nicola Powell</t>
  </si>
  <si>
    <t>Miriam Whitehurst</t>
  </si>
  <si>
    <t>Poppy Cooke</t>
  </si>
  <si>
    <t>Anna Kubik</t>
  </si>
  <si>
    <t>Nuala Robinson</t>
  </si>
  <si>
    <t>Nichola Jackson</t>
  </si>
  <si>
    <t>Joanne Clay</t>
  </si>
  <si>
    <t>Tracy Henderson</t>
  </si>
  <si>
    <t>Iwona Szmyd</t>
  </si>
  <si>
    <t>Charlotte Evans</t>
  </si>
  <si>
    <t>Caroline Goward</t>
  </si>
  <si>
    <t>Lauren Humphreys</t>
  </si>
  <si>
    <t>Team Boompods</t>
  </si>
  <si>
    <t>Agne Kudirkaite</t>
  </si>
  <si>
    <t>Tracy Moseley</t>
  </si>
  <si>
    <t>Laura Wilkey</t>
  </si>
  <si>
    <t>Emma Bentley</t>
  </si>
  <si>
    <t>Olivia Fawcett</t>
  </si>
  <si>
    <t>Alison Ford</t>
  </si>
  <si>
    <t>Meg Pugh</t>
  </si>
  <si>
    <t>Velociposse</t>
  </si>
  <si>
    <t>Suzanne Warren</t>
  </si>
  <si>
    <t>Nicola McCoy</t>
  </si>
  <si>
    <t>Natasha Reddy</t>
  </si>
  <si>
    <t>Bianchi Dama</t>
  </si>
  <si>
    <t>Kristin Stolpe</t>
  </si>
  <si>
    <t>Celia Brown</t>
  </si>
  <si>
    <t>Nicole Clarke</t>
  </si>
  <si>
    <t>Sally Reid</t>
  </si>
  <si>
    <t>Alison Kinloch</t>
  </si>
  <si>
    <t>Alison Rothnie</t>
  </si>
  <si>
    <t>Isla Rowntree</t>
  </si>
  <si>
    <t>Suzanne Young</t>
  </si>
  <si>
    <t>Vitfor</t>
  </si>
  <si>
    <t>Julia Behnsen</t>
  </si>
  <si>
    <t>Heidi Gould</t>
  </si>
  <si>
    <t>Rachel Dunn</t>
  </si>
  <si>
    <t>Claire Nott</t>
  </si>
  <si>
    <t>Michelle Paget</t>
  </si>
  <si>
    <t>Peddlamaniacs Cycle Club</t>
  </si>
  <si>
    <t>Laura Lawson</t>
  </si>
  <si>
    <t>Ruth Taylor</t>
  </si>
  <si>
    <t>Joanne Howes</t>
  </si>
  <si>
    <t>Natalie Jenks</t>
  </si>
  <si>
    <t>Victoria Strila</t>
  </si>
  <si>
    <t>TW1 Racing</t>
  </si>
  <si>
    <t>Julie Caddick</t>
  </si>
  <si>
    <t>Rachel Clay</t>
  </si>
  <si>
    <t>Rebecca Cornwell</t>
  </si>
  <si>
    <t>Tabitha Rendall</t>
  </si>
  <si>
    <t>Club Cyclopark</t>
  </si>
  <si>
    <t>Ruth Marshall</t>
  </si>
  <si>
    <t>Kate Dance</t>
  </si>
  <si>
    <t>Eleonore Dalton</t>
  </si>
  <si>
    <t>Kristen Lovelock</t>
  </si>
  <si>
    <t>Tracey Corcoran</t>
  </si>
  <si>
    <t>Samantha Hughes-Dowdle</t>
  </si>
  <si>
    <t>Jennifer Andrews</t>
  </si>
  <si>
    <t>Laura Cunningham</t>
  </si>
  <si>
    <t>Chloe Dilks</t>
  </si>
  <si>
    <t>Marianne Heffron</t>
  </si>
  <si>
    <t>Isabel Darvill</t>
  </si>
  <si>
    <t>Datalynx-Parenesis Cycling</t>
  </si>
  <si>
    <t>Lynsey Whitley</t>
  </si>
  <si>
    <t>Hazel Wakefield</t>
  </si>
  <si>
    <t>Anneleen Bosma</t>
  </si>
  <si>
    <t>Jessica Wood</t>
  </si>
  <si>
    <t>Claire Walters</t>
  </si>
  <si>
    <t>Jeremy Rees Cycles RT</t>
  </si>
  <si>
    <t>Christine Fischer</t>
  </si>
  <si>
    <t>Nicky Hughes</t>
  </si>
  <si>
    <t>Specialized Racing</t>
  </si>
  <si>
    <t>Jules Toone</t>
  </si>
  <si>
    <t>Jo Malpass</t>
  </si>
  <si>
    <t>Sprockets Cycle Club</t>
  </si>
  <si>
    <t>Lorna Rodger</t>
  </si>
  <si>
    <t>Alison Bagnall</t>
  </si>
  <si>
    <t>Delia Beddis</t>
  </si>
  <si>
    <t>Donna Goodwin</t>
  </si>
  <si>
    <t>Laura Greenhalgh</t>
  </si>
  <si>
    <t>Catherine Pascoe</t>
  </si>
  <si>
    <t>New Forest CC</t>
  </si>
  <si>
    <t>Maddi Smith</t>
  </si>
  <si>
    <t>Alexandra Farquhar</t>
  </si>
  <si>
    <t>Wendy Rees</t>
  </si>
  <si>
    <t>Claire Weller</t>
  </si>
  <si>
    <t>Rachel Connerney</t>
  </si>
  <si>
    <t>Pamela Challen</t>
  </si>
  <si>
    <t>Pamela Glover</t>
  </si>
  <si>
    <t>Roslynn Newman</t>
  </si>
  <si>
    <t>Female Riders Race Team</t>
  </si>
  <si>
    <t>Elizabeth McKie</t>
  </si>
  <si>
    <t>Ashley Pearson</t>
  </si>
  <si>
    <t>Elanor Cadzow</t>
  </si>
  <si>
    <t>Chloe Parrington</t>
  </si>
  <si>
    <t>Clare Ross</t>
  </si>
  <si>
    <t>Katrina Adam</t>
  </si>
  <si>
    <t>Nicola Hartle</t>
  </si>
  <si>
    <t>Joanne Jago</t>
  </si>
  <si>
    <t>Becky Ridge</t>
  </si>
  <si>
    <t>Amy Drysdale</t>
  </si>
  <si>
    <t>Kirstin Hamilton</t>
  </si>
  <si>
    <t>Julene Knox</t>
  </si>
  <si>
    <t>Sharn Hooper</t>
  </si>
  <si>
    <t>Zoë Bartlett</t>
  </si>
  <si>
    <t>Jaime Nicholson</t>
  </si>
  <si>
    <t>Keri Parton</t>
  </si>
  <si>
    <t>Jeni Sanderson</t>
  </si>
  <si>
    <t>Hayley Down</t>
  </si>
  <si>
    <t>Brixton Cycles Club</t>
  </si>
  <si>
    <t>Grace Inglis</t>
  </si>
  <si>
    <t>Cheryl Walker</t>
  </si>
  <si>
    <t>Synergy Cycles</t>
  </si>
  <si>
    <t>Kathleen O'Reilly</t>
  </si>
  <si>
    <t>Emma Payne</t>
  </si>
  <si>
    <t>Clair Wadden</t>
  </si>
  <si>
    <t>Cecilia Hime</t>
  </si>
  <si>
    <t>Jodie Janes</t>
  </si>
  <si>
    <t>Ruth Davies</t>
  </si>
  <si>
    <t>Karen McGrath</t>
  </si>
  <si>
    <t>Worthing Excelsior CC</t>
  </si>
  <si>
    <t>Jackie Shute</t>
  </si>
  <si>
    <t>Sarah Grimshaw</t>
  </si>
  <si>
    <t>Karly Millar</t>
  </si>
  <si>
    <t>Nicky Quant</t>
  </si>
  <si>
    <t>Sophie Ramsden</t>
  </si>
  <si>
    <t>Kate Smith</t>
  </si>
  <si>
    <t>Ruth Stapleton</t>
  </si>
  <si>
    <t>Abigail Corsie</t>
  </si>
  <si>
    <t>Anne Murray</t>
  </si>
  <si>
    <t>Elizabeth Webb</t>
  </si>
  <si>
    <t>Helen Barron</t>
  </si>
  <si>
    <t>Katherine Dennis</t>
  </si>
  <si>
    <t>UCL Cycling Club</t>
  </si>
  <si>
    <t>Rebecca Maynard</t>
  </si>
  <si>
    <t>Hannah Reynolds</t>
  </si>
  <si>
    <t>Christine Robson</t>
  </si>
  <si>
    <t>Zoe Adams</t>
  </si>
  <si>
    <t>Rhona Callander</t>
  </si>
  <si>
    <t>Team Breeze</t>
  </si>
  <si>
    <t>Trish Chalk</t>
  </si>
  <si>
    <t>Helen Gorman</t>
  </si>
  <si>
    <t>India Lee</t>
  </si>
  <si>
    <t>Caroline Mansfield</t>
  </si>
  <si>
    <t>Christina White</t>
  </si>
  <si>
    <t>Emma Bexson</t>
  </si>
  <si>
    <t>Rebecca Jones</t>
  </si>
  <si>
    <t>Nikola Matthews</t>
  </si>
  <si>
    <t>Boot Out Breast Cancer C.C</t>
  </si>
  <si>
    <t>Nikki Toomer</t>
  </si>
  <si>
    <t>Vicki Woodburn</t>
  </si>
  <si>
    <t>Wendy Atkinson</t>
  </si>
  <si>
    <t>Clare Evans</t>
  </si>
  <si>
    <t>Charlotte Fisher</t>
  </si>
  <si>
    <t>Louise Gibson</t>
  </si>
  <si>
    <t>Mid Argyll Triathlon &amp; Cycle Club</t>
  </si>
  <si>
    <t>Zoe Lawrence</t>
  </si>
  <si>
    <t>Rebecca Longthorp</t>
  </si>
  <si>
    <t>Andrea Rodgers</t>
  </si>
  <si>
    <t>Julia Birch</t>
  </si>
  <si>
    <t>Mickey Cranks CC</t>
  </si>
  <si>
    <t>Jenny Evans-Hill</t>
  </si>
  <si>
    <t>Julie Phelan</t>
  </si>
  <si>
    <t>Lucy Reed</t>
  </si>
  <si>
    <t>Sarah Vigrow</t>
  </si>
  <si>
    <t>Rosalind Willicombe</t>
  </si>
  <si>
    <t>Minehead Cycling Club</t>
  </si>
  <si>
    <t>Elizabeth Clayton</t>
  </si>
  <si>
    <t>Sally Crocker</t>
  </si>
  <si>
    <t>Molly Cutmore</t>
  </si>
  <si>
    <t>Laura Gray</t>
  </si>
  <si>
    <t>Christina Gustafson</t>
  </si>
  <si>
    <t>Reading CC</t>
  </si>
  <si>
    <t>Lucy Lee</t>
  </si>
  <si>
    <t>University of Bath Cycling Club</t>
  </si>
  <si>
    <t>Emma Lewis</t>
  </si>
  <si>
    <t>The Independent Pedaler</t>
  </si>
  <si>
    <t>Catherine Hughes</t>
  </si>
  <si>
    <t>Sarah Naylor</t>
  </si>
  <si>
    <t>Katie Turbitt</t>
  </si>
  <si>
    <t>Anne Chisholm</t>
  </si>
  <si>
    <t>Lily Greenhalgh</t>
  </si>
  <si>
    <t>Mandie James</t>
  </si>
  <si>
    <t>Maureen Sinclair</t>
  </si>
  <si>
    <t>Vivienne Tomlin</t>
  </si>
  <si>
    <t>1904 RT</t>
  </si>
  <si>
    <t>Helen Boatman</t>
  </si>
  <si>
    <t>Kimberlee Charlton</t>
  </si>
  <si>
    <t>DAP Cycling Club</t>
  </si>
  <si>
    <t>Maddie Heywood</t>
  </si>
  <si>
    <t>Lea Valley CC</t>
  </si>
  <si>
    <t>Claire Hughes</t>
  </si>
  <si>
    <t>Rita Humphreys</t>
  </si>
  <si>
    <t>Coventry Cycling Club</t>
  </si>
  <si>
    <t>Charlotte Jackson</t>
  </si>
  <si>
    <t>Anna  McGorum</t>
  </si>
  <si>
    <t>Aileen Mulhern</t>
  </si>
  <si>
    <t>Jenni Wood</t>
  </si>
  <si>
    <t>Elizabeth Bridgen</t>
  </si>
  <si>
    <t>Kathryn Gohl</t>
  </si>
  <si>
    <t>Lydia Gould</t>
  </si>
  <si>
    <t>Mandy Hibberd</t>
  </si>
  <si>
    <t>Jessica Hobson-Taylor</t>
  </si>
  <si>
    <t>Bethan Hodge</t>
  </si>
  <si>
    <t>Rachel Jenkins</t>
  </si>
  <si>
    <t>Samantha Jones</t>
  </si>
  <si>
    <t>Lucy Williams</t>
  </si>
  <si>
    <t>Lucy Andrews</t>
  </si>
  <si>
    <t>Sallie Birchall</t>
  </si>
  <si>
    <t>Kirsty Bishop</t>
  </si>
  <si>
    <t>Lucy Donnelly</t>
  </si>
  <si>
    <t>Amy Dunwell</t>
  </si>
  <si>
    <t>Katie Helsby</t>
  </si>
  <si>
    <t>Costa Brava Mediterranean Foods</t>
  </si>
  <si>
    <t>Saffron Pineger</t>
  </si>
  <si>
    <t>Carolyn Speirs</t>
  </si>
  <si>
    <t>Olivia Fitz-Poole</t>
  </si>
  <si>
    <t>Clare Johnson</t>
  </si>
  <si>
    <t>Hollie Jones</t>
  </si>
  <si>
    <t>Dalila Lecky</t>
  </si>
  <si>
    <t>Anna Mcleod</t>
  </si>
  <si>
    <t>Katie Pratt</t>
  </si>
  <si>
    <t>Anne Whittingham</t>
  </si>
  <si>
    <t>Garstang Cycling Club</t>
  </si>
  <si>
    <t>Lynsey Astles</t>
  </si>
  <si>
    <t>Weaver Valley CC</t>
  </si>
  <si>
    <t>Mandy Bunn</t>
  </si>
  <si>
    <t>Megan Cullen</t>
  </si>
  <si>
    <t>Maria David</t>
  </si>
  <si>
    <t>Josephine Gilbert</t>
  </si>
  <si>
    <t>Rebecca Kearney</t>
  </si>
  <si>
    <t>Team Vision Innovative Leisure</t>
  </si>
  <si>
    <t>Chanel Mason</t>
  </si>
  <si>
    <t>Virginia Phillips</t>
  </si>
  <si>
    <t>Katherine Smoker</t>
  </si>
  <si>
    <t>Louise Wainwright</t>
  </si>
  <si>
    <t>Karen Wyle Smith</t>
  </si>
  <si>
    <t>Emma Clarke</t>
  </si>
  <si>
    <t>Rosie Hopkins</t>
  </si>
  <si>
    <t>Helen Kuhlman</t>
  </si>
  <si>
    <t>Claire Lawrence</t>
  </si>
  <si>
    <t>Michaela Laxton</t>
  </si>
  <si>
    <t>Valley Striders CC</t>
  </si>
  <si>
    <t>Mathilde Pauls</t>
  </si>
  <si>
    <t>Charlotte Sampson</t>
  </si>
  <si>
    <t>Catherine Wallace</t>
  </si>
  <si>
    <t>Helen Winton</t>
  </si>
  <si>
    <t>Jennifer Doyle</t>
  </si>
  <si>
    <t>Anna Fraser</t>
  </si>
  <si>
    <t>Chloe Fraser</t>
  </si>
  <si>
    <t>Alice Peyredieu</t>
  </si>
  <si>
    <t>Julie Barrett</t>
  </si>
  <si>
    <t>Roch Valley Raiders</t>
  </si>
  <si>
    <t>Jean Bergin</t>
  </si>
  <si>
    <t>De Laune CC</t>
  </si>
  <si>
    <t>Heidi Blunden</t>
  </si>
  <si>
    <t>Emelia Clarke</t>
  </si>
  <si>
    <t>Elizabeth Danckert</t>
  </si>
  <si>
    <t>Bexy Dew</t>
  </si>
  <si>
    <t>Maria Gent</t>
  </si>
  <si>
    <t>Amber Hull</t>
  </si>
  <si>
    <t>Sarah Thomas</t>
  </si>
  <si>
    <t>Emily Varley</t>
  </si>
  <si>
    <t>Emily Walton</t>
  </si>
  <si>
    <t>Abigail Armstrong</t>
  </si>
  <si>
    <t>Beachy Head Cycling Club</t>
  </si>
  <si>
    <t>Helen Goldthorpe</t>
  </si>
  <si>
    <t>Hermione Harrison</t>
  </si>
  <si>
    <t>Fiona Jolly</t>
  </si>
  <si>
    <t>Holly Jones</t>
  </si>
  <si>
    <t>Alison Lewis</t>
  </si>
  <si>
    <t>Diane Mayes</t>
  </si>
  <si>
    <t>Nikki Metcalfe</t>
  </si>
  <si>
    <t>Helen Osguthorpe</t>
  </si>
  <si>
    <t>Vicki Pasmore</t>
  </si>
  <si>
    <t>Sherilyn Powell</t>
  </si>
  <si>
    <t>Zoe Robinson</t>
  </si>
  <si>
    <t>783</t>
  </si>
  <si>
    <t>Rachael Connall</t>
  </si>
  <si>
    <t>Deborah Smith</t>
  </si>
  <si>
    <t>Claire Livesey</t>
  </si>
  <si>
    <t>Suzanne Wise</t>
  </si>
  <si>
    <t>Ailsa Curtis</t>
  </si>
  <si>
    <t>Nicole Tur</t>
  </si>
  <si>
    <t>Deborah Ferns</t>
  </si>
  <si>
    <t>Nicola Berry</t>
  </si>
  <si>
    <t>Lucie Gallen</t>
  </si>
  <si>
    <t>Sarah Church</t>
  </si>
  <si>
    <t>Alison Hinds</t>
  </si>
  <si>
    <t>Jane Roberts</t>
  </si>
  <si>
    <t>Julie Parker</t>
  </si>
  <si>
    <t>Samantha Messenger</t>
  </si>
  <si>
    <t>Rowena Young</t>
  </si>
  <si>
    <t>Sharon Leaney</t>
  </si>
  <si>
    <t>Fiona Walker</t>
  </si>
  <si>
    <t>Sarah Darch</t>
  </si>
  <si>
    <t>Hillingdon Triathletes</t>
  </si>
  <si>
    <t>Crissy Harris</t>
  </si>
  <si>
    <t>Vicki Boddice</t>
  </si>
  <si>
    <t>Michelle Forster</t>
  </si>
  <si>
    <t>Gemma Hobson</t>
  </si>
  <si>
    <t>Helen Taylor</t>
  </si>
  <si>
    <t>Isobel Beattie</t>
  </si>
  <si>
    <t>Gwen Warren</t>
  </si>
  <si>
    <t>Claire Allsop</t>
  </si>
  <si>
    <t>Nicola Flynn</t>
  </si>
  <si>
    <t>Marie Meldrum</t>
  </si>
  <si>
    <t>Lesley Moss</t>
  </si>
  <si>
    <t>Jennifer Noble</t>
  </si>
  <si>
    <t>Sara Packer</t>
  </si>
  <si>
    <t>Brenda Callander</t>
  </si>
  <si>
    <t>Aileen Fisher</t>
  </si>
  <si>
    <t>Gill Thom</t>
  </si>
  <si>
    <t>Janice Bell</t>
  </si>
  <si>
    <t>Emily Holl</t>
  </si>
  <si>
    <t>Catherine Logan</t>
  </si>
  <si>
    <t>Fullarton Wheelers Cycling Club</t>
  </si>
  <si>
    <t>Lorna Sloan</t>
  </si>
  <si>
    <t>Malgorzata McPherson</t>
  </si>
  <si>
    <t>Christine Pout</t>
  </si>
  <si>
    <t>Jacqui Thomson</t>
  </si>
  <si>
    <t>Paula Robinson</t>
  </si>
  <si>
    <t>Alison Stagg</t>
  </si>
  <si>
    <t>Lianne Coates</t>
  </si>
  <si>
    <t>Kirsteen Ellis</t>
  </si>
  <si>
    <t>Carol Miller</t>
  </si>
  <si>
    <t>Jane De Boltz</t>
  </si>
  <si>
    <t>Rachel Kendrick</t>
  </si>
  <si>
    <t>Claire Sharp</t>
  </si>
  <si>
    <t>Nicola Wadham</t>
  </si>
  <si>
    <t>Jill Cliff</t>
  </si>
  <si>
    <t>Brenda Bozwood Davies</t>
  </si>
  <si>
    <t>Fiona Paton</t>
  </si>
  <si>
    <t>East Sutherland Wheelers</t>
  </si>
  <si>
    <t>Carol Middleton</t>
  </si>
  <si>
    <t>Ruth Sutherland</t>
  </si>
  <si>
    <t>Deborah John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</si>
</sst>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2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>
        <f>HYPERLINK("https://www.britishcycling.org.uk/points?person_id=330519&amp;year=2019&amp;type=national&amp;d=6","Results")</f>
        <v/>
      </c>
    </row>
    <row r="3" spans="1:5">
      <c r="A3" t="s">
        <v>9</v>
      </c>
      <c r="B3" t="s">
        <v>10</v>
      </c>
      <c r="C3" t="s">
        <v>11</v>
      </c>
      <c r="D3" t="s">
        <v>12</v>
      </c>
      <c r="E3">
        <f>HYPERLINK("https://www.britishcycling.org.uk/points?person_id=139080&amp;year=2019&amp;type=national&amp;d=6","Results")</f>
        <v/>
      </c>
    </row>
    <row r="4" spans="1:5">
      <c r="A4" t="s">
        <v>13</v>
      </c>
      <c r="B4" t="s">
        <v>14</v>
      </c>
      <c r="C4" t="s">
        <v>15</v>
      </c>
      <c r="D4" t="s">
        <v>16</v>
      </c>
      <c r="E4">
        <f>HYPERLINK("https://www.britishcycling.org.uk/points?person_id=378829&amp;year=2019&amp;type=national&amp;d=6","Results")</f>
        <v/>
      </c>
    </row>
    <row r="5" spans="1:5">
      <c r="A5" t="s">
        <v>17</v>
      </c>
      <c r="B5" t="s">
        <v>18</v>
      </c>
      <c r="C5" t="s">
        <v>19</v>
      </c>
      <c r="D5" t="s">
        <v>20</v>
      </c>
      <c r="E5">
        <f>HYPERLINK("https://www.britishcycling.org.uk/points?person_id=218543&amp;year=2019&amp;type=national&amp;d=6","Results")</f>
        <v/>
      </c>
    </row>
    <row r="6" spans="1:5">
      <c r="A6" t="s">
        <v>21</v>
      </c>
      <c r="B6" t="s">
        <v>22</v>
      </c>
      <c r="C6" t="s">
        <v>23</v>
      </c>
      <c r="D6" t="s">
        <v>24</v>
      </c>
      <c r="E6">
        <f>HYPERLINK("https://www.britishcycling.org.uk/points?person_id=290168&amp;year=2019&amp;type=national&amp;d=6","Results")</f>
        <v/>
      </c>
    </row>
    <row r="7" spans="1:5">
      <c r="A7" t="s">
        <v>25</v>
      </c>
      <c r="B7" t="s">
        <v>26</v>
      </c>
      <c r="C7" t="s">
        <v>23</v>
      </c>
      <c r="D7" t="s">
        <v>27</v>
      </c>
      <c r="E7">
        <f>HYPERLINK("https://www.britishcycling.org.uk/points?person_id=386481&amp;year=2019&amp;type=national&amp;d=6","Results")</f>
        <v/>
      </c>
    </row>
    <row r="8" spans="1:5">
      <c r="A8" t="s">
        <v>28</v>
      </c>
      <c r="B8" t="s">
        <v>29</v>
      </c>
      <c r="C8" t="s">
        <v>23</v>
      </c>
      <c r="D8" t="s">
        <v>30</v>
      </c>
      <c r="E8">
        <f>HYPERLINK("https://www.britishcycling.org.uk/points?person_id=285574&amp;year=2019&amp;type=national&amp;d=6","Results")</f>
        <v/>
      </c>
    </row>
    <row r="9" spans="1:5">
      <c r="A9" t="s">
        <v>31</v>
      </c>
      <c r="B9" t="s">
        <v>32</v>
      </c>
      <c r="C9" t="s">
        <v>33</v>
      </c>
      <c r="D9" t="s">
        <v>34</v>
      </c>
      <c r="E9">
        <f>HYPERLINK("https://www.britishcycling.org.uk/points?person_id=735592&amp;year=2019&amp;type=national&amp;d=6","Results")</f>
        <v/>
      </c>
    </row>
    <row r="10" spans="1:5">
      <c r="A10" t="s">
        <v>35</v>
      </c>
      <c r="B10" t="s">
        <v>36</v>
      </c>
      <c r="C10" t="s">
        <v>37</v>
      </c>
      <c r="D10" t="s">
        <v>38</v>
      </c>
      <c r="E10">
        <f>HYPERLINK("https://www.britishcycling.org.uk/points?person_id=177538&amp;year=2019&amp;type=national&amp;d=6","Results")</f>
        <v/>
      </c>
    </row>
    <row r="11" spans="1:5">
      <c r="A11" t="s">
        <v>39</v>
      </c>
      <c r="B11" t="s">
        <v>40</v>
      </c>
      <c r="C11" t="s">
        <v>41</v>
      </c>
      <c r="D11" t="s">
        <v>42</v>
      </c>
      <c r="E11">
        <f>HYPERLINK("https://www.britishcycling.org.uk/points?person_id=231550&amp;year=2019&amp;type=national&amp;d=6","Results")</f>
        <v/>
      </c>
    </row>
    <row r="12" spans="1:5">
      <c r="A12" t="s">
        <v>43</v>
      </c>
      <c r="B12" t="s">
        <v>44</v>
      </c>
      <c r="C12" t="s">
        <v>45</v>
      </c>
      <c r="D12" t="s">
        <v>46</v>
      </c>
      <c r="E12">
        <f>HYPERLINK("https://www.britishcycling.org.uk/points?person_id=284887&amp;year=2019&amp;type=national&amp;d=6","Results")</f>
        <v/>
      </c>
    </row>
    <row r="13" spans="1:5">
      <c r="A13" t="s">
        <v>47</v>
      </c>
      <c r="B13" t="s">
        <v>48</v>
      </c>
      <c r="C13" t="s">
        <v>49</v>
      </c>
      <c r="D13" t="s">
        <v>50</v>
      </c>
      <c r="E13">
        <f>HYPERLINK("https://www.britishcycling.org.uk/points?person_id=662940&amp;year=2019&amp;type=national&amp;d=6","Results")</f>
        <v/>
      </c>
    </row>
    <row r="14" spans="1:5">
      <c r="A14" t="s">
        <v>51</v>
      </c>
      <c r="B14" t="s">
        <v>52</v>
      </c>
      <c r="C14" t="s">
        <v>53</v>
      </c>
      <c r="D14" t="s">
        <v>54</v>
      </c>
      <c r="E14">
        <f>HYPERLINK("https://www.britishcycling.org.uk/points?person_id=292863&amp;year=2019&amp;type=national&amp;d=6","Results")</f>
        <v/>
      </c>
    </row>
    <row r="15" spans="1:5">
      <c r="A15" t="s">
        <v>55</v>
      </c>
      <c r="B15" t="s">
        <v>56</v>
      </c>
      <c r="C15" t="s">
        <v>57</v>
      </c>
      <c r="D15" t="s">
        <v>58</v>
      </c>
      <c r="E15">
        <f>HYPERLINK("https://www.britishcycling.org.uk/points?person_id=207777&amp;year=2019&amp;type=national&amp;d=6","Results")</f>
        <v/>
      </c>
    </row>
    <row r="16" spans="1:5">
      <c r="A16" t="s">
        <v>59</v>
      </c>
      <c r="B16" t="s">
        <v>60</v>
      </c>
      <c r="C16" t="s">
        <v>61</v>
      </c>
      <c r="D16" t="s">
        <v>62</v>
      </c>
      <c r="E16">
        <f>HYPERLINK("https://www.britishcycling.org.uk/points?person_id=532013&amp;year=2019&amp;type=national&amp;d=6","Results")</f>
        <v/>
      </c>
    </row>
    <row r="17" spans="1:5">
      <c r="A17" t="s">
        <v>63</v>
      </c>
      <c r="B17" t="s">
        <v>64</v>
      </c>
      <c r="C17" t="s">
        <v>65</v>
      </c>
      <c r="D17" t="s">
        <v>66</v>
      </c>
      <c r="E17">
        <f>HYPERLINK("https://www.britishcycling.org.uk/points?person_id=177831&amp;year=2019&amp;type=national&amp;d=6","Results")</f>
        <v/>
      </c>
    </row>
    <row r="18" spans="1:5">
      <c r="A18" t="s">
        <v>67</v>
      </c>
      <c r="B18" t="s">
        <v>68</v>
      </c>
      <c r="C18" t="s">
        <v>69</v>
      </c>
      <c r="D18" t="s">
        <v>70</v>
      </c>
      <c r="E18">
        <f>HYPERLINK("https://www.britishcycling.org.uk/points?person_id=181327&amp;year=2019&amp;type=national&amp;d=6","Results")</f>
        <v/>
      </c>
    </row>
    <row r="19" spans="1:5">
      <c r="A19" t="s">
        <v>71</v>
      </c>
      <c r="B19" t="s">
        <v>72</v>
      </c>
      <c r="C19" t="s">
        <v>73</v>
      </c>
      <c r="D19" t="s">
        <v>74</v>
      </c>
      <c r="E19">
        <f>HYPERLINK("https://www.britishcycling.org.uk/points?person_id=328254&amp;year=2019&amp;type=national&amp;d=6","Results")</f>
        <v/>
      </c>
    </row>
    <row r="20" spans="1:5">
      <c r="A20" t="s">
        <v>75</v>
      </c>
      <c r="B20" t="s">
        <v>76</v>
      </c>
      <c r="C20" t="s">
        <v>7</v>
      </c>
      <c r="D20" t="s">
        <v>77</v>
      </c>
      <c r="E20">
        <f>HYPERLINK("https://www.britishcycling.org.uk/points?person_id=550008&amp;year=2019&amp;type=national&amp;d=6","Results")</f>
        <v/>
      </c>
    </row>
    <row r="21" spans="1:5">
      <c r="A21" t="s">
        <v>78</v>
      </c>
      <c r="B21" t="s">
        <v>79</v>
      </c>
      <c r="C21" t="s">
        <v>80</v>
      </c>
      <c r="D21" t="s">
        <v>81</v>
      </c>
      <c r="E21">
        <f>HYPERLINK("https://www.britishcycling.org.uk/points?person_id=571079&amp;year=2019&amp;type=national&amp;d=6","Results")</f>
        <v/>
      </c>
    </row>
    <row r="22" spans="1:5">
      <c r="A22" t="s">
        <v>82</v>
      </c>
      <c r="B22" t="s">
        <v>83</v>
      </c>
      <c r="C22" t="s">
        <v>19</v>
      </c>
      <c r="D22" t="s">
        <v>84</v>
      </c>
      <c r="E22">
        <f>HYPERLINK("https://www.britishcycling.org.uk/points?person_id=218544&amp;year=2019&amp;type=national&amp;d=6","Results")</f>
        <v/>
      </c>
    </row>
    <row r="23" spans="1:5">
      <c r="A23" t="s">
        <v>85</v>
      </c>
      <c r="B23" t="s">
        <v>86</v>
      </c>
      <c r="C23" t="s">
        <v>87</v>
      </c>
      <c r="D23" t="s">
        <v>88</v>
      </c>
      <c r="E23">
        <f>HYPERLINK("https://www.britishcycling.org.uk/points?person_id=542019&amp;year=2019&amp;type=national&amp;d=6","Results")</f>
        <v/>
      </c>
    </row>
    <row r="24" spans="1:5">
      <c r="A24" t="s">
        <v>89</v>
      </c>
      <c r="B24" t="s">
        <v>90</v>
      </c>
      <c r="C24" t="s">
        <v>87</v>
      </c>
      <c r="D24" t="s">
        <v>91</v>
      </c>
      <c r="E24">
        <f>HYPERLINK("https://www.britishcycling.org.uk/points?person_id=527317&amp;year=2019&amp;type=national&amp;d=6","Results")</f>
        <v/>
      </c>
    </row>
    <row r="25" spans="1:5">
      <c r="A25" t="s">
        <v>92</v>
      </c>
      <c r="B25" t="s">
        <v>93</v>
      </c>
      <c r="C25" t="s">
        <v>94</v>
      </c>
      <c r="D25" t="s">
        <v>95</v>
      </c>
      <c r="E25">
        <f>HYPERLINK("https://www.britishcycling.org.uk/points?person_id=287901&amp;year=2019&amp;type=national&amp;d=6","Results")</f>
        <v/>
      </c>
    </row>
    <row r="26" spans="1:5">
      <c r="A26" t="s">
        <v>96</v>
      </c>
      <c r="B26" t="s">
        <v>97</v>
      </c>
      <c r="C26" t="s">
        <v>61</v>
      </c>
      <c r="D26" t="s">
        <v>98</v>
      </c>
      <c r="E26">
        <f>HYPERLINK("https://www.britishcycling.org.uk/points?person_id=416881&amp;year=2019&amp;type=national&amp;d=6","Results")</f>
        <v/>
      </c>
    </row>
    <row r="27" spans="1:5">
      <c r="A27" t="s">
        <v>99</v>
      </c>
      <c r="B27" t="s">
        <v>100</v>
      </c>
      <c r="C27" t="s">
        <v>101</v>
      </c>
      <c r="D27" t="s">
        <v>102</v>
      </c>
      <c r="E27">
        <f>HYPERLINK("https://www.britishcycling.org.uk/points?person_id=228183&amp;year=2019&amp;type=national&amp;d=6","Results")</f>
        <v/>
      </c>
    </row>
    <row r="28" spans="1:5">
      <c r="A28" t="s">
        <v>103</v>
      </c>
      <c r="B28" t="s">
        <v>104</v>
      </c>
      <c r="C28" t="s">
        <v>105</v>
      </c>
      <c r="D28" t="s">
        <v>106</v>
      </c>
      <c r="E28">
        <f>HYPERLINK("https://www.britishcycling.org.uk/points?person_id=422790&amp;year=2019&amp;type=national&amp;d=6","Results")</f>
        <v/>
      </c>
    </row>
    <row r="29" spans="1:5">
      <c r="A29" t="s">
        <v>107</v>
      </c>
      <c r="B29" t="s">
        <v>108</v>
      </c>
      <c r="C29" t="s">
        <v>109</v>
      </c>
      <c r="D29" t="s">
        <v>110</v>
      </c>
      <c r="E29">
        <f>HYPERLINK("https://www.britishcycling.org.uk/points?person_id=356817&amp;year=2019&amp;type=national&amp;d=6","Results")</f>
        <v/>
      </c>
    </row>
    <row r="30" spans="1:5">
      <c r="A30" t="s">
        <v>111</v>
      </c>
      <c r="B30" t="s">
        <v>112</v>
      </c>
      <c r="C30" t="s">
        <v>113</v>
      </c>
      <c r="D30" t="s">
        <v>114</v>
      </c>
      <c r="E30">
        <f>HYPERLINK("https://www.britishcycling.org.uk/points?person_id=242326&amp;year=2019&amp;type=national&amp;d=6","Results")</f>
        <v/>
      </c>
    </row>
    <row r="31" spans="1:5">
      <c r="A31" t="s">
        <v>115</v>
      </c>
      <c r="B31" t="s">
        <v>116</v>
      </c>
      <c r="C31" t="s">
        <v>117</v>
      </c>
      <c r="D31" t="s">
        <v>118</v>
      </c>
      <c r="E31">
        <f>HYPERLINK("https://www.britishcycling.org.uk/points?person_id=424325&amp;year=2019&amp;type=national&amp;d=6","Results")</f>
        <v/>
      </c>
    </row>
    <row r="32" spans="1:5">
      <c r="A32" t="s">
        <v>119</v>
      </c>
      <c r="B32" t="s">
        <v>120</v>
      </c>
      <c r="C32" t="s">
        <v>121</v>
      </c>
      <c r="D32" t="s">
        <v>122</v>
      </c>
      <c r="E32">
        <f>HYPERLINK("https://www.britishcycling.org.uk/points?person_id=291487&amp;year=2019&amp;type=national&amp;d=6","Results")</f>
        <v/>
      </c>
    </row>
    <row r="33" spans="1:5">
      <c r="A33" t="s">
        <v>123</v>
      </c>
      <c r="B33" t="s">
        <v>124</v>
      </c>
      <c r="C33" t="s">
        <v>125</v>
      </c>
      <c r="D33" t="s">
        <v>126</v>
      </c>
      <c r="E33">
        <f>HYPERLINK("https://www.britishcycling.org.uk/points?person_id=471422&amp;year=2019&amp;type=national&amp;d=6","Results")</f>
        <v/>
      </c>
    </row>
    <row r="34" spans="1:5">
      <c r="A34" t="s">
        <v>127</v>
      </c>
      <c r="B34" t="s">
        <v>128</v>
      </c>
      <c r="C34" t="s">
        <v>87</v>
      </c>
      <c r="D34" t="s">
        <v>129</v>
      </c>
      <c r="E34">
        <f>HYPERLINK("https://www.britishcycling.org.uk/points?person_id=556219&amp;year=2019&amp;type=national&amp;d=6","Results")</f>
        <v/>
      </c>
    </row>
    <row r="35" spans="1:5">
      <c r="A35" t="s">
        <v>130</v>
      </c>
      <c r="B35" t="s">
        <v>131</v>
      </c>
      <c r="C35" t="s">
        <v>80</v>
      </c>
      <c r="D35" t="s">
        <v>132</v>
      </c>
      <c r="E35">
        <f>HYPERLINK("https://www.britishcycling.org.uk/points?person_id=515652&amp;year=2019&amp;type=national&amp;d=6","Results")</f>
        <v/>
      </c>
    </row>
    <row r="36" spans="1:5">
      <c r="A36" t="s">
        <v>133</v>
      </c>
      <c r="B36" t="s">
        <v>134</v>
      </c>
      <c r="C36" t="s">
        <v>135</v>
      </c>
      <c r="D36" t="s">
        <v>136</v>
      </c>
      <c r="E36">
        <f>HYPERLINK("https://www.britishcycling.org.uk/points?person_id=351456&amp;year=2019&amp;type=national&amp;d=6","Results")</f>
        <v/>
      </c>
    </row>
    <row r="37" spans="1:5">
      <c r="A37" t="s">
        <v>137</v>
      </c>
      <c r="B37" t="s">
        <v>138</v>
      </c>
      <c r="C37" t="s">
        <v>139</v>
      </c>
      <c r="D37" t="s">
        <v>140</v>
      </c>
      <c r="E37">
        <f>HYPERLINK("https://www.britishcycling.org.uk/points?person_id=259512&amp;year=2019&amp;type=national&amp;d=6","Results")</f>
        <v/>
      </c>
    </row>
    <row r="38" spans="1:5">
      <c r="A38" t="s">
        <v>141</v>
      </c>
      <c r="B38" t="s">
        <v>142</v>
      </c>
      <c r="C38" t="s">
        <v>143</v>
      </c>
      <c r="D38" t="s">
        <v>144</v>
      </c>
      <c r="E38">
        <f>HYPERLINK("https://www.britishcycling.org.uk/points?person_id=241825&amp;year=2019&amp;type=national&amp;d=6","Results")</f>
        <v/>
      </c>
    </row>
    <row r="39" spans="1:5">
      <c r="A39" t="s">
        <v>145</v>
      </c>
      <c r="B39" t="s">
        <v>146</v>
      </c>
      <c r="C39" t="s">
        <v>45</v>
      </c>
      <c r="D39" t="s">
        <v>147</v>
      </c>
      <c r="E39">
        <f>HYPERLINK("https://www.britishcycling.org.uk/points?person_id=300592&amp;year=2019&amp;type=national&amp;d=6","Results")</f>
        <v/>
      </c>
    </row>
    <row r="40" spans="1:5">
      <c r="A40" t="s">
        <v>148</v>
      </c>
      <c r="B40" t="s">
        <v>149</v>
      </c>
      <c r="C40" t="s">
        <v>45</v>
      </c>
      <c r="D40" t="s">
        <v>150</v>
      </c>
      <c r="E40">
        <f>HYPERLINK("https://www.britishcycling.org.uk/points?person_id=523322&amp;year=2019&amp;type=national&amp;d=6","Results")</f>
        <v/>
      </c>
    </row>
    <row r="41" spans="1:5">
      <c r="A41" t="s">
        <v>151</v>
      </c>
      <c r="B41" t="s">
        <v>152</v>
      </c>
      <c r="C41" t="s">
        <v>153</v>
      </c>
      <c r="D41" t="s">
        <v>154</v>
      </c>
      <c r="E41">
        <f>HYPERLINK("https://www.britishcycling.org.uk/points?person_id=218581&amp;year=2019&amp;type=national&amp;d=6","Results")</f>
        <v/>
      </c>
    </row>
    <row r="42" spans="1:5">
      <c r="A42" t="s">
        <v>155</v>
      </c>
      <c r="B42" t="s">
        <v>156</v>
      </c>
      <c r="C42" t="s">
        <v>157</v>
      </c>
      <c r="D42" t="s">
        <v>154</v>
      </c>
      <c r="E42">
        <f>HYPERLINK("https://www.britishcycling.org.uk/points?person_id=612654&amp;year=2019&amp;type=national&amp;d=6","Results")</f>
        <v/>
      </c>
    </row>
    <row r="43" spans="1:5">
      <c r="A43" t="s">
        <v>158</v>
      </c>
      <c r="B43" t="s">
        <v>159</v>
      </c>
      <c r="C43" t="s">
        <v>45</v>
      </c>
      <c r="D43" t="s">
        <v>160</v>
      </c>
      <c r="E43">
        <f>HYPERLINK("https://www.britishcycling.org.uk/points?person_id=333649&amp;year=2019&amp;type=national&amp;d=6","Results")</f>
        <v/>
      </c>
    </row>
    <row r="44" spans="1:5">
      <c r="A44" t="s">
        <v>161</v>
      </c>
      <c r="B44" t="s">
        <v>162</v>
      </c>
      <c r="C44" t="s">
        <v>163</v>
      </c>
      <c r="D44" t="s">
        <v>164</v>
      </c>
      <c r="E44">
        <f>HYPERLINK("https://www.britishcycling.org.uk/points?person_id=218449&amp;year=2019&amp;type=national&amp;d=6","Results")</f>
        <v/>
      </c>
    </row>
    <row r="45" spans="1:5">
      <c r="A45" t="s">
        <v>165</v>
      </c>
      <c r="B45" t="s">
        <v>166</v>
      </c>
      <c r="C45" t="s">
        <v>167</v>
      </c>
      <c r="D45" t="s">
        <v>164</v>
      </c>
      <c r="E45">
        <f>HYPERLINK("https://www.britishcycling.org.uk/points?person_id=340261&amp;year=2019&amp;type=national&amp;d=6","Results")</f>
        <v/>
      </c>
    </row>
    <row r="46" spans="1:5">
      <c r="A46" t="s">
        <v>168</v>
      </c>
      <c r="B46" t="s">
        <v>169</v>
      </c>
      <c r="C46" t="s">
        <v>170</v>
      </c>
      <c r="D46" t="s">
        <v>171</v>
      </c>
      <c r="E46">
        <f>HYPERLINK("https://www.britishcycling.org.uk/points?person_id=761225&amp;year=2019&amp;type=national&amp;d=6","Results")</f>
        <v/>
      </c>
    </row>
    <row r="47" spans="1:5">
      <c r="A47" t="s">
        <v>172</v>
      </c>
      <c r="B47" t="s">
        <v>173</v>
      </c>
      <c r="C47" t="s">
        <v>174</v>
      </c>
      <c r="D47" t="s">
        <v>175</v>
      </c>
      <c r="E47">
        <f>HYPERLINK("https://www.britishcycling.org.uk/points?person_id=667395&amp;year=2019&amp;type=national&amp;d=6","Results")</f>
        <v/>
      </c>
    </row>
    <row r="48" spans="1:5">
      <c r="A48" t="s">
        <v>176</v>
      </c>
      <c r="B48" t="s">
        <v>177</v>
      </c>
      <c r="C48" t="s">
        <v>178</v>
      </c>
      <c r="D48" t="s">
        <v>179</v>
      </c>
      <c r="E48">
        <f>HYPERLINK("https://www.britishcycling.org.uk/points?person_id=452397&amp;year=2019&amp;type=national&amp;d=6","Results")</f>
        <v/>
      </c>
    </row>
    <row r="49" spans="1:5">
      <c r="A49" t="s">
        <v>180</v>
      </c>
      <c r="B49" t="s">
        <v>181</v>
      </c>
      <c r="C49" t="s">
        <v>182</v>
      </c>
      <c r="D49" t="s">
        <v>183</v>
      </c>
      <c r="E49">
        <f>HYPERLINK("https://www.britishcycling.org.uk/points?person_id=247337&amp;year=2019&amp;type=national&amp;d=6","Results")</f>
        <v/>
      </c>
    </row>
    <row r="50" spans="1:5">
      <c r="A50" t="s">
        <v>184</v>
      </c>
      <c r="B50" t="s">
        <v>185</v>
      </c>
      <c r="C50" t="s">
        <v>186</v>
      </c>
      <c r="D50" t="s">
        <v>187</v>
      </c>
      <c r="E50">
        <f>HYPERLINK("https://www.britishcycling.org.uk/points?person_id=404269&amp;year=2019&amp;type=national&amp;d=6","Results")</f>
        <v/>
      </c>
    </row>
    <row r="51" spans="1:5">
      <c r="A51" t="s">
        <v>188</v>
      </c>
      <c r="B51" t="s">
        <v>189</v>
      </c>
      <c r="C51" t="s">
        <v>190</v>
      </c>
      <c r="D51" t="s">
        <v>191</v>
      </c>
      <c r="E51">
        <f>HYPERLINK("https://www.britishcycling.org.uk/points?person_id=407501&amp;year=2019&amp;type=national&amp;d=6","Results")</f>
        <v/>
      </c>
    </row>
    <row r="52" spans="1:5">
      <c r="A52" t="s">
        <v>192</v>
      </c>
      <c r="B52" t="s">
        <v>193</v>
      </c>
      <c r="C52" t="s">
        <v>194</v>
      </c>
      <c r="D52" t="s">
        <v>195</v>
      </c>
      <c r="E52">
        <f>HYPERLINK("https://www.britishcycling.org.uk/points?person_id=407687&amp;year=2019&amp;type=national&amp;d=6","Results")</f>
        <v/>
      </c>
    </row>
    <row r="53" spans="1:5">
      <c r="A53" t="s">
        <v>196</v>
      </c>
      <c r="B53" t="s">
        <v>197</v>
      </c>
      <c r="C53" t="s">
        <v>198</v>
      </c>
      <c r="D53" t="s">
        <v>195</v>
      </c>
      <c r="E53">
        <f>HYPERLINK("https://www.britishcycling.org.uk/points?person_id=290561&amp;year=2019&amp;type=national&amp;d=6","Results")</f>
        <v/>
      </c>
    </row>
    <row r="54" spans="1:5">
      <c r="A54" t="s">
        <v>199</v>
      </c>
      <c r="B54" t="s">
        <v>200</v>
      </c>
      <c r="C54" t="s">
        <v>201</v>
      </c>
      <c r="D54" t="s">
        <v>202</v>
      </c>
      <c r="E54">
        <f>HYPERLINK("https://www.britishcycling.org.uk/points?person_id=540586&amp;year=2019&amp;type=national&amp;d=6","Results")</f>
        <v/>
      </c>
    </row>
    <row r="55" spans="1:5">
      <c r="A55" t="s">
        <v>203</v>
      </c>
      <c r="B55" t="s">
        <v>204</v>
      </c>
      <c r="C55" t="s">
        <v>205</v>
      </c>
      <c r="D55" t="s">
        <v>206</v>
      </c>
      <c r="E55">
        <f>HYPERLINK("https://www.britishcycling.org.uk/points?person_id=402261&amp;year=2019&amp;type=national&amp;d=6","Results")</f>
        <v/>
      </c>
    </row>
    <row r="56" spans="1:5">
      <c r="A56" t="s">
        <v>207</v>
      </c>
      <c r="B56" t="s">
        <v>208</v>
      </c>
      <c r="C56" t="s">
        <v>23</v>
      </c>
      <c r="D56" t="s">
        <v>209</v>
      </c>
      <c r="E56">
        <f>HYPERLINK("https://www.britishcycling.org.uk/points?person_id=604670&amp;year=2019&amp;type=national&amp;d=6","Results")</f>
        <v/>
      </c>
    </row>
    <row r="57" spans="1:5">
      <c r="A57" t="s">
        <v>210</v>
      </c>
      <c r="B57" t="s">
        <v>211</v>
      </c>
      <c r="C57" t="s">
        <v>212</v>
      </c>
      <c r="D57" t="s">
        <v>213</v>
      </c>
      <c r="E57">
        <f>HYPERLINK("https://www.britishcycling.org.uk/points?person_id=615296&amp;year=2019&amp;type=national&amp;d=6","Results")</f>
        <v/>
      </c>
    </row>
    <row r="58" spans="1:5">
      <c r="A58" t="s">
        <v>214</v>
      </c>
      <c r="B58" t="s">
        <v>215</v>
      </c>
      <c r="C58" t="s">
        <v>216</v>
      </c>
      <c r="D58" t="s">
        <v>217</v>
      </c>
      <c r="E58">
        <f>HYPERLINK("https://www.britishcycling.org.uk/points?person_id=657721&amp;year=2019&amp;type=national&amp;d=6","Results")</f>
        <v/>
      </c>
    </row>
    <row r="59" spans="1:5">
      <c r="A59" t="s">
        <v>218</v>
      </c>
      <c r="B59" t="s">
        <v>219</v>
      </c>
      <c r="C59" t="s">
        <v>80</v>
      </c>
      <c r="D59" t="s">
        <v>220</v>
      </c>
      <c r="E59">
        <f>HYPERLINK("https://www.britishcycling.org.uk/points?person_id=512658&amp;year=2019&amp;type=national&amp;d=6","Results")</f>
        <v/>
      </c>
    </row>
    <row r="60" spans="1:5">
      <c r="A60" t="s">
        <v>221</v>
      </c>
      <c r="B60" t="s">
        <v>222</v>
      </c>
      <c r="C60" t="s">
        <v>223</v>
      </c>
      <c r="D60" t="s">
        <v>224</v>
      </c>
      <c r="E60">
        <f>HYPERLINK("https://www.britishcycling.org.uk/points?person_id=509011&amp;year=2019&amp;type=national&amp;d=6","Results")</f>
        <v/>
      </c>
    </row>
    <row r="61" spans="1:5">
      <c r="A61" t="s">
        <v>225</v>
      </c>
      <c r="B61" t="s">
        <v>226</v>
      </c>
      <c r="C61" t="s">
        <v>194</v>
      </c>
      <c r="D61" t="s">
        <v>227</v>
      </c>
      <c r="E61">
        <f>HYPERLINK("https://www.britishcycling.org.uk/points?person_id=406128&amp;year=2019&amp;type=national&amp;d=6","Results")</f>
        <v/>
      </c>
    </row>
    <row r="62" spans="1:5">
      <c r="A62" t="s">
        <v>228</v>
      </c>
      <c r="B62" t="s">
        <v>229</v>
      </c>
      <c r="C62" t="s">
        <v>230</v>
      </c>
      <c r="D62" t="s">
        <v>231</v>
      </c>
      <c r="E62">
        <f>HYPERLINK("https://www.britishcycling.org.uk/points?person_id=287620&amp;year=2019&amp;type=national&amp;d=6","Results")</f>
        <v/>
      </c>
    </row>
    <row r="63" spans="1:5">
      <c r="A63" t="s">
        <v>232</v>
      </c>
      <c r="B63" t="s">
        <v>233</v>
      </c>
      <c r="C63" t="s">
        <v>234</v>
      </c>
      <c r="D63" t="s">
        <v>235</v>
      </c>
      <c r="E63">
        <f>HYPERLINK("https://www.britishcycling.org.uk/points?person_id=385736&amp;year=2019&amp;type=national&amp;d=6","Results")</f>
        <v/>
      </c>
    </row>
    <row r="64" spans="1:5">
      <c r="A64" t="s">
        <v>236</v>
      </c>
      <c r="B64" t="s">
        <v>237</v>
      </c>
      <c r="C64" t="s">
        <v>238</v>
      </c>
      <c r="D64" t="s">
        <v>235</v>
      </c>
      <c r="E64">
        <f>HYPERLINK("https://www.britishcycling.org.uk/points?person_id=545785&amp;year=2019&amp;type=national&amp;d=6","Results")</f>
        <v/>
      </c>
    </row>
    <row r="65" spans="1:5">
      <c r="A65" t="s">
        <v>239</v>
      </c>
      <c r="B65" t="s">
        <v>240</v>
      </c>
      <c r="C65" t="s">
        <v>178</v>
      </c>
      <c r="D65" t="s">
        <v>235</v>
      </c>
      <c r="E65">
        <f>HYPERLINK("https://www.britishcycling.org.uk/points?person_id=454908&amp;year=2019&amp;type=national&amp;d=6","Results")</f>
        <v/>
      </c>
    </row>
    <row r="66" spans="1:5">
      <c r="A66" t="s">
        <v>241</v>
      </c>
      <c r="B66" t="s">
        <v>242</v>
      </c>
      <c r="C66" t="s">
        <v>105</v>
      </c>
      <c r="D66" t="s">
        <v>243</v>
      </c>
      <c r="E66">
        <f>HYPERLINK("https://www.britishcycling.org.uk/points?person_id=383351&amp;year=2019&amp;type=national&amp;d=6","Results")</f>
        <v/>
      </c>
    </row>
    <row r="67" spans="1:5">
      <c r="A67" t="s">
        <v>244</v>
      </c>
      <c r="B67" t="s">
        <v>245</v>
      </c>
      <c r="C67" t="s">
        <v>167</v>
      </c>
      <c r="D67" t="s">
        <v>246</v>
      </c>
      <c r="E67">
        <f>HYPERLINK("https://www.britishcycling.org.uk/points?person_id=564639&amp;year=2019&amp;type=national&amp;d=6","Results")</f>
        <v/>
      </c>
    </row>
    <row r="68" spans="1:5">
      <c r="A68" t="s">
        <v>247</v>
      </c>
      <c r="B68" t="s">
        <v>248</v>
      </c>
      <c r="C68" t="s">
        <v>249</v>
      </c>
      <c r="D68" t="s">
        <v>246</v>
      </c>
      <c r="E68">
        <f>HYPERLINK("https://www.britishcycling.org.uk/points?person_id=381482&amp;year=2019&amp;type=national&amp;d=6","Results")</f>
        <v/>
      </c>
    </row>
    <row r="69" spans="1:5">
      <c r="A69" t="s">
        <v>250</v>
      </c>
      <c r="B69" t="s">
        <v>251</v>
      </c>
      <c r="C69" t="s">
        <v>252</v>
      </c>
      <c r="D69" t="s">
        <v>253</v>
      </c>
      <c r="E69">
        <f>HYPERLINK("https://www.britishcycling.org.uk/points?person_id=182371&amp;year=2019&amp;type=national&amp;d=6","Results")</f>
        <v/>
      </c>
    </row>
    <row r="70" spans="1:5">
      <c r="A70" t="s">
        <v>254</v>
      </c>
      <c r="B70" t="s">
        <v>255</v>
      </c>
      <c r="C70" t="s">
        <v>87</v>
      </c>
      <c r="D70" t="s">
        <v>256</v>
      </c>
      <c r="E70">
        <f>HYPERLINK("https://www.britishcycling.org.uk/points?person_id=376907&amp;year=2019&amp;type=national&amp;d=6","Results")</f>
        <v/>
      </c>
    </row>
    <row r="71" spans="1:5">
      <c r="A71" t="s">
        <v>257</v>
      </c>
      <c r="B71" t="s">
        <v>258</v>
      </c>
      <c r="C71" t="s">
        <v>259</v>
      </c>
      <c r="D71" t="s">
        <v>256</v>
      </c>
      <c r="E71">
        <f>HYPERLINK("https://www.britishcycling.org.uk/points?person_id=327982&amp;year=2019&amp;type=national&amp;d=6","Results")</f>
        <v/>
      </c>
    </row>
    <row r="72" spans="1:5">
      <c r="A72" t="s">
        <v>260</v>
      </c>
      <c r="B72" t="s">
        <v>261</v>
      </c>
      <c r="C72" t="s">
        <v>262</v>
      </c>
      <c r="D72" t="s">
        <v>263</v>
      </c>
      <c r="E72">
        <f>HYPERLINK("https://www.britishcycling.org.uk/points?person_id=624691&amp;year=2019&amp;type=national&amp;d=6","Results")</f>
        <v/>
      </c>
    </row>
    <row r="73" spans="1:5">
      <c r="A73" t="s">
        <v>264</v>
      </c>
      <c r="B73" t="s">
        <v>265</v>
      </c>
      <c r="C73" t="s"/>
      <c r="D73" t="s">
        <v>266</v>
      </c>
      <c r="E73">
        <f>HYPERLINK("https://www.britishcycling.org.uk/points?person_id=753385&amp;year=2019&amp;type=national&amp;d=6","Results")</f>
        <v/>
      </c>
    </row>
    <row r="74" spans="1:5">
      <c r="A74" t="s">
        <v>267</v>
      </c>
      <c r="B74" t="s">
        <v>268</v>
      </c>
      <c r="C74" t="s">
        <v>170</v>
      </c>
      <c r="D74" t="s">
        <v>269</v>
      </c>
      <c r="E74">
        <f>HYPERLINK("https://www.britishcycling.org.uk/points?person_id=352311&amp;year=2019&amp;type=national&amp;d=6","Results")</f>
        <v/>
      </c>
    </row>
    <row r="75" spans="1:5">
      <c r="A75" t="s">
        <v>270</v>
      </c>
      <c r="B75" t="s">
        <v>271</v>
      </c>
      <c r="C75" t="s">
        <v>272</v>
      </c>
      <c r="D75" t="s">
        <v>273</v>
      </c>
      <c r="E75">
        <f>HYPERLINK("https://www.britishcycling.org.uk/points?person_id=314080&amp;year=2019&amp;type=national&amp;d=6","Results")</f>
        <v/>
      </c>
    </row>
    <row r="76" spans="1:5">
      <c r="A76" t="s">
        <v>274</v>
      </c>
      <c r="B76" t="s">
        <v>275</v>
      </c>
      <c r="C76" t="s">
        <v>7</v>
      </c>
      <c r="D76" t="s">
        <v>276</v>
      </c>
      <c r="E76">
        <f>HYPERLINK("https://www.britishcycling.org.uk/points?person_id=195431&amp;year=2019&amp;type=national&amp;d=6","Results")</f>
        <v/>
      </c>
    </row>
    <row r="77" spans="1:5">
      <c r="A77" t="s">
        <v>277</v>
      </c>
      <c r="B77" t="s">
        <v>278</v>
      </c>
      <c r="C77" t="s">
        <v>279</v>
      </c>
      <c r="D77" t="s">
        <v>280</v>
      </c>
      <c r="E77">
        <f>HYPERLINK("https://www.britishcycling.org.uk/points?person_id=549611&amp;year=2019&amp;type=national&amp;d=6","Results")</f>
        <v/>
      </c>
    </row>
    <row r="78" spans="1:5">
      <c r="A78" t="s">
        <v>281</v>
      </c>
      <c r="B78" t="s">
        <v>282</v>
      </c>
      <c r="C78" t="s">
        <v>283</v>
      </c>
      <c r="D78" t="s">
        <v>284</v>
      </c>
      <c r="E78">
        <f>HYPERLINK("https://www.britishcycling.org.uk/points?person_id=546293&amp;year=2019&amp;type=national&amp;d=6","Results")</f>
        <v/>
      </c>
    </row>
    <row r="79" spans="1:5">
      <c r="A79" t="s">
        <v>285</v>
      </c>
      <c r="B79" t="s">
        <v>286</v>
      </c>
      <c r="C79" t="s">
        <v>287</v>
      </c>
      <c r="D79" t="s">
        <v>288</v>
      </c>
      <c r="E79">
        <f>HYPERLINK("https://www.britishcycling.org.uk/points?person_id=286250&amp;year=2019&amp;type=national&amp;d=6","Results")</f>
        <v/>
      </c>
    </row>
    <row r="80" spans="1:5">
      <c r="A80" t="s">
        <v>289</v>
      </c>
      <c r="B80" t="s">
        <v>290</v>
      </c>
      <c r="C80" t="s">
        <v>291</v>
      </c>
      <c r="D80" t="s">
        <v>292</v>
      </c>
      <c r="E80">
        <f>HYPERLINK("https://www.britishcycling.org.uk/points?person_id=543546&amp;year=2019&amp;type=national&amp;d=6","Results")</f>
        <v/>
      </c>
    </row>
    <row r="81" spans="1:5">
      <c r="A81" t="s">
        <v>293</v>
      </c>
      <c r="B81" t="s">
        <v>294</v>
      </c>
      <c r="C81" t="s">
        <v>295</v>
      </c>
      <c r="D81" t="s">
        <v>296</v>
      </c>
      <c r="E81">
        <f>HYPERLINK("https://www.britishcycling.org.uk/points?person_id=396173&amp;year=2019&amp;type=national&amp;d=6","Results")</f>
        <v/>
      </c>
    </row>
    <row r="82" spans="1:5">
      <c r="A82" t="s">
        <v>297</v>
      </c>
      <c r="B82" t="s">
        <v>298</v>
      </c>
      <c r="C82" t="s">
        <v>299</v>
      </c>
      <c r="D82" t="s">
        <v>300</v>
      </c>
      <c r="E82">
        <f>HYPERLINK("https://www.britishcycling.org.uk/points?person_id=225425&amp;year=2019&amp;type=national&amp;d=6","Results")</f>
        <v/>
      </c>
    </row>
    <row r="83" spans="1:5">
      <c r="A83" t="s">
        <v>301</v>
      </c>
      <c r="B83" t="s">
        <v>302</v>
      </c>
      <c r="C83" t="s">
        <v>198</v>
      </c>
      <c r="D83" t="s">
        <v>303</v>
      </c>
      <c r="E83">
        <f>HYPERLINK("https://www.britishcycling.org.uk/points?person_id=207570&amp;year=2019&amp;type=national&amp;d=6","Results")</f>
        <v/>
      </c>
    </row>
    <row r="84" spans="1:5">
      <c r="A84" t="s">
        <v>304</v>
      </c>
      <c r="B84" t="s">
        <v>305</v>
      </c>
      <c r="C84" t="s">
        <v>113</v>
      </c>
      <c r="D84" t="s">
        <v>306</v>
      </c>
      <c r="E84">
        <f>HYPERLINK("https://www.britishcycling.org.uk/points?person_id=853515&amp;year=2019&amp;type=national&amp;d=6","Results")</f>
        <v/>
      </c>
    </row>
    <row r="85" spans="1:5">
      <c r="A85" t="s">
        <v>307</v>
      </c>
      <c r="B85" t="s">
        <v>308</v>
      </c>
      <c r="C85" t="s">
        <v>295</v>
      </c>
      <c r="D85" t="s">
        <v>309</v>
      </c>
      <c r="E85">
        <f>HYPERLINK("https://www.britishcycling.org.uk/points?person_id=103672&amp;year=2019&amp;type=national&amp;d=6","Results")</f>
        <v/>
      </c>
    </row>
    <row r="86" spans="1:5">
      <c r="A86" t="s">
        <v>310</v>
      </c>
      <c r="B86" t="s">
        <v>311</v>
      </c>
      <c r="C86" t="s">
        <v>312</v>
      </c>
      <c r="D86" t="s">
        <v>309</v>
      </c>
      <c r="E86">
        <f>HYPERLINK("https://www.britishcycling.org.uk/points?person_id=840927&amp;year=2019&amp;type=national&amp;d=6","Results")</f>
        <v/>
      </c>
    </row>
    <row r="87" spans="1:5">
      <c r="A87" t="s">
        <v>313</v>
      </c>
      <c r="B87" t="s">
        <v>314</v>
      </c>
      <c r="C87" t="s">
        <v>315</v>
      </c>
      <c r="D87" t="s">
        <v>316</v>
      </c>
      <c r="E87">
        <f>HYPERLINK("https://www.britishcycling.org.uk/points?person_id=184243&amp;year=2019&amp;type=national&amp;d=6","Results")</f>
        <v/>
      </c>
    </row>
    <row r="88" spans="1:5">
      <c r="A88" t="s">
        <v>317</v>
      </c>
      <c r="B88" t="s">
        <v>318</v>
      </c>
      <c r="C88" t="s">
        <v>194</v>
      </c>
      <c r="D88" t="s">
        <v>316</v>
      </c>
      <c r="E88">
        <f>HYPERLINK("https://www.britishcycling.org.uk/points?person_id=616955&amp;year=2019&amp;type=national&amp;d=6","Results")</f>
        <v/>
      </c>
    </row>
    <row r="89" spans="1:5">
      <c r="A89" t="s">
        <v>319</v>
      </c>
      <c r="B89" t="s">
        <v>320</v>
      </c>
      <c r="C89" t="s">
        <v>117</v>
      </c>
      <c r="D89" t="s">
        <v>321</v>
      </c>
      <c r="E89">
        <f>HYPERLINK("https://www.britishcycling.org.uk/points?person_id=532098&amp;year=2019&amp;type=national&amp;d=6","Results")</f>
        <v/>
      </c>
    </row>
    <row r="90" spans="1:5">
      <c r="A90" t="s">
        <v>322</v>
      </c>
      <c r="B90" t="s">
        <v>323</v>
      </c>
      <c r="C90" t="s">
        <v>324</v>
      </c>
      <c r="D90" t="s">
        <v>325</v>
      </c>
      <c r="E90">
        <f>HYPERLINK("https://www.britishcycling.org.uk/points?person_id=301723&amp;year=2019&amp;type=national&amp;d=6","Results")</f>
        <v/>
      </c>
    </row>
    <row r="91" spans="1:5">
      <c r="A91" t="s">
        <v>326</v>
      </c>
      <c r="B91" t="s">
        <v>327</v>
      </c>
      <c r="C91" t="s">
        <v>328</v>
      </c>
      <c r="D91" t="s">
        <v>325</v>
      </c>
      <c r="E91">
        <f>HYPERLINK("https://www.britishcycling.org.uk/points?person_id=383836&amp;year=2019&amp;type=national&amp;d=6","Results")</f>
        <v/>
      </c>
    </row>
    <row r="92" spans="1:5">
      <c r="A92" t="s">
        <v>329</v>
      </c>
      <c r="B92" t="s">
        <v>330</v>
      </c>
      <c r="C92" t="s">
        <v>331</v>
      </c>
      <c r="D92" t="s">
        <v>332</v>
      </c>
      <c r="E92">
        <f>HYPERLINK("https://www.britishcycling.org.uk/points?person_id=746260&amp;year=2019&amp;type=national&amp;d=6","Results")</f>
        <v/>
      </c>
    </row>
    <row r="93" spans="1:5">
      <c r="A93" t="s">
        <v>333</v>
      </c>
      <c r="B93" t="s">
        <v>334</v>
      </c>
      <c r="C93" t="s">
        <v>335</v>
      </c>
      <c r="D93" t="s">
        <v>336</v>
      </c>
      <c r="E93">
        <f>HYPERLINK("https://www.britishcycling.org.uk/points?person_id=585219&amp;year=2019&amp;type=national&amp;d=6","Results")</f>
        <v/>
      </c>
    </row>
    <row r="94" spans="1:5">
      <c r="A94" t="s">
        <v>337</v>
      </c>
      <c r="B94" t="s">
        <v>338</v>
      </c>
      <c r="C94" t="s">
        <v>339</v>
      </c>
      <c r="D94" t="s">
        <v>340</v>
      </c>
      <c r="E94">
        <f>HYPERLINK("https://www.britishcycling.org.uk/points?person_id=231621&amp;year=2019&amp;type=national&amp;d=6","Results")</f>
        <v/>
      </c>
    </row>
    <row r="95" spans="1:5">
      <c r="A95" t="s">
        <v>341</v>
      </c>
      <c r="B95" t="s">
        <v>342</v>
      </c>
      <c r="C95" t="s">
        <v>287</v>
      </c>
      <c r="D95" t="s">
        <v>343</v>
      </c>
      <c r="E95">
        <f>HYPERLINK("https://www.britishcycling.org.uk/points?person_id=220223&amp;year=2019&amp;type=national&amp;d=6","Results")</f>
        <v/>
      </c>
    </row>
    <row r="96" spans="1:5">
      <c r="A96" t="s">
        <v>344</v>
      </c>
      <c r="B96" t="s">
        <v>345</v>
      </c>
      <c r="C96" t="s">
        <v>346</v>
      </c>
      <c r="D96" t="s">
        <v>343</v>
      </c>
      <c r="E96">
        <f>HYPERLINK("https://www.britishcycling.org.uk/points?person_id=837786&amp;year=2019&amp;type=national&amp;d=6","Results")</f>
        <v/>
      </c>
    </row>
    <row r="97" spans="1:5">
      <c r="A97" t="s">
        <v>347</v>
      </c>
      <c r="B97" t="s">
        <v>348</v>
      </c>
      <c r="C97" t="s">
        <v>201</v>
      </c>
      <c r="D97" t="s">
        <v>349</v>
      </c>
      <c r="E97">
        <f>HYPERLINK("https://www.britishcycling.org.uk/points?person_id=392100&amp;year=2019&amp;type=national&amp;d=6","Results")</f>
        <v/>
      </c>
    </row>
    <row r="98" spans="1:5">
      <c r="A98" t="s">
        <v>350</v>
      </c>
      <c r="B98" t="s">
        <v>351</v>
      </c>
      <c r="C98" t="s">
        <v>143</v>
      </c>
      <c r="D98" t="s">
        <v>349</v>
      </c>
      <c r="E98">
        <f>HYPERLINK("https://www.britishcycling.org.uk/points?person_id=384770&amp;year=2019&amp;type=national&amp;d=6","Results")</f>
        <v/>
      </c>
    </row>
    <row r="99" spans="1:5">
      <c r="A99" t="s">
        <v>352</v>
      </c>
      <c r="B99" t="s">
        <v>353</v>
      </c>
      <c r="C99" t="s">
        <v>45</v>
      </c>
      <c r="D99" t="s">
        <v>352</v>
      </c>
      <c r="E99">
        <f>HYPERLINK("https://www.britishcycling.org.uk/points?person_id=612428&amp;year=2019&amp;type=national&amp;d=6","Results")</f>
        <v/>
      </c>
    </row>
    <row r="100" spans="1:5">
      <c r="A100" t="s">
        <v>349</v>
      </c>
      <c r="B100" t="s">
        <v>354</v>
      </c>
      <c r="C100" t="s">
        <v>355</v>
      </c>
      <c r="D100" t="s">
        <v>350</v>
      </c>
      <c r="E100">
        <f>HYPERLINK("https://www.britishcycling.org.uk/points?person_id=367369&amp;year=2019&amp;type=national&amp;d=6","Results")</f>
        <v/>
      </c>
    </row>
    <row r="101" spans="1:5">
      <c r="A101" t="s">
        <v>356</v>
      </c>
      <c r="B101" t="s">
        <v>357</v>
      </c>
      <c r="C101" t="s">
        <v>358</v>
      </c>
      <c r="D101" t="s">
        <v>347</v>
      </c>
      <c r="E101">
        <f>HYPERLINK("https://www.britishcycling.org.uk/points?person_id=581305&amp;year=2019&amp;type=national&amp;d=6","Results")</f>
        <v/>
      </c>
    </row>
    <row r="102" spans="1:5">
      <c r="A102" t="s">
        <v>359</v>
      </c>
      <c r="B102" t="s">
        <v>360</v>
      </c>
      <c r="C102" t="s">
        <v>361</v>
      </c>
      <c r="D102" t="s">
        <v>344</v>
      </c>
      <c r="E102">
        <f>HYPERLINK("https://www.britishcycling.org.uk/points?person_id=655651&amp;year=2019&amp;type=national&amp;d=6","Results")</f>
        <v/>
      </c>
    </row>
    <row r="103" spans="1:5">
      <c r="A103" t="s">
        <v>343</v>
      </c>
      <c r="B103" t="s">
        <v>362</v>
      </c>
      <c r="C103" t="s">
        <v>363</v>
      </c>
      <c r="D103" t="s">
        <v>344</v>
      </c>
      <c r="E103">
        <f>HYPERLINK("https://www.britishcycling.org.uk/points?person_id=256335&amp;year=2019&amp;type=national&amp;d=6","Results")</f>
        <v/>
      </c>
    </row>
    <row r="104" spans="1:5">
      <c r="A104" t="s">
        <v>364</v>
      </c>
      <c r="B104" t="s">
        <v>365</v>
      </c>
      <c r="C104" t="s">
        <v>366</v>
      </c>
      <c r="D104" t="s">
        <v>341</v>
      </c>
      <c r="E104">
        <f>HYPERLINK("https://www.britishcycling.org.uk/points?person_id=676773&amp;year=2019&amp;type=national&amp;d=6","Results")</f>
        <v/>
      </c>
    </row>
    <row r="105" spans="1:5">
      <c r="A105" t="s">
        <v>340</v>
      </c>
      <c r="B105" t="s">
        <v>367</v>
      </c>
      <c r="C105" t="s">
        <v>139</v>
      </c>
      <c r="D105" t="s">
        <v>341</v>
      </c>
      <c r="E105">
        <f>HYPERLINK("https://www.britishcycling.org.uk/points?person_id=625084&amp;year=2019&amp;type=national&amp;d=6","Results")</f>
        <v/>
      </c>
    </row>
    <row r="106" spans="1:5">
      <c r="A106" t="s">
        <v>368</v>
      </c>
      <c r="B106" t="s">
        <v>369</v>
      </c>
      <c r="C106" t="s">
        <v>315</v>
      </c>
      <c r="D106" t="s">
        <v>337</v>
      </c>
      <c r="E106">
        <f>HYPERLINK("https://www.britishcycling.org.uk/points?person_id=509416&amp;year=2019&amp;type=national&amp;d=6","Results")</f>
        <v/>
      </c>
    </row>
    <row r="107" spans="1:5">
      <c r="A107" t="s">
        <v>370</v>
      </c>
      <c r="B107" t="s">
        <v>371</v>
      </c>
      <c r="C107" t="s"/>
      <c r="D107" t="s">
        <v>337</v>
      </c>
      <c r="E107">
        <f>HYPERLINK("https://www.britishcycling.org.uk/points?person_id=313867&amp;year=2019&amp;type=national&amp;d=6","Results")</f>
        <v/>
      </c>
    </row>
    <row r="108" spans="1:5">
      <c r="A108" t="s">
        <v>372</v>
      </c>
      <c r="B108" t="s">
        <v>373</v>
      </c>
      <c r="C108" t="s"/>
      <c r="D108" t="s">
        <v>333</v>
      </c>
      <c r="E108">
        <f>HYPERLINK("https://www.britishcycling.org.uk/points?person_id=561633&amp;year=2019&amp;type=national&amp;d=6","Results")</f>
        <v/>
      </c>
    </row>
    <row r="109" spans="1:5">
      <c r="A109" t="s">
        <v>374</v>
      </c>
      <c r="B109" t="s">
        <v>375</v>
      </c>
      <c r="C109" t="s">
        <v>376</v>
      </c>
      <c r="D109" t="s">
        <v>333</v>
      </c>
      <c r="E109">
        <f>HYPERLINK("https://www.britishcycling.org.uk/points?person_id=227644&amp;year=2019&amp;type=national&amp;d=6","Results")</f>
        <v/>
      </c>
    </row>
    <row r="110" spans="1:5">
      <c r="A110" t="s">
        <v>377</v>
      </c>
      <c r="B110" t="s">
        <v>378</v>
      </c>
      <c r="C110" t="s">
        <v>379</v>
      </c>
      <c r="D110" t="s">
        <v>333</v>
      </c>
      <c r="E110">
        <f>HYPERLINK("https://www.britishcycling.org.uk/points?person_id=296029&amp;year=2019&amp;type=national&amp;d=6","Results")</f>
        <v/>
      </c>
    </row>
    <row r="111" spans="1:5">
      <c r="A111" t="s">
        <v>336</v>
      </c>
      <c r="B111" t="s">
        <v>380</v>
      </c>
      <c r="C111" t="s">
        <v>381</v>
      </c>
      <c r="D111" t="s">
        <v>322</v>
      </c>
      <c r="E111">
        <f>HYPERLINK("https://www.britishcycling.org.uk/points?person_id=204411&amp;year=2019&amp;type=national&amp;d=6","Results")</f>
        <v/>
      </c>
    </row>
    <row r="112" spans="1:5">
      <c r="A112" t="s">
        <v>332</v>
      </c>
      <c r="B112" t="s">
        <v>382</v>
      </c>
      <c r="C112" t="s">
        <v>383</v>
      </c>
      <c r="D112" t="s">
        <v>313</v>
      </c>
      <c r="E112">
        <f>HYPERLINK("https://www.britishcycling.org.uk/points?person_id=294190&amp;year=2019&amp;type=national&amp;d=6","Results")</f>
        <v/>
      </c>
    </row>
    <row r="113" spans="1:5">
      <c r="A113" t="s">
        <v>384</v>
      </c>
      <c r="B113" t="s">
        <v>385</v>
      </c>
      <c r="C113" t="s">
        <v>386</v>
      </c>
      <c r="D113" t="s">
        <v>307</v>
      </c>
      <c r="E113">
        <f>HYPERLINK("https://www.britishcycling.org.uk/points?person_id=404360&amp;year=2019&amp;type=national&amp;d=6","Results")</f>
        <v/>
      </c>
    </row>
    <row r="114" spans="1:5">
      <c r="A114" t="s">
        <v>387</v>
      </c>
      <c r="B114" t="s">
        <v>388</v>
      </c>
      <c r="C114" t="s">
        <v>61</v>
      </c>
      <c r="D114" t="s">
        <v>304</v>
      </c>
      <c r="E114">
        <f>HYPERLINK("https://www.britishcycling.org.uk/points?person_id=617355&amp;year=2019&amp;type=national&amp;d=6","Results")</f>
        <v/>
      </c>
    </row>
    <row r="115" spans="1:5">
      <c r="A115" t="s">
        <v>389</v>
      </c>
      <c r="B115" t="s">
        <v>390</v>
      </c>
      <c r="C115" t="s">
        <v>198</v>
      </c>
      <c r="D115" t="s">
        <v>301</v>
      </c>
      <c r="E115">
        <f>HYPERLINK("https://www.britishcycling.org.uk/points?person_id=323105&amp;year=2019&amp;type=national&amp;d=6","Results")</f>
        <v/>
      </c>
    </row>
    <row r="116" spans="1:5">
      <c r="A116" t="s">
        <v>325</v>
      </c>
      <c r="B116" t="s">
        <v>391</v>
      </c>
      <c r="C116" t="s">
        <v>392</v>
      </c>
      <c r="D116" t="s">
        <v>297</v>
      </c>
      <c r="E116">
        <f>HYPERLINK("https://www.britishcycling.org.uk/points?person_id=678295&amp;year=2019&amp;type=national&amp;d=6","Results")</f>
        <v/>
      </c>
    </row>
    <row r="117" spans="1:5">
      <c r="A117" t="s">
        <v>393</v>
      </c>
      <c r="B117" t="s">
        <v>394</v>
      </c>
      <c r="C117" t="s">
        <v>395</v>
      </c>
      <c r="D117" t="s">
        <v>293</v>
      </c>
      <c r="E117">
        <f>HYPERLINK("https://www.britishcycling.org.uk/points?person_id=562389&amp;year=2019&amp;type=national&amp;d=6","Results")</f>
        <v/>
      </c>
    </row>
    <row r="118" spans="1:5">
      <c r="A118" t="s">
        <v>321</v>
      </c>
      <c r="B118" t="s">
        <v>396</v>
      </c>
      <c r="C118" t="s">
        <v>170</v>
      </c>
      <c r="D118" t="s">
        <v>293</v>
      </c>
      <c r="E118">
        <f>HYPERLINK("https://www.britishcycling.org.uk/points?person_id=650922&amp;year=2019&amp;type=national&amp;d=6","Results")</f>
        <v/>
      </c>
    </row>
    <row r="119" spans="1:5">
      <c r="A119" t="s">
        <v>316</v>
      </c>
      <c r="B119" t="s">
        <v>397</v>
      </c>
      <c r="C119" t="s">
        <v>398</v>
      </c>
      <c r="D119" t="s">
        <v>285</v>
      </c>
      <c r="E119">
        <f>HYPERLINK("https://www.britishcycling.org.uk/points?person_id=236914&amp;year=2019&amp;type=national&amp;d=6","Results")</f>
        <v/>
      </c>
    </row>
    <row r="120" spans="1:5">
      <c r="A120" t="s">
        <v>399</v>
      </c>
      <c r="B120" t="s">
        <v>400</v>
      </c>
      <c r="C120" t="s">
        <v>401</v>
      </c>
      <c r="D120" t="s">
        <v>285</v>
      </c>
      <c r="E120">
        <f>HYPERLINK("https://www.britishcycling.org.uk/points?person_id=766143&amp;year=2019&amp;type=national&amp;d=6","Results")</f>
        <v/>
      </c>
    </row>
    <row r="121" spans="1:5">
      <c r="A121" t="s">
        <v>309</v>
      </c>
      <c r="B121" t="s">
        <v>402</v>
      </c>
      <c r="C121" t="s">
        <v>403</v>
      </c>
      <c r="D121" t="s">
        <v>274</v>
      </c>
      <c r="E121">
        <f>HYPERLINK("https://www.britishcycling.org.uk/points?person_id=340737&amp;year=2019&amp;type=national&amp;d=6","Results")</f>
        <v/>
      </c>
    </row>
    <row r="122" spans="1:5">
      <c r="A122" t="s">
        <v>306</v>
      </c>
      <c r="B122" t="s">
        <v>404</v>
      </c>
      <c r="C122" t="s">
        <v>194</v>
      </c>
      <c r="D122" t="s">
        <v>274</v>
      </c>
      <c r="E122">
        <f>HYPERLINK("https://www.britishcycling.org.uk/points?person_id=744729&amp;year=2019&amp;type=national&amp;d=6","Results")</f>
        <v/>
      </c>
    </row>
    <row r="123" spans="1:5">
      <c r="A123" t="s">
        <v>405</v>
      </c>
      <c r="B123" t="s">
        <v>406</v>
      </c>
      <c r="C123" t="s">
        <v>407</v>
      </c>
      <c r="D123" t="s">
        <v>270</v>
      </c>
      <c r="E123">
        <f>HYPERLINK("https://www.britishcycling.org.uk/points?person_id=469206&amp;year=2019&amp;type=national&amp;d=6","Results")</f>
        <v/>
      </c>
    </row>
    <row r="124" spans="1:5">
      <c r="A124" t="s">
        <v>408</v>
      </c>
      <c r="B124" t="s">
        <v>409</v>
      </c>
      <c r="C124" t="s"/>
      <c r="D124" t="s">
        <v>267</v>
      </c>
      <c r="E124">
        <f>HYPERLINK("https://www.britishcycling.org.uk/points?person_id=851583&amp;year=2019&amp;type=national&amp;d=6","Results")</f>
        <v/>
      </c>
    </row>
    <row r="125" spans="1:5">
      <c r="A125" t="s">
        <v>410</v>
      </c>
      <c r="B125" t="s">
        <v>411</v>
      </c>
      <c r="C125" t="s">
        <v>45</v>
      </c>
      <c r="D125" t="s">
        <v>264</v>
      </c>
      <c r="E125">
        <f>HYPERLINK("https://www.britishcycling.org.uk/points?person_id=267609&amp;year=2019&amp;type=national&amp;d=6","Results")</f>
        <v/>
      </c>
    </row>
    <row r="126" spans="1:5">
      <c r="A126" t="s">
        <v>303</v>
      </c>
      <c r="B126" t="s">
        <v>412</v>
      </c>
      <c r="C126" t="s">
        <v>413</v>
      </c>
      <c r="D126" t="s">
        <v>260</v>
      </c>
      <c r="E126">
        <f>HYPERLINK("https://www.britishcycling.org.uk/points?person_id=359028&amp;year=2019&amp;type=national&amp;d=6","Results")</f>
        <v/>
      </c>
    </row>
    <row r="127" spans="1:5">
      <c r="A127" t="s">
        <v>414</v>
      </c>
      <c r="B127" t="s">
        <v>415</v>
      </c>
      <c r="C127" t="s">
        <v>212</v>
      </c>
      <c r="D127" t="s">
        <v>257</v>
      </c>
      <c r="E127">
        <f>HYPERLINK("https://www.britishcycling.org.uk/points?person_id=853062&amp;year=2019&amp;type=national&amp;d=6","Results")</f>
        <v/>
      </c>
    </row>
    <row r="128" spans="1:5">
      <c r="A128" t="s">
        <v>416</v>
      </c>
      <c r="B128" t="s">
        <v>417</v>
      </c>
      <c r="C128" t="s">
        <v>403</v>
      </c>
      <c r="D128" t="s">
        <v>257</v>
      </c>
      <c r="E128">
        <f>HYPERLINK("https://www.britishcycling.org.uk/points?person_id=759348&amp;year=2019&amp;type=national&amp;d=6","Results")</f>
        <v/>
      </c>
    </row>
    <row r="129" spans="1:5">
      <c r="A129" t="s">
        <v>418</v>
      </c>
      <c r="B129" t="s">
        <v>419</v>
      </c>
      <c r="C129" t="s">
        <v>420</v>
      </c>
      <c r="D129" t="s">
        <v>254</v>
      </c>
      <c r="E129">
        <f>HYPERLINK("https://www.britishcycling.org.uk/points?person_id=253080&amp;year=2019&amp;type=national&amp;d=6","Results")</f>
        <v/>
      </c>
    </row>
    <row r="130" spans="1:5">
      <c r="A130" t="s">
        <v>300</v>
      </c>
      <c r="B130" t="s">
        <v>421</v>
      </c>
      <c r="C130" t="s">
        <v>223</v>
      </c>
      <c r="D130" t="s">
        <v>254</v>
      </c>
      <c r="E130">
        <f>HYPERLINK("https://www.britishcycling.org.uk/points?person_id=615829&amp;year=2019&amp;type=national&amp;d=6","Results")</f>
        <v/>
      </c>
    </row>
    <row r="131" spans="1:5">
      <c r="A131" t="s">
        <v>296</v>
      </c>
      <c r="B131" t="s">
        <v>422</v>
      </c>
      <c r="C131" t="s">
        <v>33</v>
      </c>
      <c r="D131" t="s">
        <v>247</v>
      </c>
      <c r="E131">
        <f>HYPERLINK("https://www.britishcycling.org.uk/points?person_id=706564&amp;year=2019&amp;type=national&amp;d=6","Results")</f>
        <v/>
      </c>
    </row>
    <row r="132" spans="1:5">
      <c r="A132" t="s">
        <v>292</v>
      </c>
      <c r="B132" t="s">
        <v>423</v>
      </c>
      <c r="C132" t="s">
        <v>113</v>
      </c>
      <c r="D132" t="s">
        <v>247</v>
      </c>
      <c r="E132">
        <f>HYPERLINK("https://www.britishcycling.org.uk/points?person_id=951329&amp;year=2019&amp;type=national&amp;d=6","Results")</f>
        <v/>
      </c>
    </row>
    <row r="133" spans="1:5">
      <c r="A133" t="s">
        <v>288</v>
      </c>
      <c r="B133" t="s">
        <v>424</v>
      </c>
      <c r="C133" t="s">
        <v>413</v>
      </c>
      <c r="D133" t="s">
        <v>241</v>
      </c>
      <c r="E133">
        <f>HYPERLINK("https://www.britishcycling.org.uk/points?person_id=344309&amp;year=2019&amp;type=national&amp;d=6","Results")</f>
        <v/>
      </c>
    </row>
    <row r="134" spans="1:5">
      <c r="A134" t="s">
        <v>425</v>
      </c>
      <c r="B134" t="s">
        <v>426</v>
      </c>
      <c r="C134" t="s">
        <v>427</v>
      </c>
      <c r="D134" t="s">
        <v>241</v>
      </c>
      <c r="E134">
        <f>HYPERLINK("https://www.britishcycling.org.uk/points?person_id=498169&amp;year=2019&amp;type=national&amp;d=6","Results")</f>
        <v/>
      </c>
    </row>
    <row r="135" spans="1:5">
      <c r="A135" t="s">
        <v>284</v>
      </c>
      <c r="B135" t="s">
        <v>428</v>
      </c>
      <c r="C135" t="s">
        <v>429</v>
      </c>
      <c r="D135" t="s">
        <v>239</v>
      </c>
      <c r="E135">
        <f>HYPERLINK("https://www.britishcycling.org.uk/points?person_id=407094&amp;year=2019&amp;type=national&amp;d=6","Results")</f>
        <v/>
      </c>
    </row>
    <row r="136" spans="1:5">
      <c r="A136" t="s">
        <v>430</v>
      </c>
      <c r="B136" t="s">
        <v>431</v>
      </c>
      <c r="C136" t="s">
        <v>157</v>
      </c>
      <c r="D136" t="s">
        <v>239</v>
      </c>
      <c r="E136">
        <f>HYPERLINK("https://www.britishcycling.org.uk/points?person_id=662013&amp;year=2019&amp;type=national&amp;d=6","Results")</f>
        <v/>
      </c>
    </row>
    <row r="137" spans="1:5">
      <c r="A137" t="s">
        <v>432</v>
      </c>
      <c r="B137" t="s">
        <v>433</v>
      </c>
      <c r="C137" t="s">
        <v>434</v>
      </c>
      <c r="D137" t="s">
        <v>236</v>
      </c>
      <c r="E137">
        <f>HYPERLINK("https://www.britishcycling.org.uk/points?person_id=535552&amp;year=2019&amp;type=national&amp;d=6","Results")</f>
        <v/>
      </c>
    </row>
    <row r="138" spans="1:5">
      <c r="A138" t="s">
        <v>280</v>
      </c>
      <c r="B138" t="s">
        <v>435</v>
      </c>
      <c r="C138" t="s">
        <v>61</v>
      </c>
      <c r="D138" t="s">
        <v>236</v>
      </c>
      <c r="E138">
        <f>HYPERLINK("https://www.britishcycling.org.uk/points?person_id=630377&amp;year=2019&amp;type=national&amp;d=6","Results")</f>
        <v/>
      </c>
    </row>
    <row r="139" spans="1:5">
      <c r="A139" t="s">
        <v>436</v>
      </c>
      <c r="B139" t="s">
        <v>437</v>
      </c>
      <c r="C139" t="s">
        <v>407</v>
      </c>
      <c r="D139" t="s">
        <v>232</v>
      </c>
      <c r="E139">
        <f>HYPERLINK("https://www.britishcycling.org.uk/points?person_id=581319&amp;year=2019&amp;type=national&amp;d=6","Results")</f>
        <v/>
      </c>
    </row>
    <row r="140" spans="1:5">
      <c r="A140" t="s">
        <v>276</v>
      </c>
      <c r="B140" t="s">
        <v>438</v>
      </c>
      <c r="C140" t="s">
        <v>53</v>
      </c>
      <c r="D140" t="s">
        <v>228</v>
      </c>
      <c r="E140">
        <f>HYPERLINK("https://www.britishcycling.org.uk/points?person_id=220101&amp;year=2019&amp;type=national&amp;d=6","Results")</f>
        <v/>
      </c>
    </row>
    <row r="141" spans="1:5">
      <c r="A141" t="s">
        <v>439</v>
      </c>
      <c r="B141" t="s">
        <v>440</v>
      </c>
      <c r="C141" t="s">
        <v>249</v>
      </c>
      <c r="D141" t="s">
        <v>228</v>
      </c>
      <c r="E141">
        <f>HYPERLINK("https://www.britishcycling.org.uk/points?person_id=570842&amp;year=2019&amp;type=national&amp;d=6","Results")</f>
        <v/>
      </c>
    </row>
    <row r="142" spans="1:5">
      <c r="A142" t="s">
        <v>273</v>
      </c>
      <c r="B142" t="s">
        <v>441</v>
      </c>
      <c r="C142" t="s">
        <v>190</v>
      </c>
      <c r="D142" t="s">
        <v>225</v>
      </c>
      <c r="E142">
        <f>HYPERLINK("https://www.britishcycling.org.uk/points?person_id=124320&amp;year=2019&amp;type=national&amp;d=6","Results")</f>
        <v/>
      </c>
    </row>
    <row r="143" spans="1:5">
      <c r="A143" t="s">
        <v>269</v>
      </c>
      <c r="B143" t="s">
        <v>442</v>
      </c>
      <c r="C143" t="s">
        <v>443</v>
      </c>
      <c r="D143" t="s">
        <v>225</v>
      </c>
      <c r="E143">
        <f>HYPERLINK("https://www.britishcycling.org.uk/points?person_id=276545&amp;year=2019&amp;type=national&amp;d=6","Results")</f>
        <v/>
      </c>
    </row>
    <row r="144" spans="1:5">
      <c r="A144" t="s">
        <v>266</v>
      </c>
      <c r="B144" t="s">
        <v>444</v>
      </c>
      <c r="C144" t="s">
        <v>445</v>
      </c>
      <c r="D144" t="s">
        <v>221</v>
      </c>
      <c r="E144">
        <f>HYPERLINK("https://www.britishcycling.org.uk/points?person_id=601420&amp;year=2019&amp;type=national&amp;d=6","Results")</f>
        <v/>
      </c>
    </row>
    <row r="145" spans="1:5">
      <c r="A145" t="s">
        <v>263</v>
      </c>
      <c r="B145" t="s">
        <v>446</v>
      </c>
      <c r="C145" t="s">
        <v>447</v>
      </c>
      <c r="D145" t="s">
        <v>221</v>
      </c>
      <c r="E145">
        <f>HYPERLINK("https://www.britishcycling.org.uk/points?person_id=860578&amp;year=2019&amp;type=national&amp;d=6","Results")</f>
        <v/>
      </c>
    </row>
    <row r="146" spans="1:5">
      <c r="A146" t="s">
        <v>448</v>
      </c>
      <c r="B146" t="s">
        <v>449</v>
      </c>
      <c r="C146" t="s">
        <v>167</v>
      </c>
      <c r="D146" t="s">
        <v>221</v>
      </c>
      <c r="E146">
        <f>HYPERLINK("https://www.britishcycling.org.uk/points?person_id=470527&amp;year=2019&amp;type=national&amp;d=6","Results")</f>
        <v/>
      </c>
    </row>
    <row r="147" spans="1:5">
      <c r="A147" t="s">
        <v>450</v>
      </c>
      <c r="B147" t="s">
        <v>451</v>
      </c>
      <c r="C147" t="s">
        <v>230</v>
      </c>
      <c r="D147" t="s">
        <v>218</v>
      </c>
      <c r="E147">
        <f>HYPERLINK("https://www.britishcycling.org.uk/points?person_id=348724&amp;year=2019&amp;type=national&amp;d=6","Results")</f>
        <v/>
      </c>
    </row>
    <row r="148" spans="1:5">
      <c r="A148" t="s">
        <v>452</v>
      </c>
      <c r="B148" t="s">
        <v>453</v>
      </c>
      <c r="C148" t="s">
        <v>272</v>
      </c>
      <c r="D148" t="s">
        <v>218</v>
      </c>
      <c r="E148">
        <f>HYPERLINK("https://www.britishcycling.org.uk/points?person_id=688717&amp;year=2019&amp;type=national&amp;d=6","Results")</f>
        <v/>
      </c>
    </row>
    <row r="149" spans="1:5">
      <c r="A149" t="s">
        <v>454</v>
      </c>
      <c r="B149" t="s">
        <v>455</v>
      </c>
      <c r="C149" t="s">
        <v>113</v>
      </c>
      <c r="D149" t="s">
        <v>214</v>
      </c>
      <c r="E149">
        <f>HYPERLINK("https://www.britishcycling.org.uk/points?person_id=548445&amp;year=2019&amp;type=national&amp;d=6","Results")</f>
        <v/>
      </c>
    </row>
    <row r="150" spans="1:5">
      <c r="A150" t="s">
        <v>456</v>
      </c>
      <c r="B150" t="s">
        <v>457</v>
      </c>
      <c r="C150" t="s">
        <v>198</v>
      </c>
      <c r="D150" t="s">
        <v>214</v>
      </c>
      <c r="E150">
        <f>HYPERLINK("https://www.britishcycling.org.uk/points?person_id=191654&amp;year=2019&amp;type=national&amp;d=6","Results")</f>
        <v/>
      </c>
    </row>
    <row r="151" spans="1:5">
      <c r="A151" t="s">
        <v>458</v>
      </c>
      <c r="B151" t="s">
        <v>459</v>
      </c>
      <c r="C151" t="s">
        <v>125</v>
      </c>
      <c r="D151" t="s">
        <v>196</v>
      </c>
      <c r="E151">
        <f>HYPERLINK("https://www.britishcycling.org.uk/points?person_id=766453&amp;year=2019&amp;type=national&amp;d=6","Results")</f>
        <v/>
      </c>
    </row>
    <row r="152" spans="1:5">
      <c r="A152" t="s">
        <v>256</v>
      </c>
      <c r="B152" t="s">
        <v>460</v>
      </c>
      <c r="C152" t="s">
        <v>461</v>
      </c>
      <c r="D152" t="s">
        <v>196</v>
      </c>
      <c r="E152">
        <f>HYPERLINK("https://www.britishcycling.org.uk/points?person_id=302331&amp;year=2019&amp;type=national&amp;d=6","Results")</f>
        <v/>
      </c>
    </row>
    <row r="153" spans="1:5">
      <c r="A153" t="s">
        <v>253</v>
      </c>
      <c r="B153" t="s">
        <v>462</v>
      </c>
      <c r="C153" t="s">
        <v>87</v>
      </c>
      <c r="D153" t="s">
        <v>196</v>
      </c>
      <c r="E153">
        <f>HYPERLINK("https://www.britishcycling.org.uk/points?person_id=869460&amp;year=2019&amp;type=national&amp;d=6","Results")</f>
        <v/>
      </c>
    </row>
    <row r="154" spans="1:5">
      <c r="A154" t="s">
        <v>463</v>
      </c>
      <c r="B154" t="s">
        <v>464</v>
      </c>
      <c r="C154" t="s">
        <v>447</v>
      </c>
      <c r="D154" t="s">
        <v>192</v>
      </c>
      <c r="E154">
        <f>HYPERLINK("https://www.britishcycling.org.uk/points?person_id=733136&amp;year=2019&amp;type=national&amp;d=6","Results")</f>
        <v/>
      </c>
    </row>
    <row r="155" spans="1:5">
      <c r="A155" t="s">
        <v>465</v>
      </c>
      <c r="B155" t="s">
        <v>466</v>
      </c>
      <c r="C155" t="s">
        <v>279</v>
      </c>
      <c r="D155" t="s">
        <v>192</v>
      </c>
      <c r="E155">
        <f>HYPERLINK("https://www.britishcycling.org.uk/points?person_id=322462&amp;year=2019&amp;type=national&amp;d=6","Results")</f>
        <v/>
      </c>
    </row>
    <row r="156" spans="1:5">
      <c r="A156" t="s">
        <v>467</v>
      </c>
      <c r="B156" t="s">
        <v>468</v>
      </c>
      <c r="C156" t="s">
        <v>469</v>
      </c>
      <c r="D156" t="s">
        <v>188</v>
      </c>
      <c r="E156">
        <f>HYPERLINK("https://www.britishcycling.org.uk/points?person_id=452656&amp;year=2019&amp;type=national&amp;d=6","Results")</f>
        <v/>
      </c>
    </row>
    <row r="157" spans="1:5">
      <c r="A157" t="s">
        <v>470</v>
      </c>
      <c r="B157" t="s">
        <v>471</v>
      </c>
      <c r="C157" t="s">
        <v>472</v>
      </c>
      <c r="D157" t="s">
        <v>184</v>
      </c>
      <c r="E157">
        <f>HYPERLINK("https://www.britishcycling.org.uk/points?person_id=940845&amp;year=2019&amp;type=national&amp;d=6","Results")</f>
        <v/>
      </c>
    </row>
    <row r="158" spans="1:5">
      <c r="A158" t="s">
        <v>473</v>
      </c>
      <c r="B158" t="s">
        <v>474</v>
      </c>
      <c r="C158" t="s">
        <v>475</v>
      </c>
      <c r="D158" t="s">
        <v>180</v>
      </c>
      <c r="E158">
        <f>HYPERLINK("https://www.britishcycling.org.uk/points?person_id=320197&amp;year=2019&amp;type=national&amp;d=6","Results")</f>
        <v/>
      </c>
    </row>
    <row r="159" spans="1:5">
      <c r="A159" t="s">
        <v>246</v>
      </c>
      <c r="B159" t="s">
        <v>476</v>
      </c>
      <c r="C159" t="s"/>
      <c r="D159" t="s">
        <v>176</v>
      </c>
      <c r="E159">
        <f>HYPERLINK("https://www.britishcycling.org.uk/points?person_id=731631&amp;year=2019&amp;type=national&amp;d=6","Results")</f>
        <v/>
      </c>
    </row>
    <row r="160" spans="1:5">
      <c r="A160" t="s">
        <v>477</v>
      </c>
      <c r="B160" t="s">
        <v>478</v>
      </c>
      <c r="C160" t="s">
        <v>479</v>
      </c>
      <c r="D160" t="s">
        <v>172</v>
      </c>
      <c r="E160">
        <f>HYPERLINK("https://www.britishcycling.org.uk/points?person_id=462838&amp;year=2019&amp;type=national&amp;d=6","Results")</f>
        <v/>
      </c>
    </row>
    <row r="161" spans="1:5">
      <c r="A161" t="s">
        <v>480</v>
      </c>
      <c r="B161" t="s">
        <v>481</v>
      </c>
      <c r="C161" t="s">
        <v>167</v>
      </c>
      <c r="D161" t="s">
        <v>168</v>
      </c>
      <c r="E161">
        <f>HYPERLINK("https://www.britishcycling.org.uk/points?person_id=750978&amp;year=2019&amp;type=national&amp;d=6","Results")</f>
        <v/>
      </c>
    </row>
    <row r="162" spans="1:5">
      <c r="A162" t="s">
        <v>482</v>
      </c>
      <c r="B162" t="s">
        <v>483</v>
      </c>
      <c r="C162" t="s">
        <v>223</v>
      </c>
      <c r="D162" t="s">
        <v>165</v>
      </c>
      <c r="E162">
        <f>HYPERLINK("https://www.britishcycling.org.uk/points?person_id=566386&amp;year=2019&amp;type=national&amp;d=6","Results")</f>
        <v/>
      </c>
    </row>
    <row r="163" spans="1:5">
      <c r="A163" t="s">
        <v>484</v>
      </c>
      <c r="B163" t="s">
        <v>485</v>
      </c>
      <c r="C163" t="s">
        <v>249</v>
      </c>
      <c r="D163" t="s">
        <v>161</v>
      </c>
      <c r="E163">
        <f>HYPERLINK("https://www.britishcycling.org.uk/points?person_id=918573&amp;year=2019&amp;type=national&amp;d=6","Results")</f>
        <v/>
      </c>
    </row>
    <row r="164" spans="1:5">
      <c r="A164" t="s">
        <v>243</v>
      </c>
      <c r="B164" t="s">
        <v>486</v>
      </c>
      <c r="C164" t="s">
        <v>230</v>
      </c>
      <c r="D164" t="s">
        <v>161</v>
      </c>
      <c r="E164">
        <f>HYPERLINK("https://www.britishcycling.org.uk/points?person_id=613241&amp;year=2019&amp;type=national&amp;d=6","Results")</f>
        <v/>
      </c>
    </row>
    <row r="165" spans="1:5">
      <c r="A165" t="s">
        <v>235</v>
      </c>
      <c r="B165" t="s">
        <v>487</v>
      </c>
      <c r="C165" t="s">
        <v>346</v>
      </c>
      <c r="D165" t="s">
        <v>161</v>
      </c>
      <c r="E165">
        <f>HYPERLINK("https://www.britishcycling.org.uk/points?person_id=181544&amp;year=2019&amp;type=national&amp;d=6","Results")</f>
        <v/>
      </c>
    </row>
    <row r="166" spans="1:5">
      <c r="A166" t="s">
        <v>488</v>
      </c>
      <c r="B166" t="s">
        <v>489</v>
      </c>
      <c r="C166" t="s">
        <v>291</v>
      </c>
      <c r="D166" t="s">
        <v>158</v>
      </c>
      <c r="E166">
        <f>HYPERLINK("https://www.britishcycling.org.uk/points?person_id=618370&amp;year=2019&amp;type=national&amp;d=6","Results")</f>
        <v/>
      </c>
    </row>
    <row r="167" spans="1:5">
      <c r="A167" t="s">
        <v>490</v>
      </c>
      <c r="B167" t="s">
        <v>491</v>
      </c>
      <c r="C167" t="s">
        <v>346</v>
      </c>
      <c r="D167" t="s">
        <v>158</v>
      </c>
      <c r="E167">
        <f>HYPERLINK("https://www.britishcycling.org.uk/points?person_id=769792&amp;year=2019&amp;type=national&amp;d=6","Results")</f>
        <v/>
      </c>
    </row>
    <row r="168" spans="1:5">
      <c r="A168" t="s">
        <v>231</v>
      </c>
      <c r="B168" t="s">
        <v>492</v>
      </c>
      <c r="C168" t="s">
        <v>170</v>
      </c>
      <c r="D168" t="s">
        <v>158</v>
      </c>
      <c r="E168">
        <f>HYPERLINK("https://www.britishcycling.org.uk/points?person_id=256381&amp;year=2019&amp;type=national&amp;d=6","Results")</f>
        <v/>
      </c>
    </row>
    <row r="169" spans="1:5">
      <c r="A169" t="s">
        <v>493</v>
      </c>
      <c r="B169" t="s">
        <v>494</v>
      </c>
      <c r="C169" t="s">
        <v>495</v>
      </c>
      <c r="D169" t="s">
        <v>151</v>
      </c>
      <c r="E169">
        <f>HYPERLINK("https://www.britishcycling.org.uk/points?person_id=579229&amp;year=2019&amp;type=national&amp;d=6","Results")</f>
        <v/>
      </c>
    </row>
    <row r="170" spans="1:5">
      <c r="A170" t="s">
        <v>496</v>
      </c>
      <c r="B170" t="s">
        <v>497</v>
      </c>
      <c r="C170" t="s">
        <v>498</v>
      </c>
      <c r="D170" t="s">
        <v>151</v>
      </c>
      <c r="E170">
        <f>HYPERLINK("https://www.britishcycling.org.uk/points?person_id=413609&amp;year=2019&amp;type=national&amp;d=6","Results")</f>
        <v/>
      </c>
    </row>
    <row r="171" spans="1:5">
      <c r="A171" t="s">
        <v>499</v>
      </c>
      <c r="B171" t="s">
        <v>500</v>
      </c>
      <c r="C171" t="s">
        <v>143</v>
      </c>
      <c r="D171" t="s">
        <v>151</v>
      </c>
      <c r="E171">
        <f>HYPERLINK("https://www.britishcycling.org.uk/points?person_id=558439&amp;year=2019&amp;type=national&amp;d=6","Results")</f>
        <v/>
      </c>
    </row>
    <row r="172" spans="1:5">
      <c r="A172" t="s">
        <v>501</v>
      </c>
      <c r="B172" t="s">
        <v>502</v>
      </c>
      <c r="C172" t="s">
        <v>101</v>
      </c>
      <c r="D172" t="s">
        <v>151</v>
      </c>
      <c r="E172">
        <f>HYPERLINK("https://www.britishcycling.org.uk/points?person_id=309819&amp;year=2019&amp;type=national&amp;d=6","Results")</f>
        <v/>
      </c>
    </row>
    <row r="173" spans="1:5">
      <c r="A173" t="s">
        <v>227</v>
      </c>
      <c r="B173" t="s">
        <v>503</v>
      </c>
      <c r="C173" t="s">
        <v>504</v>
      </c>
      <c r="D173" t="s">
        <v>151</v>
      </c>
      <c r="E173">
        <f>HYPERLINK("https://www.britishcycling.org.uk/points?person_id=313524&amp;year=2019&amp;type=national&amp;d=6","Results")</f>
        <v/>
      </c>
    </row>
    <row r="174" spans="1:5">
      <c r="A174" t="s">
        <v>224</v>
      </c>
      <c r="B174" t="s">
        <v>505</v>
      </c>
      <c r="C174" t="s">
        <v>506</v>
      </c>
      <c r="D174" t="s">
        <v>151</v>
      </c>
      <c r="E174">
        <f>HYPERLINK("https://www.britishcycling.org.uk/points?person_id=295455&amp;year=2019&amp;type=national&amp;d=6","Results")</f>
        <v/>
      </c>
    </row>
    <row r="175" spans="1:5">
      <c r="A175" t="s">
        <v>507</v>
      </c>
      <c r="B175" t="s">
        <v>508</v>
      </c>
      <c r="C175" t="s">
        <v>383</v>
      </c>
      <c r="D175" t="s">
        <v>148</v>
      </c>
      <c r="E175">
        <f>HYPERLINK("https://www.britishcycling.org.uk/points?person_id=294189&amp;year=2019&amp;type=national&amp;d=6","Results")</f>
        <v/>
      </c>
    </row>
    <row r="176" spans="1:5">
      <c r="A176" t="s">
        <v>509</v>
      </c>
      <c r="B176" t="s">
        <v>510</v>
      </c>
      <c r="C176" t="s">
        <v>511</v>
      </c>
      <c r="D176" t="s">
        <v>148</v>
      </c>
      <c r="E176">
        <f>HYPERLINK("https://www.britishcycling.org.uk/points?person_id=615418&amp;year=2019&amp;type=national&amp;d=6","Results")</f>
        <v/>
      </c>
    </row>
    <row r="177" spans="1:5">
      <c r="A177" t="s">
        <v>512</v>
      </c>
      <c r="B177" t="s">
        <v>513</v>
      </c>
      <c r="C177" t="s">
        <v>514</v>
      </c>
      <c r="D177" t="s">
        <v>148</v>
      </c>
      <c r="E177">
        <f>HYPERLINK("https://www.britishcycling.org.uk/points?person_id=221782&amp;year=2019&amp;type=national&amp;d=6","Results")</f>
        <v/>
      </c>
    </row>
    <row r="178" spans="1:5">
      <c r="A178" t="s">
        <v>515</v>
      </c>
      <c r="B178" t="s">
        <v>516</v>
      </c>
      <c r="C178" t="s">
        <v>283</v>
      </c>
      <c r="D178" t="s">
        <v>148</v>
      </c>
      <c r="E178">
        <f>HYPERLINK("https://www.britishcycling.org.uk/points?person_id=538164&amp;year=2019&amp;type=national&amp;d=6","Results")</f>
        <v/>
      </c>
    </row>
    <row r="179" spans="1:5">
      <c r="A179" t="s">
        <v>220</v>
      </c>
      <c r="B179" t="s">
        <v>517</v>
      </c>
      <c r="C179" t="s">
        <v>113</v>
      </c>
      <c r="D179" t="s">
        <v>145</v>
      </c>
      <c r="E179">
        <f>HYPERLINK("https://www.britishcycling.org.uk/points?person_id=859024&amp;year=2019&amp;type=national&amp;d=6","Results")</f>
        <v/>
      </c>
    </row>
    <row r="180" spans="1:5">
      <c r="A180" t="s">
        <v>217</v>
      </c>
      <c r="B180" t="s">
        <v>518</v>
      </c>
      <c r="C180" t="s">
        <v>479</v>
      </c>
      <c r="D180" t="s">
        <v>141</v>
      </c>
      <c r="E180">
        <f>HYPERLINK("https://www.britishcycling.org.uk/points?person_id=563455&amp;year=2019&amp;type=national&amp;d=6","Results")</f>
        <v/>
      </c>
    </row>
    <row r="181" spans="1:5">
      <c r="A181" t="s">
        <v>519</v>
      </c>
      <c r="B181" t="s">
        <v>520</v>
      </c>
      <c r="C181" t="s">
        <v>186</v>
      </c>
      <c r="D181" t="s">
        <v>137</v>
      </c>
      <c r="E181">
        <f>HYPERLINK("https://www.britishcycling.org.uk/points?person_id=619358&amp;year=2019&amp;type=national&amp;d=6","Results")</f>
        <v/>
      </c>
    </row>
    <row r="182" spans="1:5">
      <c r="A182" t="s">
        <v>521</v>
      </c>
      <c r="B182" t="s">
        <v>522</v>
      </c>
      <c r="C182" t="s">
        <v>262</v>
      </c>
      <c r="D182" t="s">
        <v>137</v>
      </c>
      <c r="E182">
        <f>HYPERLINK("https://www.britishcycling.org.uk/points?person_id=405552&amp;year=2019&amp;type=national&amp;d=6","Results")</f>
        <v/>
      </c>
    </row>
    <row r="183" spans="1:5">
      <c r="A183" t="s">
        <v>523</v>
      </c>
      <c r="B183" t="s">
        <v>524</v>
      </c>
      <c r="C183" t="s">
        <v>395</v>
      </c>
      <c r="D183" t="s">
        <v>137</v>
      </c>
      <c r="E183">
        <f>HYPERLINK("https://www.britishcycling.org.uk/points?person_id=387308&amp;year=2019&amp;type=national&amp;d=6","Results")</f>
        <v/>
      </c>
    </row>
    <row r="184" spans="1:5">
      <c r="A184" t="s">
        <v>213</v>
      </c>
      <c r="B184" t="s">
        <v>525</v>
      </c>
      <c r="C184" t="s">
        <v>201</v>
      </c>
      <c r="D184" t="s">
        <v>137</v>
      </c>
      <c r="E184">
        <f>HYPERLINK("https://www.britishcycling.org.uk/points?person_id=392130&amp;year=2019&amp;type=national&amp;d=6","Results")</f>
        <v/>
      </c>
    </row>
    <row r="185" spans="1:5">
      <c r="A185" t="s">
        <v>209</v>
      </c>
      <c r="B185" t="s">
        <v>526</v>
      </c>
      <c r="C185" t="s">
        <v>328</v>
      </c>
      <c r="D185" t="s">
        <v>137</v>
      </c>
      <c r="E185">
        <f>HYPERLINK("https://www.britishcycling.org.uk/points?person_id=311199&amp;year=2019&amp;type=national&amp;d=6","Results")</f>
        <v/>
      </c>
    </row>
    <row r="186" spans="1:5">
      <c r="A186" t="s">
        <v>527</v>
      </c>
      <c r="B186" t="s">
        <v>528</v>
      </c>
      <c r="C186" t="s">
        <v>167</v>
      </c>
      <c r="D186" t="s">
        <v>133</v>
      </c>
      <c r="E186">
        <f>HYPERLINK("https://www.britishcycling.org.uk/points?person_id=310059&amp;year=2019&amp;type=national&amp;d=6","Results")</f>
        <v/>
      </c>
    </row>
    <row r="187" spans="1:5">
      <c r="A187" t="s">
        <v>529</v>
      </c>
      <c r="B187" t="s">
        <v>530</v>
      </c>
      <c r="C187" t="s">
        <v>531</v>
      </c>
      <c r="D187" t="s">
        <v>130</v>
      </c>
      <c r="E187">
        <f>HYPERLINK("https://www.britishcycling.org.uk/points?person_id=543635&amp;year=2019&amp;type=national&amp;d=6","Results")</f>
        <v/>
      </c>
    </row>
    <row r="188" spans="1:5">
      <c r="A188" t="s">
        <v>532</v>
      </c>
      <c r="B188" t="s">
        <v>533</v>
      </c>
      <c r="C188" t="s">
        <v>80</v>
      </c>
      <c r="D188" t="s">
        <v>130</v>
      </c>
      <c r="E188">
        <f>HYPERLINK("https://www.britishcycling.org.uk/points?person_id=624778&amp;year=2019&amp;type=national&amp;d=6","Results")</f>
        <v/>
      </c>
    </row>
    <row r="189" spans="1:5">
      <c r="A189" t="s">
        <v>534</v>
      </c>
      <c r="B189" t="s">
        <v>535</v>
      </c>
      <c r="C189" t="s">
        <v>170</v>
      </c>
      <c r="D189" t="s">
        <v>127</v>
      </c>
      <c r="E189">
        <f>HYPERLINK("https://www.britishcycling.org.uk/points?person_id=734479&amp;year=2019&amp;type=national&amp;d=6","Results")</f>
        <v/>
      </c>
    </row>
    <row r="190" spans="1:5">
      <c r="A190" t="s">
        <v>536</v>
      </c>
      <c r="B190" t="s">
        <v>537</v>
      </c>
      <c r="C190" t="s">
        <v>355</v>
      </c>
      <c r="D190" t="s">
        <v>127</v>
      </c>
      <c r="E190">
        <f>HYPERLINK("https://www.britishcycling.org.uk/points?person_id=539946&amp;year=2019&amp;type=national&amp;d=6","Results")</f>
        <v/>
      </c>
    </row>
    <row r="191" spans="1:5">
      <c r="A191" t="s">
        <v>206</v>
      </c>
      <c r="B191" t="s">
        <v>538</v>
      </c>
      <c r="C191" t="s">
        <v>61</v>
      </c>
      <c r="D191" t="s">
        <v>127</v>
      </c>
      <c r="E191">
        <f>HYPERLINK("https://www.britishcycling.org.uk/points?person_id=840393&amp;year=2019&amp;type=national&amp;d=6","Results")</f>
        <v/>
      </c>
    </row>
    <row r="192" spans="1:5">
      <c r="A192" t="s">
        <v>539</v>
      </c>
      <c r="B192" t="s">
        <v>540</v>
      </c>
      <c r="C192" t="s">
        <v>541</v>
      </c>
      <c r="D192" t="s">
        <v>123</v>
      </c>
      <c r="E192">
        <f>HYPERLINK("https://www.britishcycling.org.uk/points?person_id=525069&amp;year=2019&amp;type=national&amp;d=6","Results")</f>
        <v/>
      </c>
    </row>
    <row r="193" spans="1:5">
      <c r="A193" t="s">
        <v>542</v>
      </c>
      <c r="B193" t="s">
        <v>543</v>
      </c>
      <c r="C193" t="s">
        <v>469</v>
      </c>
      <c r="D193" t="s">
        <v>123</v>
      </c>
      <c r="E193">
        <f>HYPERLINK("https://www.britishcycling.org.uk/points?person_id=521358&amp;year=2019&amp;type=national&amp;d=6","Results")</f>
        <v/>
      </c>
    </row>
    <row r="194" spans="1:5">
      <c r="A194" t="s">
        <v>544</v>
      </c>
      <c r="B194" t="s">
        <v>545</v>
      </c>
      <c r="C194" t="s">
        <v>312</v>
      </c>
      <c r="D194" t="s">
        <v>123</v>
      </c>
      <c r="E194">
        <f>HYPERLINK("https://www.britishcycling.org.uk/points?person_id=848111&amp;year=2019&amp;type=national&amp;d=6","Results")</f>
        <v/>
      </c>
    </row>
    <row r="195" spans="1:5">
      <c r="A195" t="s">
        <v>546</v>
      </c>
      <c r="B195" t="s">
        <v>547</v>
      </c>
      <c r="C195" t="s">
        <v>548</v>
      </c>
      <c r="D195" t="s">
        <v>123</v>
      </c>
      <c r="E195">
        <f>HYPERLINK("https://www.britishcycling.org.uk/points?person_id=750201&amp;year=2019&amp;type=national&amp;d=6","Results")</f>
        <v/>
      </c>
    </row>
    <row r="196" spans="1:5">
      <c r="A196" t="s">
        <v>549</v>
      </c>
      <c r="B196" t="s">
        <v>550</v>
      </c>
      <c r="C196" t="s">
        <v>551</v>
      </c>
      <c r="D196" t="s">
        <v>123</v>
      </c>
      <c r="E196">
        <f>HYPERLINK("https://www.britishcycling.org.uk/points?person_id=400989&amp;year=2019&amp;type=national&amp;d=6","Results")</f>
        <v/>
      </c>
    </row>
    <row r="197" spans="1:5">
      <c r="A197" t="s">
        <v>552</v>
      </c>
      <c r="B197" t="s">
        <v>553</v>
      </c>
      <c r="C197" t="s">
        <v>554</v>
      </c>
      <c r="D197" t="s">
        <v>123</v>
      </c>
      <c r="E197">
        <f>HYPERLINK("https://www.britishcycling.org.uk/points?person_id=330990&amp;year=2019&amp;type=national&amp;d=6","Results")</f>
        <v/>
      </c>
    </row>
    <row r="198" spans="1:5">
      <c r="A198" t="s">
        <v>555</v>
      </c>
      <c r="B198" t="s">
        <v>556</v>
      </c>
      <c r="C198" t="s">
        <v>324</v>
      </c>
      <c r="D198" t="s">
        <v>123</v>
      </c>
      <c r="E198">
        <f>HYPERLINK("https://www.britishcycling.org.uk/points?person_id=538530&amp;year=2019&amp;type=national&amp;d=6","Results")</f>
        <v/>
      </c>
    </row>
    <row r="199" spans="1:5">
      <c r="A199" t="s">
        <v>557</v>
      </c>
      <c r="B199" t="s">
        <v>558</v>
      </c>
      <c r="C199" t="s">
        <v>559</v>
      </c>
      <c r="D199" t="s">
        <v>123</v>
      </c>
      <c r="E199">
        <f>HYPERLINK("https://www.britishcycling.org.uk/points?person_id=456930&amp;year=2019&amp;type=national&amp;d=6","Results")</f>
        <v/>
      </c>
    </row>
    <row r="200" spans="1:5">
      <c r="A200" t="s">
        <v>560</v>
      </c>
      <c r="B200" t="s">
        <v>561</v>
      </c>
      <c r="C200" t="s">
        <v>407</v>
      </c>
      <c r="D200" t="s">
        <v>123</v>
      </c>
      <c r="E200">
        <f>HYPERLINK("https://www.britishcycling.org.uk/points?person_id=581324&amp;year=2019&amp;type=national&amp;d=6","Results")</f>
        <v/>
      </c>
    </row>
    <row r="201" spans="1:5">
      <c r="A201" t="s">
        <v>202</v>
      </c>
      <c r="B201" t="s">
        <v>562</v>
      </c>
      <c r="C201" t="s">
        <v>252</v>
      </c>
      <c r="D201" t="s">
        <v>119</v>
      </c>
      <c r="E201">
        <f>HYPERLINK("https://www.britishcycling.org.uk/points?person_id=216708&amp;year=2019&amp;type=national&amp;d=6","Results")</f>
        <v/>
      </c>
    </row>
    <row r="202" spans="1:5">
      <c r="A202" t="s">
        <v>563</v>
      </c>
      <c r="B202" t="s">
        <v>564</v>
      </c>
      <c r="C202" t="s"/>
      <c r="D202" t="s">
        <v>115</v>
      </c>
      <c r="E202">
        <f>HYPERLINK("https://www.britishcycling.org.uk/points?person_id=949049&amp;year=2019&amp;type=national&amp;d=6","Results")</f>
        <v/>
      </c>
    </row>
    <row r="203" spans="1:5">
      <c r="A203" t="s">
        <v>565</v>
      </c>
      <c r="B203" t="s">
        <v>566</v>
      </c>
      <c r="C203" t="s">
        <v>567</v>
      </c>
      <c r="D203" t="s">
        <v>115</v>
      </c>
      <c r="E203">
        <f>HYPERLINK("https://www.britishcycling.org.uk/points?person_id=681513&amp;year=2019&amp;type=national&amp;d=6","Results")</f>
        <v/>
      </c>
    </row>
    <row r="204" spans="1:5">
      <c r="A204" t="s">
        <v>568</v>
      </c>
      <c r="B204" t="s">
        <v>569</v>
      </c>
      <c r="C204" t="s">
        <v>531</v>
      </c>
      <c r="D204" t="s">
        <v>115</v>
      </c>
      <c r="E204">
        <f>HYPERLINK("https://www.britishcycling.org.uk/points?person_id=357806&amp;year=2019&amp;type=national&amp;d=6","Results")</f>
        <v/>
      </c>
    </row>
    <row r="205" spans="1:5">
      <c r="A205" t="s">
        <v>195</v>
      </c>
      <c r="B205" t="s">
        <v>570</v>
      </c>
      <c r="C205" t="s">
        <v>61</v>
      </c>
      <c r="D205" t="s">
        <v>115</v>
      </c>
      <c r="E205">
        <f>HYPERLINK("https://www.britishcycling.org.uk/points?person_id=277367&amp;year=2019&amp;type=national&amp;d=6","Results")</f>
        <v/>
      </c>
    </row>
    <row r="206" spans="1:5">
      <c r="A206" t="s">
        <v>571</v>
      </c>
      <c r="B206" t="s">
        <v>572</v>
      </c>
      <c r="C206" t="s">
        <v>216</v>
      </c>
      <c r="D206" t="s">
        <v>107</v>
      </c>
      <c r="E206">
        <f>HYPERLINK("https://www.britishcycling.org.uk/points?person_id=794332&amp;year=2019&amp;type=national&amp;d=6","Results")</f>
        <v/>
      </c>
    </row>
    <row r="207" spans="1:5">
      <c r="A207" t="s">
        <v>573</v>
      </c>
      <c r="B207" t="s">
        <v>574</v>
      </c>
      <c r="C207" t="s">
        <v>575</v>
      </c>
      <c r="D207" t="s">
        <v>107</v>
      </c>
      <c r="E207">
        <f>HYPERLINK("https://www.britishcycling.org.uk/points?person_id=686342&amp;year=2019&amp;type=national&amp;d=6","Results")</f>
        <v/>
      </c>
    </row>
    <row r="208" spans="1:5">
      <c r="A208" t="s">
        <v>576</v>
      </c>
      <c r="B208" t="s">
        <v>577</v>
      </c>
      <c r="C208" t="s">
        <v>578</v>
      </c>
      <c r="D208" t="s">
        <v>103</v>
      </c>
      <c r="E208">
        <f>HYPERLINK("https://www.britishcycling.org.uk/points?person_id=354618&amp;year=2019&amp;type=national&amp;d=6","Results")</f>
        <v/>
      </c>
    </row>
    <row r="209" spans="1:5">
      <c r="A209" t="s">
        <v>191</v>
      </c>
      <c r="B209" t="s">
        <v>579</v>
      </c>
      <c r="C209" t="s">
        <v>205</v>
      </c>
      <c r="D209" t="s">
        <v>103</v>
      </c>
      <c r="E209">
        <f>HYPERLINK("https://www.britishcycling.org.uk/points?person_id=856141&amp;year=2019&amp;type=national&amp;d=6","Results")</f>
        <v/>
      </c>
    </row>
    <row r="210" spans="1:5">
      <c r="A210" t="s">
        <v>580</v>
      </c>
      <c r="B210" t="s">
        <v>581</v>
      </c>
      <c r="C210" t="s">
        <v>194</v>
      </c>
      <c r="D210" t="s">
        <v>103</v>
      </c>
      <c r="E210">
        <f>HYPERLINK("https://www.britishcycling.org.uk/points?person_id=557385&amp;year=2019&amp;type=national&amp;d=6","Results")</f>
        <v/>
      </c>
    </row>
    <row r="211" spans="1:5">
      <c r="A211" t="s">
        <v>582</v>
      </c>
      <c r="B211" t="s">
        <v>583</v>
      </c>
      <c r="C211" t="s">
        <v>584</v>
      </c>
      <c r="D211" t="s">
        <v>99</v>
      </c>
      <c r="E211">
        <f>HYPERLINK("https://www.britishcycling.org.uk/points?person_id=782215&amp;year=2019&amp;type=national&amp;d=6","Results")</f>
        <v/>
      </c>
    </row>
    <row r="212" spans="1:5">
      <c r="A212" t="s">
        <v>585</v>
      </c>
      <c r="B212" t="s">
        <v>586</v>
      </c>
      <c r="C212" t="s">
        <v>358</v>
      </c>
      <c r="D212" t="s">
        <v>99</v>
      </c>
      <c r="E212">
        <f>HYPERLINK("https://www.britishcycling.org.uk/points?person_id=523655&amp;year=2019&amp;type=national&amp;d=6","Results")</f>
        <v/>
      </c>
    </row>
    <row r="213" spans="1:5">
      <c r="A213" t="s">
        <v>587</v>
      </c>
      <c r="B213" t="s">
        <v>588</v>
      </c>
      <c r="C213" t="s">
        <v>589</v>
      </c>
      <c r="D213" t="s">
        <v>96</v>
      </c>
      <c r="E213">
        <f>HYPERLINK("https://www.britishcycling.org.uk/points?person_id=408344&amp;year=2019&amp;type=national&amp;d=6","Results")</f>
        <v/>
      </c>
    </row>
    <row r="214" spans="1:5">
      <c r="A214" t="s">
        <v>590</v>
      </c>
      <c r="B214" t="s">
        <v>591</v>
      </c>
      <c r="C214" t="s">
        <v>592</v>
      </c>
      <c r="D214" t="s">
        <v>96</v>
      </c>
      <c r="E214">
        <f>HYPERLINK("https://www.britishcycling.org.uk/points?person_id=374210&amp;year=2019&amp;type=national&amp;d=6","Results")</f>
        <v/>
      </c>
    </row>
    <row r="215" spans="1:5">
      <c r="A215" t="s">
        <v>593</v>
      </c>
      <c r="B215" t="s">
        <v>594</v>
      </c>
      <c r="C215" t="s">
        <v>595</v>
      </c>
      <c r="D215" t="s">
        <v>96</v>
      </c>
      <c r="E215">
        <f>HYPERLINK("https://www.britishcycling.org.uk/points?person_id=854719&amp;year=2019&amp;type=national&amp;d=6","Results")</f>
        <v/>
      </c>
    </row>
    <row r="216" spans="1:5">
      <c r="A216" t="s">
        <v>187</v>
      </c>
      <c r="B216" t="s">
        <v>596</v>
      </c>
      <c r="C216" t="s">
        <v>80</v>
      </c>
      <c r="D216" t="s">
        <v>96</v>
      </c>
      <c r="E216">
        <f>HYPERLINK("https://www.britishcycling.org.uk/points?person_id=841681&amp;year=2019&amp;type=national&amp;d=6","Results")</f>
        <v/>
      </c>
    </row>
    <row r="217" spans="1:5">
      <c r="A217" t="s">
        <v>183</v>
      </c>
      <c r="B217" t="s">
        <v>597</v>
      </c>
      <c r="C217" t="s"/>
      <c r="D217" t="s">
        <v>92</v>
      </c>
      <c r="E217">
        <f>HYPERLINK("https://www.britishcycling.org.uk/points?person_id=604769&amp;year=2019&amp;type=national&amp;d=6","Results")</f>
        <v/>
      </c>
    </row>
    <row r="218" spans="1:5">
      <c r="A218" t="s">
        <v>598</v>
      </c>
      <c r="B218" t="s">
        <v>599</v>
      </c>
      <c r="C218" t="s">
        <v>167</v>
      </c>
      <c r="D218" t="s">
        <v>92</v>
      </c>
      <c r="E218">
        <f>HYPERLINK("https://www.britishcycling.org.uk/points?person_id=234091&amp;year=2019&amp;type=national&amp;d=6","Results")</f>
        <v/>
      </c>
    </row>
    <row r="219" spans="1:5">
      <c r="A219" t="s">
        <v>600</v>
      </c>
      <c r="B219" t="s">
        <v>601</v>
      </c>
      <c r="C219" t="s">
        <v>584</v>
      </c>
      <c r="D219" t="s">
        <v>89</v>
      </c>
      <c r="E219">
        <f>HYPERLINK("https://www.britishcycling.org.uk/points?person_id=781446&amp;year=2019&amp;type=national&amp;d=6","Results")</f>
        <v/>
      </c>
    </row>
    <row r="220" spans="1:5">
      <c r="A220" t="s">
        <v>602</v>
      </c>
      <c r="B220" t="s">
        <v>603</v>
      </c>
      <c r="C220" t="s">
        <v>190</v>
      </c>
      <c r="D220" t="s">
        <v>89</v>
      </c>
      <c r="E220">
        <f>HYPERLINK("https://www.britishcycling.org.uk/points?person_id=585788&amp;year=2019&amp;type=national&amp;d=6","Results")</f>
        <v/>
      </c>
    </row>
    <row r="221" spans="1:5">
      <c r="A221" t="s">
        <v>604</v>
      </c>
      <c r="B221" t="s">
        <v>605</v>
      </c>
      <c r="C221" t="s">
        <v>45</v>
      </c>
      <c r="D221" t="s">
        <v>89</v>
      </c>
      <c r="E221">
        <f>HYPERLINK("https://www.britishcycling.org.uk/points?person_id=287472&amp;year=2019&amp;type=national&amp;d=6","Results")</f>
        <v/>
      </c>
    </row>
    <row r="222" spans="1:5">
      <c r="A222" t="s">
        <v>606</v>
      </c>
      <c r="B222" t="s">
        <v>607</v>
      </c>
      <c r="C222" t="s">
        <v>608</v>
      </c>
      <c r="D222" t="s">
        <v>89</v>
      </c>
      <c r="E222">
        <f>HYPERLINK("https://www.britishcycling.org.uk/points?person_id=754954&amp;year=2019&amp;type=national&amp;d=6","Results")</f>
        <v/>
      </c>
    </row>
    <row r="223" spans="1:5">
      <c r="A223" t="s">
        <v>609</v>
      </c>
      <c r="B223" t="s">
        <v>610</v>
      </c>
      <c r="C223" t="s">
        <v>125</v>
      </c>
      <c r="D223" t="s">
        <v>89</v>
      </c>
      <c r="E223">
        <f>HYPERLINK("https://www.britishcycling.org.uk/points?person_id=794386&amp;year=2019&amp;type=national&amp;d=6","Results")</f>
        <v/>
      </c>
    </row>
    <row r="224" spans="1:5">
      <c r="A224" t="s">
        <v>611</v>
      </c>
      <c r="B224" t="s">
        <v>612</v>
      </c>
      <c r="C224" t="s">
        <v>157</v>
      </c>
      <c r="D224" t="s">
        <v>85</v>
      </c>
      <c r="E224">
        <f>HYPERLINK("https://www.britishcycling.org.uk/points?person_id=749878&amp;year=2019&amp;type=national&amp;d=6","Results")</f>
        <v/>
      </c>
    </row>
    <row r="225" spans="1:5">
      <c r="A225" t="s">
        <v>613</v>
      </c>
      <c r="B225" t="s">
        <v>614</v>
      </c>
      <c r="C225" t="s">
        <v>615</v>
      </c>
      <c r="D225" t="s">
        <v>85</v>
      </c>
      <c r="E225">
        <f>HYPERLINK("https://www.britishcycling.org.uk/points?person_id=237118&amp;year=2019&amp;type=national&amp;d=6","Results")</f>
        <v/>
      </c>
    </row>
    <row r="226" spans="1:5">
      <c r="A226" t="s">
        <v>616</v>
      </c>
      <c r="B226" t="s">
        <v>617</v>
      </c>
      <c r="C226" t="s">
        <v>551</v>
      </c>
      <c r="D226" t="s">
        <v>85</v>
      </c>
      <c r="E226">
        <f>HYPERLINK("https://www.britishcycling.org.uk/points?person_id=251829&amp;year=2019&amp;type=national&amp;d=6","Results")</f>
        <v/>
      </c>
    </row>
    <row r="227" spans="1:5">
      <c r="A227" t="s">
        <v>179</v>
      </c>
      <c r="B227" t="s">
        <v>618</v>
      </c>
      <c r="C227" t="s">
        <v>295</v>
      </c>
      <c r="D227" t="s">
        <v>85</v>
      </c>
      <c r="E227">
        <f>HYPERLINK("https://www.britishcycling.org.uk/points?person_id=454208&amp;year=2019&amp;type=national&amp;d=6","Results")</f>
        <v/>
      </c>
    </row>
    <row r="228" spans="1:5">
      <c r="A228" t="s">
        <v>619</v>
      </c>
      <c r="B228" t="s">
        <v>620</v>
      </c>
      <c r="C228" t="s">
        <v>190</v>
      </c>
      <c r="D228" t="s">
        <v>82</v>
      </c>
      <c r="E228">
        <f>HYPERLINK("https://www.britishcycling.org.uk/points?person_id=545346&amp;year=2019&amp;type=national&amp;d=6","Results")</f>
        <v/>
      </c>
    </row>
    <row r="229" spans="1:5">
      <c r="A229" t="s">
        <v>621</v>
      </c>
      <c r="B229" t="s">
        <v>622</v>
      </c>
      <c r="C229" t="s">
        <v>230</v>
      </c>
      <c r="D229" t="s">
        <v>82</v>
      </c>
      <c r="E229">
        <f>HYPERLINK("https://www.britishcycling.org.uk/points?person_id=811051&amp;year=2019&amp;type=national&amp;d=6","Results")</f>
        <v/>
      </c>
    </row>
    <row r="230" spans="1:5">
      <c r="A230" t="s">
        <v>623</v>
      </c>
      <c r="B230" t="s">
        <v>624</v>
      </c>
      <c r="C230" t="s">
        <v>216</v>
      </c>
      <c r="D230" t="s">
        <v>82</v>
      </c>
      <c r="E230">
        <f>HYPERLINK("https://www.britishcycling.org.uk/points?person_id=378863&amp;year=2019&amp;type=national&amp;d=6","Results")</f>
        <v/>
      </c>
    </row>
    <row r="231" spans="1:5">
      <c r="A231" t="s">
        <v>625</v>
      </c>
      <c r="B231" t="s">
        <v>626</v>
      </c>
      <c r="C231" t="s">
        <v>312</v>
      </c>
      <c r="D231" t="s">
        <v>82</v>
      </c>
      <c r="E231">
        <f>HYPERLINK("https://www.britishcycling.org.uk/points?person_id=764977&amp;year=2019&amp;type=national&amp;d=6","Results")</f>
        <v/>
      </c>
    </row>
    <row r="232" spans="1:5">
      <c r="A232" t="s">
        <v>175</v>
      </c>
      <c r="B232" t="s">
        <v>627</v>
      </c>
      <c r="C232" t="s">
        <v>559</v>
      </c>
      <c r="D232" t="s">
        <v>82</v>
      </c>
      <c r="E232">
        <f>HYPERLINK("https://www.britishcycling.org.uk/points?person_id=565156&amp;year=2019&amp;type=national&amp;d=6","Results")</f>
        <v/>
      </c>
    </row>
    <row r="233" spans="1:5">
      <c r="A233" t="s">
        <v>171</v>
      </c>
      <c r="B233" t="s">
        <v>628</v>
      </c>
      <c r="C233" t="s">
        <v>395</v>
      </c>
      <c r="D233" t="s">
        <v>78</v>
      </c>
      <c r="E233">
        <f>HYPERLINK("https://www.britishcycling.org.uk/points?person_id=326805&amp;year=2019&amp;type=national&amp;d=6","Results")</f>
        <v/>
      </c>
    </row>
    <row r="234" spans="1:5">
      <c r="A234" t="s">
        <v>164</v>
      </c>
      <c r="B234" t="s">
        <v>629</v>
      </c>
      <c r="C234" t="s">
        <v>312</v>
      </c>
      <c r="D234" t="s">
        <v>78</v>
      </c>
      <c r="E234">
        <f>HYPERLINK("https://www.britishcycling.org.uk/points?person_id=818178&amp;year=2019&amp;type=national&amp;d=6","Results")</f>
        <v/>
      </c>
    </row>
    <row r="235" spans="1:5">
      <c r="A235" t="s">
        <v>630</v>
      </c>
      <c r="B235" t="s">
        <v>631</v>
      </c>
      <c r="C235" t="s">
        <v>194</v>
      </c>
      <c r="D235" t="s">
        <v>78</v>
      </c>
      <c r="E235">
        <f>HYPERLINK("https://www.britishcycling.org.uk/points?person_id=137530&amp;year=2019&amp;type=national&amp;d=6","Results")</f>
        <v/>
      </c>
    </row>
    <row r="236" spans="1:5">
      <c r="A236" t="s">
        <v>632</v>
      </c>
      <c r="B236" t="s">
        <v>633</v>
      </c>
      <c r="C236" t="s">
        <v>324</v>
      </c>
      <c r="D236" t="s">
        <v>78</v>
      </c>
      <c r="E236">
        <f>HYPERLINK("https://www.britishcycling.org.uk/points?person_id=220817&amp;year=2019&amp;type=national&amp;d=6","Results")</f>
        <v/>
      </c>
    </row>
    <row r="237" spans="1:5">
      <c r="A237" t="s">
        <v>634</v>
      </c>
      <c r="B237" t="s">
        <v>635</v>
      </c>
      <c r="C237" t="s">
        <v>636</v>
      </c>
      <c r="D237" t="s">
        <v>75</v>
      </c>
      <c r="E237">
        <f>HYPERLINK("https://www.britishcycling.org.uk/points?person_id=549615&amp;year=2019&amp;type=national&amp;d=6","Results")</f>
        <v/>
      </c>
    </row>
    <row r="238" spans="1:5">
      <c r="A238" t="s">
        <v>637</v>
      </c>
      <c r="B238" t="s">
        <v>638</v>
      </c>
      <c r="C238" t="s"/>
      <c r="D238" t="s">
        <v>75</v>
      </c>
      <c r="E238">
        <f>HYPERLINK("https://www.britishcycling.org.uk/points?person_id=734999&amp;year=2019&amp;type=national&amp;d=6","Results")</f>
        <v/>
      </c>
    </row>
    <row r="239" spans="1:5">
      <c r="A239" t="s">
        <v>639</v>
      </c>
      <c r="B239" t="s">
        <v>640</v>
      </c>
      <c r="C239" t="s">
        <v>312</v>
      </c>
      <c r="D239" t="s">
        <v>75</v>
      </c>
      <c r="E239">
        <f>HYPERLINK("https://www.britishcycling.org.uk/points?person_id=904644&amp;year=2019&amp;type=national&amp;d=6","Results")</f>
        <v/>
      </c>
    </row>
    <row r="240" spans="1:5">
      <c r="A240" t="s">
        <v>641</v>
      </c>
      <c r="B240" t="s">
        <v>642</v>
      </c>
      <c r="C240" t="s">
        <v>643</v>
      </c>
      <c r="D240" t="s">
        <v>75</v>
      </c>
      <c r="E240">
        <f>HYPERLINK("https://www.britishcycling.org.uk/points?person_id=466072&amp;year=2019&amp;type=national&amp;d=6","Results")</f>
        <v/>
      </c>
    </row>
    <row r="241" spans="1:5">
      <c r="A241" t="s">
        <v>644</v>
      </c>
      <c r="B241" t="s">
        <v>645</v>
      </c>
      <c r="C241" t="s">
        <v>646</v>
      </c>
      <c r="D241" t="s">
        <v>75</v>
      </c>
      <c r="E241">
        <f>HYPERLINK("https://www.britishcycling.org.uk/points?person_id=465013&amp;year=2019&amp;type=national&amp;d=6","Results")</f>
        <v/>
      </c>
    </row>
    <row r="242" spans="1:5">
      <c r="A242" t="s">
        <v>647</v>
      </c>
      <c r="B242" t="s">
        <v>648</v>
      </c>
      <c r="C242" t="s">
        <v>287</v>
      </c>
      <c r="D242" t="s">
        <v>75</v>
      </c>
      <c r="E242">
        <f>HYPERLINK("https://www.britishcycling.org.uk/points?person_id=296824&amp;year=2019&amp;type=national&amp;d=6","Results")</f>
        <v/>
      </c>
    </row>
    <row r="243" spans="1:5">
      <c r="A243" t="s">
        <v>649</v>
      </c>
      <c r="B243" t="s">
        <v>650</v>
      </c>
      <c r="C243" t="s">
        <v>413</v>
      </c>
      <c r="D243" t="s">
        <v>75</v>
      </c>
      <c r="E243">
        <f>HYPERLINK("https://www.britishcycling.org.uk/points?person_id=296618&amp;year=2019&amp;type=national&amp;d=6","Results")</f>
        <v/>
      </c>
    </row>
    <row r="244" spans="1:5">
      <c r="A244" t="s">
        <v>651</v>
      </c>
      <c r="B244" t="s">
        <v>652</v>
      </c>
      <c r="C244" t="s">
        <v>653</v>
      </c>
      <c r="D244" t="s">
        <v>71</v>
      </c>
      <c r="E244">
        <f>HYPERLINK("https://www.britishcycling.org.uk/points?person_id=344666&amp;year=2019&amp;type=national&amp;d=6","Results")</f>
        <v/>
      </c>
    </row>
    <row r="245" spans="1:5">
      <c r="A245" t="s">
        <v>654</v>
      </c>
      <c r="B245" t="s">
        <v>655</v>
      </c>
      <c r="C245" t="s">
        <v>656</v>
      </c>
      <c r="D245" t="s">
        <v>71</v>
      </c>
      <c r="E245">
        <f>HYPERLINK("https://www.britishcycling.org.uk/points?person_id=183050&amp;year=2019&amp;type=national&amp;d=6","Results")</f>
        <v/>
      </c>
    </row>
    <row r="246" spans="1:5">
      <c r="A246" t="s">
        <v>160</v>
      </c>
      <c r="B246" t="s">
        <v>657</v>
      </c>
      <c r="C246" t="s">
        <v>252</v>
      </c>
      <c r="D246" t="s">
        <v>67</v>
      </c>
      <c r="E246">
        <f>HYPERLINK("https://www.britishcycling.org.uk/points?person_id=307602&amp;year=2019&amp;type=national&amp;d=6","Results")</f>
        <v/>
      </c>
    </row>
    <row r="247" spans="1:5">
      <c r="A247" t="s">
        <v>154</v>
      </c>
      <c r="B247" t="s">
        <v>658</v>
      </c>
      <c r="C247" t="s">
        <v>383</v>
      </c>
      <c r="D247" t="s">
        <v>67</v>
      </c>
      <c r="E247">
        <f>HYPERLINK("https://www.britishcycling.org.uk/points?person_id=333293&amp;year=2019&amp;type=national&amp;d=6","Results")</f>
        <v/>
      </c>
    </row>
    <row r="248" spans="1:5">
      <c r="A248" t="s">
        <v>659</v>
      </c>
      <c r="B248" t="s">
        <v>660</v>
      </c>
      <c r="C248" t="s">
        <v>339</v>
      </c>
      <c r="D248" t="s">
        <v>67</v>
      </c>
      <c r="E248">
        <f>HYPERLINK("https://www.britishcycling.org.uk/points?person_id=538942&amp;year=2019&amp;type=national&amp;d=6","Results")</f>
        <v/>
      </c>
    </row>
    <row r="249" spans="1:5">
      <c r="A249" t="s">
        <v>661</v>
      </c>
      <c r="B249" t="s">
        <v>662</v>
      </c>
      <c r="C249" t="s">
        <v>663</v>
      </c>
      <c r="D249" t="s">
        <v>67</v>
      </c>
      <c r="E249">
        <f>HYPERLINK("https://www.britishcycling.org.uk/points?person_id=453615&amp;year=2019&amp;type=national&amp;d=6","Results")</f>
        <v/>
      </c>
    </row>
    <row r="250" spans="1:5">
      <c r="A250" t="s">
        <v>664</v>
      </c>
      <c r="B250" t="s">
        <v>665</v>
      </c>
      <c r="C250" t="s">
        <v>331</v>
      </c>
      <c r="D250" t="s">
        <v>63</v>
      </c>
      <c r="E250">
        <f>HYPERLINK("https://www.britishcycling.org.uk/points?person_id=740871&amp;year=2019&amp;type=national&amp;d=6","Results")</f>
        <v/>
      </c>
    </row>
    <row r="251" spans="1:5">
      <c r="A251" t="s">
        <v>150</v>
      </c>
      <c r="B251" t="s">
        <v>666</v>
      </c>
      <c r="C251" t="s">
        <v>125</v>
      </c>
      <c r="D251" t="s">
        <v>63</v>
      </c>
      <c r="E251">
        <f>HYPERLINK("https://www.britishcycling.org.uk/points?person_id=943444&amp;year=2019&amp;type=national&amp;d=6","Results")</f>
        <v/>
      </c>
    </row>
    <row r="252" spans="1:5">
      <c r="A252" t="s">
        <v>147</v>
      </c>
      <c r="B252" t="s">
        <v>667</v>
      </c>
      <c r="C252" t="s">
        <v>379</v>
      </c>
      <c r="D252" t="s">
        <v>63</v>
      </c>
      <c r="E252">
        <f>HYPERLINK("https://www.britishcycling.org.uk/points?person_id=338418&amp;year=2019&amp;type=national&amp;d=6","Results")</f>
        <v/>
      </c>
    </row>
    <row r="253" spans="1:5">
      <c r="A253" t="s">
        <v>668</v>
      </c>
      <c r="B253" t="s">
        <v>669</v>
      </c>
      <c r="C253" t="s">
        <v>53</v>
      </c>
      <c r="D253" t="s">
        <v>63</v>
      </c>
      <c r="E253">
        <f>HYPERLINK("https://www.britishcycling.org.uk/points?person_id=250326&amp;year=2019&amp;type=national&amp;d=6","Results")</f>
        <v/>
      </c>
    </row>
    <row r="254" spans="1:5">
      <c r="A254" t="s">
        <v>144</v>
      </c>
      <c r="B254" t="s">
        <v>670</v>
      </c>
      <c r="C254" t="s">
        <v>671</v>
      </c>
      <c r="D254" t="s">
        <v>59</v>
      </c>
      <c r="E254">
        <f>HYPERLINK("https://www.britishcycling.org.uk/points?person_id=252164&amp;year=2019&amp;type=national&amp;d=6","Results")</f>
        <v/>
      </c>
    </row>
    <row r="255" spans="1:5">
      <c r="A255" t="s">
        <v>672</v>
      </c>
      <c r="B255" t="s">
        <v>673</v>
      </c>
      <c r="C255" t="s">
        <v>295</v>
      </c>
      <c r="D255" t="s">
        <v>59</v>
      </c>
      <c r="E255">
        <f>HYPERLINK("https://www.britishcycling.org.uk/points?person_id=752011&amp;year=2019&amp;type=national&amp;d=6","Results")</f>
        <v/>
      </c>
    </row>
    <row r="256" spans="1:5">
      <c r="A256" t="s">
        <v>674</v>
      </c>
      <c r="B256" t="s">
        <v>675</v>
      </c>
      <c r="C256" t="s">
        <v>676</v>
      </c>
      <c r="D256" t="s">
        <v>55</v>
      </c>
      <c r="E256">
        <f>HYPERLINK("https://www.britishcycling.org.uk/points?person_id=652970&amp;year=2019&amp;type=national&amp;d=6","Results")</f>
        <v/>
      </c>
    </row>
    <row r="257" spans="1:5">
      <c r="A257" t="s">
        <v>677</v>
      </c>
      <c r="B257" t="s">
        <v>678</v>
      </c>
      <c r="C257" t="s">
        <v>190</v>
      </c>
      <c r="D257" t="s">
        <v>55</v>
      </c>
      <c r="E257">
        <f>HYPERLINK("https://www.britishcycling.org.uk/points?person_id=537028&amp;year=2019&amp;type=national&amp;d=6","Results")</f>
        <v/>
      </c>
    </row>
    <row r="258" spans="1:5">
      <c r="A258" t="s">
        <v>679</v>
      </c>
      <c r="B258" t="s">
        <v>680</v>
      </c>
      <c r="C258" t="s">
        <v>80</v>
      </c>
      <c r="D258" t="s">
        <v>55</v>
      </c>
      <c r="E258">
        <f>HYPERLINK("https://www.britishcycling.org.uk/points?person_id=942338&amp;year=2019&amp;type=national&amp;d=6","Results")</f>
        <v/>
      </c>
    </row>
    <row r="259" spans="1:5">
      <c r="A259" t="s">
        <v>140</v>
      </c>
      <c r="B259" t="s">
        <v>681</v>
      </c>
      <c r="C259" t="s">
        <v>105</v>
      </c>
      <c r="D259" t="s">
        <v>51</v>
      </c>
      <c r="E259">
        <f>HYPERLINK("https://www.britishcycling.org.uk/points?person_id=550311&amp;year=2019&amp;type=national&amp;d=6","Results")</f>
        <v/>
      </c>
    </row>
    <row r="260" spans="1:5">
      <c r="A260" t="s">
        <v>682</v>
      </c>
      <c r="B260" t="s">
        <v>683</v>
      </c>
      <c r="C260" t="s">
        <v>671</v>
      </c>
      <c r="D260" t="s">
        <v>51</v>
      </c>
      <c r="E260">
        <f>HYPERLINK("https://www.britishcycling.org.uk/points?person_id=806276&amp;year=2019&amp;type=national&amp;d=6","Results")</f>
        <v/>
      </c>
    </row>
    <row r="261" spans="1:5">
      <c r="A261" t="s">
        <v>136</v>
      </c>
      <c r="B261" t="s">
        <v>684</v>
      </c>
      <c r="C261" t="s">
        <v>335</v>
      </c>
      <c r="D261" t="s">
        <v>47</v>
      </c>
      <c r="E261">
        <f>HYPERLINK("https://www.britishcycling.org.uk/points?person_id=523789&amp;year=2019&amp;type=national&amp;d=6","Results")</f>
        <v/>
      </c>
    </row>
    <row r="262" spans="1:5">
      <c r="A262" t="s">
        <v>685</v>
      </c>
      <c r="B262" t="s">
        <v>686</v>
      </c>
      <c r="C262" t="s">
        <v>346</v>
      </c>
      <c r="D262" t="s">
        <v>47</v>
      </c>
      <c r="E262">
        <f>HYPERLINK("https://www.britishcycling.org.uk/points?person_id=668904&amp;year=2019&amp;type=national&amp;d=6","Results")</f>
        <v/>
      </c>
    </row>
    <row r="263" spans="1:5">
      <c r="A263" t="s">
        <v>687</v>
      </c>
      <c r="B263" t="s">
        <v>688</v>
      </c>
      <c r="C263" t="s">
        <v>443</v>
      </c>
      <c r="D263" t="s">
        <v>47</v>
      </c>
      <c r="E263">
        <f>HYPERLINK("https://www.britishcycling.org.uk/points?person_id=915384&amp;year=2019&amp;type=national&amp;d=6","Results")</f>
        <v/>
      </c>
    </row>
    <row r="264" spans="1:5">
      <c r="A264" t="s">
        <v>689</v>
      </c>
      <c r="B264" t="s">
        <v>690</v>
      </c>
      <c r="C264" t="s">
        <v>691</v>
      </c>
      <c r="D264" t="s">
        <v>47</v>
      </c>
      <c r="E264">
        <f>HYPERLINK("https://www.britishcycling.org.uk/points?person_id=939075&amp;year=2019&amp;type=national&amp;d=6","Results")</f>
        <v/>
      </c>
    </row>
    <row r="265" spans="1:5">
      <c r="A265" t="s">
        <v>132</v>
      </c>
      <c r="B265" t="s">
        <v>692</v>
      </c>
      <c r="C265" t="s">
        <v>693</v>
      </c>
      <c r="D265" t="s">
        <v>47</v>
      </c>
      <c r="E265">
        <f>HYPERLINK("https://www.britishcycling.org.uk/points?person_id=842565&amp;year=2019&amp;type=national&amp;d=6","Results")</f>
        <v/>
      </c>
    </row>
    <row r="266" spans="1:5">
      <c r="A266" t="s">
        <v>694</v>
      </c>
      <c r="B266" t="s">
        <v>695</v>
      </c>
      <c r="C266" t="s">
        <v>696</v>
      </c>
      <c r="D266" t="s">
        <v>47</v>
      </c>
      <c r="E266">
        <f>HYPERLINK("https://www.britishcycling.org.uk/points?person_id=754563&amp;year=2019&amp;type=national&amp;d=6","Results")</f>
        <v/>
      </c>
    </row>
    <row r="267" spans="1:5">
      <c r="A267" t="s">
        <v>697</v>
      </c>
      <c r="B267" t="s">
        <v>698</v>
      </c>
      <c r="C267" t="s">
        <v>198</v>
      </c>
      <c r="D267" t="s">
        <v>43</v>
      </c>
      <c r="E267">
        <f>HYPERLINK("https://www.britishcycling.org.uk/points?person_id=660759&amp;year=2019&amp;type=national&amp;d=6","Results")</f>
        <v/>
      </c>
    </row>
    <row r="268" spans="1:5">
      <c r="A268" t="s">
        <v>699</v>
      </c>
      <c r="B268" t="s">
        <v>700</v>
      </c>
      <c r="C268" t="s">
        <v>578</v>
      </c>
      <c r="D268" t="s">
        <v>39</v>
      </c>
      <c r="E268">
        <f>HYPERLINK("https://www.britishcycling.org.uk/points?person_id=502026&amp;year=2019&amp;type=national&amp;d=6","Results")</f>
        <v/>
      </c>
    </row>
    <row r="269" spans="1:5">
      <c r="A269" t="s">
        <v>701</v>
      </c>
      <c r="B269" t="s">
        <v>702</v>
      </c>
      <c r="C269" t="s">
        <v>376</v>
      </c>
      <c r="D269" t="s">
        <v>39</v>
      </c>
      <c r="E269">
        <f>HYPERLINK("https://www.britishcycling.org.uk/points?person_id=356031&amp;year=2019&amp;type=national&amp;d=6","Results")</f>
        <v/>
      </c>
    </row>
    <row r="270" spans="1:5">
      <c r="A270" t="s">
        <v>703</v>
      </c>
      <c r="B270" t="s">
        <v>704</v>
      </c>
      <c r="C270" t="s">
        <v>194</v>
      </c>
      <c r="D270" t="s">
        <v>39</v>
      </c>
      <c r="E270">
        <f>HYPERLINK("https://www.britishcycling.org.uk/points?person_id=749769&amp;year=2019&amp;type=national&amp;d=6","Results")</f>
        <v/>
      </c>
    </row>
    <row r="271" spans="1:5">
      <c r="A271" t="s">
        <v>705</v>
      </c>
      <c r="B271" t="s">
        <v>706</v>
      </c>
      <c r="C271" t="s">
        <v>212</v>
      </c>
      <c r="D271" t="s">
        <v>39</v>
      </c>
      <c r="E271">
        <f>HYPERLINK("https://www.britishcycling.org.uk/points?person_id=533779&amp;year=2019&amp;type=national&amp;d=6","Results")</f>
        <v/>
      </c>
    </row>
    <row r="272" spans="1:5">
      <c r="A272" t="s">
        <v>707</v>
      </c>
      <c r="B272" t="s">
        <v>708</v>
      </c>
      <c r="C272" t="s">
        <v>709</v>
      </c>
      <c r="D272" t="s">
        <v>35</v>
      </c>
      <c r="E272">
        <f>HYPERLINK("https://www.britishcycling.org.uk/points?person_id=934901&amp;year=2019&amp;type=national&amp;d=6","Results")</f>
        <v/>
      </c>
    </row>
    <row r="273" spans="1:5">
      <c r="A273" t="s">
        <v>710</v>
      </c>
      <c r="B273" t="s">
        <v>711</v>
      </c>
      <c r="C273" t="s">
        <v>420</v>
      </c>
      <c r="D273" t="s">
        <v>35</v>
      </c>
      <c r="E273">
        <f>HYPERLINK("https://www.britishcycling.org.uk/points?person_id=885102&amp;year=2019&amp;type=national&amp;d=6","Results")</f>
        <v/>
      </c>
    </row>
    <row r="274" spans="1:5">
      <c r="A274" t="s">
        <v>712</v>
      </c>
      <c r="B274" t="s">
        <v>713</v>
      </c>
      <c r="C274" t="s">
        <v>461</v>
      </c>
      <c r="D274" t="s">
        <v>31</v>
      </c>
      <c r="E274">
        <f>HYPERLINK("https://www.britishcycling.org.uk/points?person_id=247777&amp;year=2019&amp;type=national&amp;d=6","Results")</f>
        <v/>
      </c>
    </row>
    <row r="275" spans="1:5">
      <c r="A275" t="s">
        <v>714</v>
      </c>
      <c r="B275" t="s">
        <v>715</v>
      </c>
      <c r="C275" t="s">
        <v>190</v>
      </c>
      <c r="D275" t="s">
        <v>31</v>
      </c>
      <c r="E275">
        <f>HYPERLINK("https://www.britishcycling.org.uk/points?person_id=669343&amp;year=2019&amp;type=national&amp;d=6","Results")</f>
        <v/>
      </c>
    </row>
    <row r="276" spans="1:5">
      <c r="A276" t="s">
        <v>716</v>
      </c>
      <c r="B276" t="s">
        <v>717</v>
      </c>
      <c r="C276" t="s">
        <v>615</v>
      </c>
      <c r="D276" t="s">
        <v>31</v>
      </c>
      <c r="E276">
        <f>HYPERLINK("https://www.britishcycling.org.uk/points?person_id=653983&amp;year=2019&amp;type=national&amp;d=6","Results")</f>
        <v/>
      </c>
    </row>
    <row r="277" spans="1:5">
      <c r="A277" t="s">
        <v>129</v>
      </c>
      <c r="B277" t="s">
        <v>718</v>
      </c>
      <c r="C277" t="s">
        <v>291</v>
      </c>
      <c r="D277" t="s">
        <v>31</v>
      </c>
      <c r="E277">
        <f>HYPERLINK("https://www.britishcycling.org.uk/points?person_id=652344&amp;year=2019&amp;type=national&amp;d=6","Results")</f>
        <v/>
      </c>
    </row>
    <row r="278" spans="1:5">
      <c r="A278" t="s">
        <v>719</v>
      </c>
      <c r="B278" t="s">
        <v>720</v>
      </c>
      <c r="C278" t="s">
        <v>584</v>
      </c>
      <c r="D278" t="s">
        <v>31</v>
      </c>
      <c r="E278">
        <f>HYPERLINK("https://www.britishcycling.org.uk/points?person_id=870425&amp;year=2019&amp;type=national&amp;d=6","Results")</f>
        <v/>
      </c>
    </row>
    <row r="279" spans="1:5">
      <c r="A279" t="s">
        <v>721</v>
      </c>
      <c r="B279" t="s">
        <v>722</v>
      </c>
      <c r="C279" t="s">
        <v>723</v>
      </c>
      <c r="D279" t="s">
        <v>31</v>
      </c>
      <c r="E279">
        <f>HYPERLINK("https://www.britishcycling.org.uk/points?person_id=235480&amp;year=2019&amp;type=national&amp;d=6","Results")</f>
        <v/>
      </c>
    </row>
    <row r="280" spans="1:5">
      <c r="A280" t="s">
        <v>724</v>
      </c>
      <c r="B280" t="s">
        <v>725</v>
      </c>
      <c r="C280" t="s">
        <v>80</v>
      </c>
      <c r="D280" t="s">
        <v>31</v>
      </c>
      <c r="E280">
        <f>HYPERLINK("https://www.britishcycling.org.uk/points?person_id=841898&amp;year=2019&amp;type=national&amp;d=6","Results")</f>
        <v/>
      </c>
    </row>
    <row r="281" spans="1:5">
      <c r="A281" t="s">
        <v>726</v>
      </c>
      <c r="B281" t="s">
        <v>727</v>
      </c>
      <c r="C281" t="s">
        <v>728</v>
      </c>
      <c r="D281" t="s">
        <v>31</v>
      </c>
      <c r="E281">
        <f>HYPERLINK("https://www.britishcycling.org.uk/points?person_id=928764&amp;year=2019&amp;type=national&amp;d=6","Results")</f>
        <v/>
      </c>
    </row>
    <row r="282" spans="1:5">
      <c r="A282" t="s">
        <v>729</v>
      </c>
      <c r="B282" t="s">
        <v>730</v>
      </c>
      <c r="C282" t="s">
        <v>731</v>
      </c>
      <c r="D282" t="s">
        <v>28</v>
      </c>
      <c r="E282">
        <f>HYPERLINK("https://www.britishcycling.org.uk/points?person_id=739946&amp;year=2019&amp;type=national&amp;d=6","Results")</f>
        <v/>
      </c>
    </row>
    <row r="283" spans="1:5">
      <c r="A283" t="s">
        <v>732</v>
      </c>
      <c r="B283" t="s">
        <v>733</v>
      </c>
      <c r="C283" t="s">
        <v>734</v>
      </c>
      <c r="D283" t="s">
        <v>28</v>
      </c>
      <c r="E283">
        <f>HYPERLINK("https://www.britishcycling.org.uk/points?person_id=948422&amp;year=2019&amp;type=national&amp;d=6","Results")</f>
        <v/>
      </c>
    </row>
    <row r="284" spans="1:5">
      <c r="A284" t="s">
        <v>735</v>
      </c>
      <c r="B284" t="s">
        <v>736</v>
      </c>
      <c r="C284" t="s">
        <v>548</v>
      </c>
      <c r="D284" t="s">
        <v>28</v>
      </c>
      <c r="E284">
        <f>HYPERLINK("https://www.britishcycling.org.uk/points?person_id=839852&amp;year=2019&amp;type=national&amp;d=6","Results")</f>
        <v/>
      </c>
    </row>
    <row r="285" spans="1:5">
      <c r="A285" t="s">
        <v>737</v>
      </c>
      <c r="B285" t="s">
        <v>738</v>
      </c>
      <c r="C285" t="s">
        <v>201</v>
      </c>
      <c r="D285" t="s">
        <v>28</v>
      </c>
      <c r="E285">
        <f>HYPERLINK("https://www.britishcycling.org.uk/points?person_id=176071&amp;year=2019&amp;type=national&amp;d=6","Results")</f>
        <v/>
      </c>
    </row>
    <row r="286" spans="1:5">
      <c r="A286" t="s">
        <v>739</v>
      </c>
      <c r="B286" t="s">
        <v>740</v>
      </c>
      <c r="C286" t="s">
        <v>656</v>
      </c>
      <c r="D286" t="s">
        <v>28</v>
      </c>
      <c r="E286">
        <f>HYPERLINK("https://www.britishcycling.org.uk/points?person_id=232450&amp;year=2019&amp;type=national&amp;d=6","Results")</f>
        <v/>
      </c>
    </row>
    <row r="287" spans="1:5">
      <c r="A287" t="s">
        <v>741</v>
      </c>
      <c r="B287" t="s">
        <v>742</v>
      </c>
      <c r="C287" t="s">
        <v>743</v>
      </c>
      <c r="D287" t="s">
        <v>28</v>
      </c>
      <c r="E287">
        <f>HYPERLINK("https://www.britishcycling.org.uk/points?person_id=351725&amp;year=2019&amp;type=national&amp;d=6","Results")</f>
        <v/>
      </c>
    </row>
    <row r="288" spans="1:5">
      <c r="A288" t="s">
        <v>744</v>
      </c>
      <c r="B288" t="s">
        <v>745</v>
      </c>
      <c r="C288" t="s">
        <v>746</v>
      </c>
      <c r="D288" t="s">
        <v>28</v>
      </c>
      <c r="E288">
        <f>HYPERLINK("https://www.britishcycling.org.uk/points?person_id=295453&amp;year=2019&amp;type=national&amp;d=6","Results")</f>
        <v/>
      </c>
    </row>
    <row r="289" spans="1:5">
      <c r="A289" t="s">
        <v>747</v>
      </c>
      <c r="B289" t="s">
        <v>748</v>
      </c>
      <c r="C289" t="s">
        <v>312</v>
      </c>
      <c r="D289" t="s">
        <v>28</v>
      </c>
      <c r="E289">
        <f>HYPERLINK("https://www.britishcycling.org.uk/points?person_id=767038&amp;year=2019&amp;type=national&amp;d=6","Results")</f>
        <v/>
      </c>
    </row>
    <row r="290" spans="1:5">
      <c r="A290" t="s">
        <v>749</v>
      </c>
      <c r="B290" t="s">
        <v>750</v>
      </c>
      <c r="C290" t="s">
        <v>575</v>
      </c>
      <c r="D290" t="s">
        <v>28</v>
      </c>
      <c r="E290">
        <f>HYPERLINK("https://www.britishcycling.org.uk/points?person_id=585959&amp;year=2019&amp;type=national&amp;d=6","Results")</f>
        <v/>
      </c>
    </row>
    <row r="291" spans="1:5">
      <c r="A291" t="s">
        <v>751</v>
      </c>
      <c r="B291" t="s">
        <v>752</v>
      </c>
      <c r="C291" t="s">
        <v>101</v>
      </c>
      <c r="D291" t="s">
        <v>28</v>
      </c>
      <c r="E291">
        <f>HYPERLINK("https://www.britishcycling.org.uk/points?person_id=940486&amp;year=2019&amp;type=national&amp;d=6","Results")</f>
        <v/>
      </c>
    </row>
    <row r="292" spans="1:5">
      <c r="A292" t="s">
        <v>126</v>
      </c>
      <c r="B292" t="s">
        <v>753</v>
      </c>
      <c r="C292" t="s">
        <v>117</v>
      </c>
      <c r="D292" t="s">
        <v>28</v>
      </c>
      <c r="E292">
        <f>HYPERLINK("https://www.britishcycling.org.uk/points?person_id=325190&amp;year=2019&amp;type=national&amp;d=6","Results")</f>
        <v/>
      </c>
    </row>
    <row r="293" spans="1:5">
      <c r="A293" t="s">
        <v>754</v>
      </c>
      <c r="B293" t="s">
        <v>755</v>
      </c>
      <c r="C293" t="s">
        <v>109</v>
      </c>
      <c r="D293" t="s">
        <v>28</v>
      </c>
      <c r="E293">
        <f>HYPERLINK("https://www.britishcycling.org.uk/points?person_id=755968&amp;year=2019&amp;type=national&amp;d=6","Results")</f>
        <v/>
      </c>
    </row>
    <row r="294" spans="1:5">
      <c r="A294" t="s">
        <v>756</v>
      </c>
      <c r="B294" t="s">
        <v>757</v>
      </c>
      <c r="C294" t="s">
        <v>495</v>
      </c>
      <c r="D294" t="s">
        <v>25</v>
      </c>
      <c r="E294">
        <f>HYPERLINK("https://www.britishcycling.org.uk/points?person_id=359548&amp;year=2019&amp;type=national&amp;d=6","Results")</f>
        <v/>
      </c>
    </row>
    <row r="295" spans="1:5">
      <c r="A295" t="s">
        <v>758</v>
      </c>
      <c r="B295" t="s">
        <v>759</v>
      </c>
      <c r="C295" t="s">
        <v>198</v>
      </c>
      <c r="D295" t="s">
        <v>25</v>
      </c>
      <c r="E295">
        <f>HYPERLINK("https://www.britishcycling.org.uk/points?person_id=384760&amp;year=2019&amp;type=national&amp;d=6","Results")</f>
        <v/>
      </c>
    </row>
    <row r="296" spans="1:5">
      <c r="A296" t="s">
        <v>122</v>
      </c>
      <c r="B296" t="s">
        <v>760</v>
      </c>
      <c r="C296" t="s">
        <v>346</v>
      </c>
      <c r="D296" t="s">
        <v>25</v>
      </c>
      <c r="E296">
        <f>HYPERLINK("https://www.britishcycling.org.uk/points?person_id=181267&amp;year=2019&amp;type=national&amp;d=6","Results")</f>
        <v/>
      </c>
    </row>
    <row r="297" spans="1:5">
      <c r="A297" t="s">
        <v>118</v>
      </c>
      <c r="B297" t="s">
        <v>761</v>
      </c>
      <c r="C297" t="s">
        <v>376</v>
      </c>
      <c r="D297" t="s">
        <v>25</v>
      </c>
      <c r="E297">
        <f>HYPERLINK("https://www.britishcycling.org.uk/points?person_id=758442&amp;year=2019&amp;type=national&amp;d=6","Results")</f>
        <v/>
      </c>
    </row>
    <row r="298" spans="1:5">
      <c r="A298" t="s">
        <v>762</v>
      </c>
      <c r="B298" t="s">
        <v>763</v>
      </c>
      <c r="C298" t="s">
        <v>139</v>
      </c>
      <c r="D298" t="s">
        <v>25</v>
      </c>
      <c r="E298">
        <f>HYPERLINK("https://www.britishcycling.org.uk/points?person_id=574118&amp;year=2019&amp;type=national&amp;d=6","Results")</f>
        <v/>
      </c>
    </row>
    <row r="299" spans="1:5">
      <c r="A299" t="s">
        <v>114</v>
      </c>
      <c r="B299" t="s">
        <v>764</v>
      </c>
      <c r="C299" t="s">
        <v>361</v>
      </c>
      <c r="D299" t="s">
        <v>25</v>
      </c>
      <c r="E299">
        <f>HYPERLINK("https://www.britishcycling.org.uk/points?person_id=732030&amp;year=2019&amp;type=national&amp;d=6","Results")</f>
        <v/>
      </c>
    </row>
    <row r="300" spans="1:5">
      <c r="A300" t="s">
        <v>765</v>
      </c>
      <c r="B300" t="s">
        <v>766</v>
      </c>
      <c r="C300" t="s">
        <v>324</v>
      </c>
      <c r="D300" t="s">
        <v>21</v>
      </c>
      <c r="E300">
        <f>HYPERLINK("https://www.britishcycling.org.uk/points?person_id=333221&amp;year=2019&amp;type=national&amp;d=6","Results")</f>
        <v/>
      </c>
    </row>
    <row r="301" spans="1:5">
      <c r="A301" t="s">
        <v>767</v>
      </c>
      <c r="B301" t="s">
        <v>768</v>
      </c>
      <c r="C301" t="s">
        <v>514</v>
      </c>
      <c r="D301" t="s">
        <v>21</v>
      </c>
      <c r="E301">
        <f>HYPERLINK("https://www.britishcycling.org.uk/points?person_id=957433&amp;year=2019&amp;type=national&amp;d=6","Results")</f>
        <v/>
      </c>
    </row>
    <row r="302" spans="1:5">
      <c r="A302" t="s">
        <v>769</v>
      </c>
      <c r="B302" t="s">
        <v>770</v>
      </c>
      <c r="C302" t="s">
        <v>771</v>
      </c>
      <c r="D302" t="s">
        <v>21</v>
      </c>
      <c r="E302">
        <f>HYPERLINK("https://www.britishcycling.org.uk/points?person_id=671786&amp;year=2019&amp;type=national&amp;d=6","Results")</f>
        <v/>
      </c>
    </row>
    <row r="303" spans="1:5">
      <c r="A303" t="s">
        <v>772</v>
      </c>
      <c r="B303" t="s">
        <v>773</v>
      </c>
      <c r="C303" t="s">
        <v>774</v>
      </c>
      <c r="D303" t="s">
        <v>21</v>
      </c>
      <c r="E303">
        <f>HYPERLINK("https://www.britishcycling.org.uk/points?person_id=615337&amp;year=2019&amp;type=national&amp;d=6","Results")</f>
        <v/>
      </c>
    </row>
    <row r="304" spans="1:5">
      <c r="A304" t="s">
        <v>775</v>
      </c>
      <c r="B304" t="s">
        <v>776</v>
      </c>
      <c r="C304" t="s"/>
      <c r="D304" t="s">
        <v>21</v>
      </c>
      <c r="E304">
        <f>HYPERLINK("https://www.britishcycling.org.uk/points?person_id=330152&amp;year=2019&amp;type=national&amp;d=6","Results")</f>
        <v/>
      </c>
    </row>
    <row r="305" spans="1:5">
      <c r="A305" t="s">
        <v>777</v>
      </c>
      <c r="B305" t="s">
        <v>778</v>
      </c>
      <c r="C305" t="s">
        <v>461</v>
      </c>
      <c r="D305" t="s">
        <v>21</v>
      </c>
      <c r="E305">
        <f>HYPERLINK("https://www.britishcycling.org.uk/points?person_id=651336&amp;year=2019&amp;type=national&amp;d=6","Results")</f>
        <v/>
      </c>
    </row>
    <row r="306" spans="1:5">
      <c r="A306" t="s">
        <v>779</v>
      </c>
      <c r="B306" t="s">
        <v>780</v>
      </c>
      <c r="C306" t="s">
        <v>781</v>
      </c>
      <c r="D306" t="s">
        <v>21</v>
      </c>
      <c r="E306">
        <f>HYPERLINK("https://www.britishcycling.org.uk/points?person_id=776513&amp;year=2019&amp;type=national&amp;d=6","Results")</f>
        <v/>
      </c>
    </row>
    <row r="307" spans="1:5">
      <c r="A307" t="s">
        <v>782</v>
      </c>
      <c r="B307" t="s">
        <v>783</v>
      </c>
      <c r="C307" t="s">
        <v>355</v>
      </c>
      <c r="D307" t="s">
        <v>21</v>
      </c>
      <c r="E307">
        <f>HYPERLINK("https://www.britishcycling.org.uk/points?person_id=754640&amp;year=2019&amp;type=national&amp;d=6","Results")</f>
        <v/>
      </c>
    </row>
    <row r="308" spans="1:5">
      <c r="A308" t="s">
        <v>784</v>
      </c>
      <c r="B308" t="s">
        <v>785</v>
      </c>
      <c r="C308" t="s">
        <v>324</v>
      </c>
      <c r="D308" t="s">
        <v>21</v>
      </c>
      <c r="E308">
        <f>HYPERLINK("https://www.britishcycling.org.uk/points?person_id=621530&amp;year=2019&amp;type=national&amp;d=6","Results")</f>
        <v/>
      </c>
    </row>
    <row r="309" spans="1:5">
      <c r="A309" t="s">
        <v>786</v>
      </c>
      <c r="B309" t="s">
        <v>787</v>
      </c>
      <c r="C309" t="s">
        <v>61</v>
      </c>
      <c r="D309" t="s">
        <v>21</v>
      </c>
      <c r="E309">
        <f>HYPERLINK("https://www.britishcycling.org.uk/points?person_id=580888&amp;year=2019&amp;type=national&amp;d=6","Results")</f>
        <v/>
      </c>
    </row>
    <row r="310" spans="1:5">
      <c r="A310" t="s">
        <v>788</v>
      </c>
      <c r="B310" t="s">
        <v>789</v>
      </c>
      <c r="C310" t="s">
        <v>163</v>
      </c>
      <c r="D310" t="s">
        <v>21</v>
      </c>
      <c r="E310">
        <f>HYPERLINK("https://www.britishcycling.org.uk/points?person_id=707739&amp;year=2019&amp;type=national&amp;d=6","Results")</f>
        <v/>
      </c>
    </row>
    <row r="311" spans="1:5">
      <c r="A311" t="s">
        <v>790</v>
      </c>
      <c r="B311" t="s">
        <v>791</v>
      </c>
      <c r="C311" t="s">
        <v>230</v>
      </c>
      <c r="D311" t="s">
        <v>21</v>
      </c>
      <c r="E311">
        <f>HYPERLINK("https://www.britishcycling.org.uk/points?person_id=327255&amp;year=2019&amp;type=national&amp;d=6","Results")</f>
        <v/>
      </c>
    </row>
    <row r="312" spans="1:5">
      <c r="A312" t="s">
        <v>792</v>
      </c>
      <c r="B312" t="s">
        <v>793</v>
      </c>
      <c r="C312" t="s">
        <v>45</v>
      </c>
      <c r="D312" t="s">
        <v>21</v>
      </c>
      <c r="E312">
        <f>HYPERLINK("https://www.britishcycling.org.uk/points?person_id=330376&amp;year=2019&amp;type=national&amp;d=6","Results")</f>
        <v/>
      </c>
    </row>
    <row r="313" spans="1:5">
      <c r="A313" t="s">
        <v>794</v>
      </c>
      <c r="B313" t="s">
        <v>795</v>
      </c>
      <c r="C313" t="s">
        <v>796</v>
      </c>
      <c r="D313" t="s">
        <v>21</v>
      </c>
      <c r="E313">
        <f>HYPERLINK("https://www.britishcycling.org.uk/points?person_id=244878&amp;year=2019&amp;type=national&amp;d=6","Results")</f>
        <v/>
      </c>
    </row>
    <row r="314" spans="1:5">
      <c r="A314" t="s">
        <v>797</v>
      </c>
      <c r="B314" t="s">
        <v>798</v>
      </c>
      <c r="C314" t="s">
        <v>216</v>
      </c>
      <c r="D314" t="s">
        <v>21</v>
      </c>
      <c r="E314">
        <f>HYPERLINK("https://www.britishcycling.org.uk/points?person_id=139886&amp;year=2019&amp;type=national&amp;d=6","Results")</f>
        <v/>
      </c>
    </row>
    <row r="315" spans="1:5">
      <c r="A315" t="s">
        <v>799</v>
      </c>
      <c r="B315" t="s">
        <v>800</v>
      </c>
      <c r="C315" t="s">
        <v>366</v>
      </c>
      <c r="D315" t="s">
        <v>17</v>
      </c>
      <c r="E315">
        <f>HYPERLINK("https://www.britishcycling.org.uk/points?person_id=766392&amp;year=2019&amp;type=national&amp;d=6","Results")</f>
        <v/>
      </c>
    </row>
    <row r="316" spans="1:5">
      <c r="A316" t="s">
        <v>801</v>
      </c>
      <c r="B316" t="s">
        <v>802</v>
      </c>
      <c r="C316" t="s">
        <v>33</v>
      </c>
      <c r="D316" t="s">
        <v>17</v>
      </c>
      <c r="E316">
        <f>HYPERLINK("https://www.britishcycling.org.uk/points?person_id=734745&amp;year=2019&amp;type=national&amp;d=6","Results")</f>
        <v/>
      </c>
    </row>
    <row r="317" spans="1:5">
      <c r="A317" t="s">
        <v>803</v>
      </c>
      <c r="B317" t="s">
        <v>804</v>
      </c>
      <c r="C317" t="s">
        <v>355</v>
      </c>
      <c r="D317" t="s">
        <v>17</v>
      </c>
      <c r="E317">
        <f>HYPERLINK("https://www.britishcycling.org.uk/points?person_id=846396&amp;year=2019&amp;type=national&amp;d=6","Results")</f>
        <v/>
      </c>
    </row>
    <row r="318" spans="1:5">
      <c r="A318" t="s">
        <v>110</v>
      </c>
      <c r="B318" t="s">
        <v>805</v>
      </c>
      <c r="C318" t="s">
        <v>592</v>
      </c>
      <c r="D318" t="s">
        <v>17</v>
      </c>
      <c r="E318">
        <f>HYPERLINK("https://www.britishcycling.org.uk/points?person_id=418535&amp;year=2019&amp;type=national&amp;d=6","Results")</f>
        <v/>
      </c>
    </row>
    <row r="319" spans="1:5">
      <c r="A319" t="s">
        <v>806</v>
      </c>
      <c r="B319" t="s">
        <v>807</v>
      </c>
      <c r="C319" t="s">
        <v>262</v>
      </c>
      <c r="D319" t="s">
        <v>17</v>
      </c>
      <c r="E319">
        <f>HYPERLINK("https://www.britishcycling.org.uk/points?person_id=870370&amp;year=2019&amp;type=national&amp;d=6","Results")</f>
        <v/>
      </c>
    </row>
    <row r="320" spans="1:5">
      <c r="A320" t="s">
        <v>808</v>
      </c>
      <c r="B320" t="s">
        <v>809</v>
      </c>
      <c r="C320" t="s">
        <v>495</v>
      </c>
      <c r="D320" t="s">
        <v>13</v>
      </c>
      <c r="E320">
        <f>HYPERLINK("https://www.britishcycling.org.uk/points?person_id=285694&amp;year=2019&amp;type=national&amp;d=6","Results")</f>
        <v/>
      </c>
    </row>
    <row r="321" spans="1:5">
      <c r="A321" t="s">
        <v>810</v>
      </c>
      <c r="B321" t="s">
        <v>811</v>
      </c>
      <c r="C321" t="s">
        <v>796</v>
      </c>
      <c r="D321" t="s">
        <v>13</v>
      </c>
      <c r="E321">
        <f>HYPERLINK("https://www.britishcycling.org.uk/points?person_id=244788&amp;year=2019&amp;type=national&amp;d=6","Results")</f>
        <v/>
      </c>
    </row>
    <row r="322" spans="1:5">
      <c r="A322" t="s">
        <v>812</v>
      </c>
      <c r="B322" t="s">
        <v>813</v>
      </c>
      <c r="C322" t="s">
        <v>814</v>
      </c>
      <c r="D322" t="s">
        <v>13</v>
      </c>
      <c r="E322">
        <f>HYPERLINK("https://www.britishcycling.org.uk/points?person_id=849111&amp;year=2019&amp;type=national&amp;d=6","Results")</f>
        <v/>
      </c>
    </row>
    <row r="323" spans="1:5">
      <c r="A323" t="s">
        <v>815</v>
      </c>
      <c r="B323" t="s">
        <v>816</v>
      </c>
      <c r="C323" t="s">
        <v>817</v>
      </c>
      <c r="D323" t="s">
        <v>13</v>
      </c>
      <c r="E323">
        <f>HYPERLINK("https://www.britishcycling.org.uk/points?person_id=856523&amp;year=2019&amp;type=national&amp;d=6","Results")</f>
        <v/>
      </c>
    </row>
    <row r="324" spans="1:5">
      <c r="A324" t="s">
        <v>818</v>
      </c>
      <c r="B324" t="s">
        <v>819</v>
      </c>
      <c r="C324" t="s">
        <v>33</v>
      </c>
      <c r="D324" t="s">
        <v>13</v>
      </c>
      <c r="E324">
        <f>HYPERLINK("https://www.britishcycling.org.uk/points?person_id=440059&amp;year=2019&amp;type=national&amp;d=6","Results")</f>
        <v/>
      </c>
    </row>
    <row r="325" spans="1:5">
      <c r="A325" t="s">
        <v>820</v>
      </c>
      <c r="B325" t="s">
        <v>821</v>
      </c>
      <c r="C325" t="s">
        <v>822</v>
      </c>
      <c r="D325" t="s">
        <v>13</v>
      </c>
      <c r="E325">
        <f>HYPERLINK("https://www.britishcycling.org.uk/points?person_id=270364&amp;year=2019&amp;type=national&amp;d=6","Results")</f>
        <v/>
      </c>
    </row>
    <row r="326" spans="1:5">
      <c r="A326" t="s">
        <v>823</v>
      </c>
      <c r="B326" t="s">
        <v>824</v>
      </c>
      <c r="C326" t="s">
        <v>427</v>
      </c>
      <c r="D326" t="s">
        <v>13</v>
      </c>
      <c r="E326">
        <f>HYPERLINK("https://www.britishcycling.org.uk/points?person_id=646531&amp;year=2019&amp;type=national&amp;d=6","Results")</f>
        <v/>
      </c>
    </row>
    <row r="327" spans="1:5">
      <c r="A327" t="s">
        <v>825</v>
      </c>
      <c r="B327" t="s">
        <v>826</v>
      </c>
      <c r="C327" t="s">
        <v>827</v>
      </c>
      <c r="D327" t="s">
        <v>13</v>
      </c>
      <c r="E327">
        <f>HYPERLINK("https://www.britishcycling.org.uk/points?person_id=753132&amp;year=2019&amp;type=national&amp;d=6","Results")</f>
        <v/>
      </c>
    </row>
    <row r="328" spans="1:5">
      <c r="A328" t="s">
        <v>828</v>
      </c>
      <c r="B328" t="s">
        <v>829</v>
      </c>
      <c r="C328" t="s">
        <v>434</v>
      </c>
      <c r="D328" t="s">
        <v>13</v>
      </c>
      <c r="E328">
        <f>HYPERLINK("https://www.britishcycling.org.uk/points?person_id=443211&amp;year=2019&amp;type=national&amp;d=6","Results")</f>
        <v/>
      </c>
    </row>
    <row r="329" spans="1:5">
      <c r="A329" t="s">
        <v>106</v>
      </c>
      <c r="B329" t="s">
        <v>830</v>
      </c>
      <c r="C329" t="s">
        <v>831</v>
      </c>
      <c r="D329" t="s">
        <v>13</v>
      </c>
      <c r="E329">
        <f>HYPERLINK("https://www.britishcycling.org.uk/points?person_id=222353&amp;year=2019&amp;type=national&amp;d=6","Results")</f>
        <v/>
      </c>
    </row>
    <row r="330" spans="1:5">
      <c r="A330" t="s">
        <v>832</v>
      </c>
      <c r="B330" t="s">
        <v>833</v>
      </c>
      <c r="C330" t="s">
        <v>834</v>
      </c>
      <c r="D330" t="s">
        <v>13</v>
      </c>
      <c r="E330">
        <f>HYPERLINK("https://www.britishcycling.org.uk/points?person_id=444327&amp;year=2019&amp;type=national&amp;d=6","Results")</f>
        <v/>
      </c>
    </row>
    <row r="331" spans="1:5">
      <c r="A331" t="s">
        <v>835</v>
      </c>
      <c r="B331" t="s">
        <v>836</v>
      </c>
      <c r="C331" t="s">
        <v>837</v>
      </c>
      <c r="D331" t="s">
        <v>9</v>
      </c>
      <c r="E331">
        <f>HYPERLINK("https://www.britishcycling.org.uk/points?person_id=450668&amp;year=2019&amp;type=national&amp;d=6","Results")</f>
        <v/>
      </c>
    </row>
    <row r="332" spans="1:5">
      <c r="A332" t="s">
        <v>838</v>
      </c>
      <c r="B332" t="s">
        <v>839</v>
      </c>
      <c r="C332" t="s">
        <v>212</v>
      </c>
      <c r="D332" t="s">
        <v>9</v>
      </c>
      <c r="E332">
        <f>HYPERLINK("https://www.britishcycling.org.uk/points?person_id=269894&amp;year=2019&amp;type=national&amp;d=6","Results")</f>
        <v/>
      </c>
    </row>
    <row r="333" spans="1:5">
      <c r="A333" t="s">
        <v>840</v>
      </c>
      <c r="B333" t="s">
        <v>841</v>
      </c>
      <c r="C333" t="s">
        <v>295</v>
      </c>
      <c r="D333" t="s">
        <v>9</v>
      </c>
      <c r="E333">
        <f>HYPERLINK("https://www.britishcycling.org.uk/points?person_id=753082&amp;year=2019&amp;type=national&amp;d=6","Results")</f>
        <v/>
      </c>
    </row>
    <row r="334" spans="1:5">
      <c r="A334" t="s">
        <v>842</v>
      </c>
      <c r="B334" t="s">
        <v>843</v>
      </c>
      <c r="C334" t="s">
        <v>844</v>
      </c>
      <c r="D334" t="s">
        <v>9</v>
      </c>
      <c r="E334">
        <f>HYPERLINK("https://www.britishcycling.org.uk/points?person_id=267617&amp;year=2019&amp;type=national&amp;d=6","Results")</f>
        <v/>
      </c>
    </row>
    <row r="335" spans="1:5">
      <c r="A335" t="s">
        <v>845</v>
      </c>
      <c r="B335" t="s">
        <v>846</v>
      </c>
      <c r="C335" t="s">
        <v>847</v>
      </c>
      <c r="D335" t="s">
        <v>9</v>
      </c>
      <c r="E335">
        <f>HYPERLINK("https://www.britishcycling.org.uk/points?person_id=783839&amp;year=2019&amp;type=national&amp;d=6","Results")</f>
        <v/>
      </c>
    </row>
    <row r="336" spans="1:5">
      <c r="A336" t="s">
        <v>848</v>
      </c>
      <c r="B336" t="s">
        <v>849</v>
      </c>
      <c r="C336" t="s">
        <v>796</v>
      </c>
      <c r="D336" t="s">
        <v>9</v>
      </c>
      <c r="E336">
        <f>HYPERLINK("https://www.britishcycling.org.uk/points?person_id=415714&amp;year=2019&amp;type=national&amp;d=6","Results")</f>
        <v/>
      </c>
    </row>
    <row r="337" spans="1:5">
      <c r="A337" t="s">
        <v>102</v>
      </c>
      <c r="B337" t="s">
        <v>850</v>
      </c>
      <c r="C337" t="s">
        <v>723</v>
      </c>
      <c r="D337" t="s">
        <v>9</v>
      </c>
      <c r="E337">
        <f>HYPERLINK("https://www.britishcycling.org.uk/points?person_id=558575&amp;year=2019&amp;type=national&amp;d=6","Results")</f>
        <v/>
      </c>
    </row>
    <row r="338" spans="1:5">
      <c r="A338" t="s">
        <v>851</v>
      </c>
      <c r="B338" t="s">
        <v>852</v>
      </c>
      <c r="C338" t="s">
        <v>853</v>
      </c>
      <c r="D338" t="s">
        <v>9</v>
      </c>
      <c r="E338">
        <f>HYPERLINK("https://www.britishcycling.org.uk/points?person_id=440921&amp;year=2019&amp;type=national&amp;d=6","Results")</f>
        <v/>
      </c>
    </row>
    <row r="339" spans="1:5">
      <c r="A339" t="s">
        <v>854</v>
      </c>
      <c r="B339" t="s">
        <v>855</v>
      </c>
      <c r="C339" t="s">
        <v>856</v>
      </c>
      <c r="D339" t="s">
        <v>9</v>
      </c>
      <c r="E339">
        <f>HYPERLINK("https://www.britishcycling.org.uk/points?person_id=782773&amp;year=2019&amp;type=national&amp;d=6","Results")</f>
        <v/>
      </c>
    </row>
    <row r="340" spans="1:5">
      <c r="A340" t="s">
        <v>857</v>
      </c>
      <c r="B340" t="s">
        <v>858</v>
      </c>
      <c r="C340" t="s">
        <v>143</v>
      </c>
      <c r="D340" t="s">
        <v>9</v>
      </c>
      <c r="E340">
        <f>HYPERLINK("https://www.britishcycling.org.uk/points?person_id=277848&amp;year=2019&amp;type=national&amp;d=6","Results")</f>
        <v/>
      </c>
    </row>
    <row r="341" spans="1:5">
      <c r="A341" t="s">
        <v>98</v>
      </c>
      <c r="B341" t="s">
        <v>859</v>
      </c>
      <c r="C341" t="s">
        <v>143</v>
      </c>
      <c r="D341" t="s">
        <v>9</v>
      </c>
      <c r="E341">
        <f>HYPERLINK("https://www.britishcycling.org.uk/points?person_id=554967&amp;year=2019&amp;type=national&amp;d=6","Results")</f>
        <v/>
      </c>
    </row>
    <row r="342" spans="1:5">
      <c r="A342" t="s">
        <v>860</v>
      </c>
      <c r="B342" t="s">
        <v>861</v>
      </c>
      <c r="C342" t="s">
        <v>61</v>
      </c>
      <c r="D342" t="s">
        <v>9</v>
      </c>
      <c r="E342">
        <f>HYPERLINK("https://www.britishcycling.org.uk/points?person_id=223828&amp;year=2019&amp;type=national&amp;d=6","Results")</f>
        <v/>
      </c>
    </row>
    <row r="343" spans="1:5">
      <c r="A343" t="s">
        <v>862</v>
      </c>
      <c r="B343" t="s">
        <v>863</v>
      </c>
      <c r="C343" t="s">
        <v>355</v>
      </c>
      <c r="D343" t="s">
        <v>9</v>
      </c>
      <c r="E343">
        <f>HYPERLINK("https://www.britishcycling.org.uk/points?person_id=537422&amp;year=2019&amp;type=national&amp;d=6","Results")</f>
        <v/>
      </c>
    </row>
    <row r="344" spans="1:5">
      <c r="A344" t="s">
        <v>864</v>
      </c>
      <c r="B344" t="s">
        <v>865</v>
      </c>
      <c r="C344" t="s">
        <v>866</v>
      </c>
      <c r="D344" t="s">
        <v>9</v>
      </c>
      <c r="E344">
        <f>HYPERLINK("https://www.britishcycling.org.uk/points?person_id=935154&amp;year=2019&amp;type=national&amp;d=6","Results")</f>
        <v/>
      </c>
    </row>
    <row r="345" spans="1:5">
      <c r="A345" t="s">
        <v>867</v>
      </c>
      <c r="B345" t="s">
        <v>868</v>
      </c>
      <c r="C345" t="s">
        <v>101</v>
      </c>
      <c r="D345" t="s">
        <v>9</v>
      </c>
      <c r="E345">
        <f>HYPERLINK("https://www.britishcycling.org.uk/points?person_id=427005&amp;year=2019&amp;type=national&amp;d=6","Results")</f>
        <v/>
      </c>
    </row>
    <row r="346" spans="1:5">
      <c r="A346" t="s">
        <v>869</v>
      </c>
      <c r="B346" t="s">
        <v>870</v>
      </c>
      <c r="C346" t="s">
        <v>723</v>
      </c>
      <c r="D346" t="s">
        <v>9</v>
      </c>
      <c r="E346">
        <f>HYPERLINK("https://www.britishcycling.org.uk/points?person_id=446250&amp;year=2019&amp;type=national&amp;d=6","Results")</f>
        <v/>
      </c>
    </row>
    <row r="347" spans="1:5">
      <c r="A347" t="s">
        <v>871</v>
      </c>
      <c r="B347" t="s">
        <v>872</v>
      </c>
      <c r="C347" t="s">
        <v>113</v>
      </c>
      <c r="D347" t="s">
        <v>9</v>
      </c>
      <c r="E347">
        <f>HYPERLINK("https://www.britishcycling.org.uk/points?person_id=251886&amp;year=2019&amp;type=national&amp;d=6","Results")</f>
        <v/>
      </c>
    </row>
    <row r="348" spans="1:5">
      <c r="A348" t="s">
        <v>873</v>
      </c>
      <c r="B348" t="s">
        <v>874</v>
      </c>
      <c r="C348" t="s">
        <v>194</v>
      </c>
      <c r="D348" t="s">
        <v>9</v>
      </c>
      <c r="E348">
        <f>HYPERLINK("https://www.britishcycling.org.uk/points?person_id=399900&amp;year=2019&amp;type=national&amp;d=6","Results")</f>
        <v/>
      </c>
    </row>
    <row r="349" spans="1:5">
      <c r="A349" t="s">
        <v>875</v>
      </c>
      <c r="B349" t="s">
        <v>876</v>
      </c>
      <c r="C349" t="s">
        <v>346</v>
      </c>
      <c r="D349" t="s">
        <v>5</v>
      </c>
      <c r="E349">
        <f>HYPERLINK("https://www.britishcycling.org.uk/points?person_id=302225&amp;year=2019&amp;type=national&amp;d=6","Results")</f>
        <v/>
      </c>
    </row>
    <row r="350" spans="1:5">
      <c r="A350" t="s">
        <v>877</v>
      </c>
      <c r="B350" t="s">
        <v>878</v>
      </c>
      <c r="C350" t="s">
        <v>879</v>
      </c>
      <c r="D350" t="s">
        <v>5</v>
      </c>
      <c r="E350">
        <f>HYPERLINK("https://www.britishcycling.org.uk/points?person_id=862892&amp;year=2019&amp;type=national&amp;d=6","Results")</f>
        <v/>
      </c>
    </row>
    <row r="351" spans="1:5">
      <c r="A351" t="s">
        <v>880</v>
      </c>
      <c r="B351" t="s">
        <v>881</v>
      </c>
      <c r="C351" t="s">
        <v>249</v>
      </c>
      <c r="D351" t="s">
        <v>5</v>
      </c>
      <c r="E351">
        <f>HYPERLINK("https://www.britishcycling.org.uk/points?person_id=409032&amp;year=2019&amp;type=national&amp;d=6","Results")</f>
        <v/>
      </c>
    </row>
    <row r="352" spans="1:5">
      <c r="A352" t="s">
        <v>882</v>
      </c>
      <c r="B352" t="s">
        <v>883</v>
      </c>
      <c r="C352" t="s">
        <v>884</v>
      </c>
      <c r="D352" t="s">
        <v>5</v>
      </c>
      <c r="E352">
        <f>HYPERLINK("https://www.britishcycling.org.uk/points?person_id=672067&amp;year=2019&amp;type=national&amp;d=6","Results")</f>
        <v/>
      </c>
    </row>
    <row r="353" spans="1:5">
      <c r="A353" t="s">
        <v>885</v>
      </c>
      <c r="B353" t="s">
        <v>886</v>
      </c>
      <c r="C353" t="s">
        <v>887</v>
      </c>
      <c r="D353" t="s">
        <v>5</v>
      </c>
      <c r="E353">
        <f>HYPERLINK("https://www.britishcycling.org.uk/points?person_id=792964&amp;year=2019&amp;type=national&amp;d=6","Results")</f>
        <v/>
      </c>
    </row>
    <row r="354" spans="1:5">
      <c r="A354" t="s">
        <v>888</v>
      </c>
      <c r="B354" t="s">
        <v>889</v>
      </c>
      <c r="C354" t="s">
        <v>355</v>
      </c>
      <c r="D354" t="s">
        <v>5</v>
      </c>
      <c r="E354">
        <f>HYPERLINK("https://www.britishcycling.org.uk/points?person_id=560400&amp;year=2019&amp;type=national&amp;d=6","Results")</f>
        <v/>
      </c>
    </row>
    <row r="355" spans="1:5">
      <c r="A355" t="s">
        <v>890</v>
      </c>
      <c r="B355" t="s">
        <v>891</v>
      </c>
      <c r="C355" t="s">
        <v>216</v>
      </c>
      <c r="D355" t="s">
        <v>5</v>
      </c>
      <c r="E355">
        <f>HYPERLINK("https://www.britishcycling.org.uk/points?person_id=568226&amp;year=2019&amp;type=national&amp;d=6","Results")</f>
        <v/>
      </c>
    </row>
    <row r="356" spans="1:5">
      <c r="A356" t="s">
        <v>892</v>
      </c>
      <c r="B356" t="s">
        <v>893</v>
      </c>
      <c r="C356" t="s">
        <v>121</v>
      </c>
      <c r="D356" t="s">
        <v>5</v>
      </c>
      <c r="E356">
        <f>HYPERLINK("https://www.britishcycling.org.uk/points?person_id=550563&amp;year=2019&amp;type=national&amp;d=6","Results")</f>
        <v/>
      </c>
    </row>
    <row r="357" spans="1:5">
      <c r="A357" t="s">
        <v>894</v>
      </c>
      <c r="B357" t="s">
        <v>895</v>
      </c>
      <c r="C357" t="s">
        <v>896</v>
      </c>
      <c r="D357" t="s">
        <v>5</v>
      </c>
      <c r="E357">
        <f>HYPERLINK("https://www.britishcycling.org.uk/points?person_id=837989&amp;year=2019&amp;type=national&amp;d=6","Results")</f>
        <v/>
      </c>
    </row>
    <row r="358" spans="1:5">
      <c r="A358" t="s">
        <v>897</v>
      </c>
      <c r="B358" t="s">
        <v>898</v>
      </c>
      <c r="C358" t="s">
        <v>899</v>
      </c>
      <c r="D358" t="s">
        <v>5</v>
      </c>
      <c r="E358">
        <f>HYPERLINK("https://www.britishcycling.org.uk/points?person_id=408956&amp;year=2019&amp;type=national&amp;d=6","Results")</f>
        <v/>
      </c>
    </row>
    <row r="359" spans="1:5">
      <c r="A359" t="s">
        <v>95</v>
      </c>
      <c r="B359" t="s">
        <v>900</v>
      </c>
      <c r="C359" t="s">
        <v>80</v>
      </c>
      <c r="D359" t="s">
        <v>5</v>
      </c>
      <c r="E359">
        <f>HYPERLINK("https://www.britishcycling.org.uk/points?person_id=842588&amp;year=2019&amp;type=national&amp;d=6","Results")</f>
        <v/>
      </c>
    </row>
    <row r="360" spans="1:5">
      <c r="A360" t="s">
        <v>901</v>
      </c>
      <c r="B360" t="s">
        <v>902</v>
      </c>
      <c r="C360" t="s">
        <v>903</v>
      </c>
      <c r="D360" t="s">
        <v>5</v>
      </c>
      <c r="E360">
        <f>HYPERLINK("https://www.britishcycling.org.uk/points?person_id=425545&amp;year=2019&amp;type=national&amp;d=6","Results")</f>
        <v/>
      </c>
    </row>
    <row r="361" spans="1:5">
      <c r="A361" t="s">
        <v>904</v>
      </c>
      <c r="B361" t="s">
        <v>905</v>
      </c>
      <c r="C361" t="s">
        <v>331</v>
      </c>
      <c r="D361" t="s">
        <v>5</v>
      </c>
      <c r="E361">
        <f>HYPERLINK("https://www.britishcycling.org.uk/points?person_id=943234&amp;year=2019&amp;type=national&amp;d=6","Results")</f>
        <v/>
      </c>
    </row>
    <row r="362" spans="1:5">
      <c r="A362" t="s">
        <v>906</v>
      </c>
      <c r="B362" t="s">
        <v>907</v>
      </c>
      <c r="C362" t="s">
        <v>514</v>
      </c>
      <c r="D362" t="s">
        <v>5</v>
      </c>
      <c r="E362">
        <f>HYPERLINK("https://www.britishcycling.org.uk/points?person_id=493399&amp;year=2019&amp;type=national&amp;d=6","Results")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73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4297</v>
      </c>
      <c r="C2" t="s">
        <v>15</v>
      </c>
      <c r="D2" t="s">
        <v>2445</v>
      </c>
      <c r="E2">
        <f>HYPERLINK("https://www.britishcycling.org.uk/points?person_id=236028&amp;year=2019&amp;type=national&amp;d=6","Results")</f>
        <v/>
      </c>
    </row>
    <row r="3" spans="1:5">
      <c r="A3" t="s">
        <v>9</v>
      </c>
      <c r="B3" t="s">
        <v>4298</v>
      </c>
      <c r="C3" t="s">
        <v>167</v>
      </c>
      <c r="D3" t="s">
        <v>2315</v>
      </c>
      <c r="E3">
        <f>HYPERLINK("https://www.britishcycling.org.uk/points?person_id=127808&amp;year=2019&amp;type=national&amp;d=6","Results")</f>
        <v/>
      </c>
    </row>
    <row r="4" spans="1:5">
      <c r="A4" t="s">
        <v>13</v>
      </c>
      <c r="B4" t="s">
        <v>4299</v>
      </c>
      <c r="C4" t="s">
        <v>1091</v>
      </c>
      <c r="D4" t="s">
        <v>62</v>
      </c>
      <c r="E4">
        <f>HYPERLINK("https://www.britishcycling.org.uk/points?person_id=57038&amp;year=2019&amp;type=national&amp;d=6","Results")</f>
        <v/>
      </c>
    </row>
    <row r="5" spans="1:5">
      <c r="A5" t="s">
        <v>17</v>
      </c>
      <c r="B5" t="s">
        <v>4300</v>
      </c>
      <c r="C5" t="s">
        <v>1091</v>
      </c>
      <c r="D5" t="s">
        <v>832</v>
      </c>
      <c r="E5">
        <f>HYPERLINK("https://www.britishcycling.org.uk/points?person_id=185355&amp;year=2019&amp;type=national&amp;d=6","Results")</f>
        <v/>
      </c>
    </row>
    <row r="6" spans="1:5">
      <c r="A6" t="s">
        <v>21</v>
      </c>
      <c r="B6" t="s">
        <v>4301</v>
      </c>
      <c r="C6" t="s">
        <v>945</v>
      </c>
      <c r="D6" t="s">
        <v>823</v>
      </c>
      <c r="E6">
        <f>HYPERLINK("https://www.britishcycling.org.uk/points?person_id=101805&amp;year=2019&amp;type=national&amp;d=6","Results")</f>
        <v/>
      </c>
    </row>
    <row r="7" spans="1:5">
      <c r="A7" t="s">
        <v>25</v>
      </c>
      <c r="B7" t="s">
        <v>4302</v>
      </c>
      <c r="C7" t="s">
        <v>4303</v>
      </c>
      <c r="D7" t="s">
        <v>593</v>
      </c>
      <c r="E7">
        <f>HYPERLINK("https://www.britishcycling.org.uk/points?person_id=123280&amp;year=2019&amp;type=national&amp;d=6","Results")</f>
        <v/>
      </c>
    </row>
    <row r="8" spans="1:5">
      <c r="A8" t="s">
        <v>28</v>
      </c>
      <c r="B8" t="s">
        <v>4304</v>
      </c>
      <c r="C8" t="s">
        <v>45</v>
      </c>
      <c r="D8" t="s">
        <v>571</v>
      </c>
      <c r="E8">
        <f>HYPERLINK("https://www.britishcycling.org.uk/points?person_id=330343&amp;year=2019&amp;type=national&amp;d=6","Results")</f>
        <v/>
      </c>
    </row>
    <row r="9" spans="1:5">
      <c r="A9" t="s">
        <v>31</v>
      </c>
      <c r="B9" t="s">
        <v>4305</v>
      </c>
      <c r="C9" t="s">
        <v>4306</v>
      </c>
      <c r="D9" t="s">
        <v>571</v>
      </c>
      <c r="E9">
        <f>HYPERLINK("https://www.britishcycling.org.uk/points?person_id=174279&amp;year=2019&amp;type=national&amp;d=6","Results")</f>
        <v/>
      </c>
    </row>
    <row r="10" spans="1:5">
      <c r="A10" t="s">
        <v>35</v>
      </c>
      <c r="B10" t="s">
        <v>4307</v>
      </c>
      <c r="C10" t="s">
        <v>1507</v>
      </c>
      <c r="D10" t="s">
        <v>557</v>
      </c>
      <c r="E10">
        <f>HYPERLINK("https://www.britishcycling.org.uk/points?person_id=238826&amp;year=2019&amp;type=national&amp;d=6","Results")</f>
        <v/>
      </c>
    </row>
    <row r="11" spans="1:5">
      <c r="A11" t="s">
        <v>39</v>
      </c>
      <c r="B11" t="s">
        <v>4308</v>
      </c>
      <c r="C11" t="s">
        <v>1091</v>
      </c>
      <c r="D11" t="s">
        <v>555</v>
      </c>
      <c r="E11">
        <f>HYPERLINK("https://www.britishcycling.org.uk/points?person_id=198760&amp;year=2019&amp;type=national&amp;d=6","Results")</f>
        <v/>
      </c>
    </row>
    <row r="12" spans="1:5">
      <c r="A12" t="s">
        <v>43</v>
      </c>
      <c r="B12" t="s">
        <v>4309</v>
      </c>
      <c r="C12" t="s">
        <v>1344</v>
      </c>
      <c r="D12" t="s">
        <v>532</v>
      </c>
      <c r="E12">
        <f>HYPERLINK("https://www.britishcycling.org.uk/points?person_id=244604&amp;year=2019&amp;type=national&amp;d=6","Results")</f>
        <v/>
      </c>
    </row>
    <row r="13" spans="1:5">
      <c r="A13" t="s">
        <v>47</v>
      </c>
      <c r="B13" t="s">
        <v>4310</v>
      </c>
      <c r="C13" t="s">
        <v>174</v>
      </c>
      <c r="D13" t="s">
        <v>224</v>
      </c>
      <c r="E13">
        <f>HYPERLINK("https://www.britishcycling.org.uk/points?person_id=411365&amp;year=2019&amp;type=national&amp;d=6","Results")</f>
        <v/>
      </c>
    </row>
    <row r="14" spans="1:5">
      <c r="A14" t="s">
        <v>51</v>
      </c>
      <c r="B14" t="s">
        <v>4311</v>
      </c>
      <c r="C14" t="s">
        <v>4303</v>
      </c>
      <c r="D14" t="s">
        <v>436</v>
      </c>
      <c r="E14">
        <f>HYPERLINK("https://www.britishcycling.org.uk/points?person_id=463514&amp;year=2019&amp;type=national&amp;d=6","Results")</f>
        <v/>
      </c>
    </row>
    <row r="15" spans="1:5">
      <c r="A15" t="s">
        <v>55</v>
      </c>
      <c r="B15" t="s">
        <v>4312</v>
      </c>
      <c r="C15" t="s">
        <v>15</v>
      </c>
      <c r="D15" t="s">
        <v>436</v>
      </c>
      <c r="E15">
        <f>HYPERLINK("https://www.britishcycling.org.uk/points?person_id=427497&amp;year=2019&amp;type=national&amp;d=6","Results")</f>
        <v/>
      </c>
    </row>
    <row r="16" spans="1:5">
      <c r="A16" t="s">
        <v>59</v>
      </c>
      <c r="B16" t="s">
        <v>4313</v>
      </c>
      <c r="C16" t="s">
        <v>15</v>
      </c>
      <c r="D16" t="s">
        <v>280</v>
      </c>
      <c r="E16">
        <f>HYPERLINK("https://www.britishcycling.org.uk/points?person_id=371059&amp;year=2019&amp;type=national&amp;d=6","Results")</f>
        <v/>
      </c>
    </row>
    <row r="17" spans="1:5">
      <c r="A17" t="s">
        <v>63</v>
      </c>
      <c r="B17" t="s">
        <v>4314</v>
      </c>
      <c r="C17" t="s">
        <v>1344</v>
      </c>
      <c r="D17" t="s">
        <v>410</v>
      </c>
      <c r="E17">
        <f>HYPERLINK("https://www.britishcycling.org.uk/points?person_id=220505&amp;year=2019&amp;type=national&amp;d=6","Results")</f>
        <v/>
      </c>
    </row>
    <row r="18" spans="1:5">
      <c r="A18" t="s">
        <v>67</v>
      </c>
      <c r="B18" t="s">
        <v>4315</v>
      </c>
      <c r="C18" t="s">
        <v>1584</v>
      </c>
      <c r="D18" t="s">
        <v>384</v>
      </c>
      <c r="E18">
        <f>HYPERLINK("https://www.britishcycling.org.uk/points?person_id=253677&amp;year=2019&amp;type=national&amp;d=6","Results")</f>
        <v/>
      </c>
    </row>
    <row r="19" spans="1:5">
      <c r="A19" t="s">
        <v>71</v>
      </c>
      <c r="B19" t="s">
        <v>4316</v>
      </c>
      <c r="C19" t="s">
        <v>1091</v>
      </c>
      <c r="D19" t="s">
        <v>326</v>
      </c>
      <c r="E19">
        <f>HYPERLINK("https://www.britishcycling.org.uk/points?person_id=527316&amp;year=2019&amp;type=national&amp;d=6","Results")</f>
        <v/>
      </c>
    </row>
    <row r="20" spans="1:5">
      <c r="A20" t="s">
        <v>75</v>
      </c>
      <c r="B20" t="s">
        <v>4317</v>
      </c>
      <c r="C20" t="s">
        <v>1354</v>
      </c>
      <c r="D20" t="s">
        <v>317</v>
      </c>
      <c r="E20">
        <f>HYPERLINK("https://www.britishcycling.org.uk/points?person_id=464081&amp;year=2019&amp;type=national&amp;d=6","Results")</f>
        <v/>
      </c>
    </row>
    <row r="21" spans="1:5">
      <c r="A21" t="s">
        <v>78</v>
      </c>
      <c r="B21" t="s">
        <v>4318</v>
      </c>
      <c r="C21" t="s">
        <v>4319</v>
      </c>
      <c r="D21" t="s">
        <v>244</v>
      </c>
      <c r="E21">
        <f>HYPERLINK("https://www.britishcycling.org.uk/points?person_id=469550&amp;year=2019&amp;type=national&amp;d=6","Results")</f>
        <v/>
      </c>
    </row>
    <row r="22" spans="1:5">
      <c r="A22" t="s">
        <v>82</v>
      </c>
      <c r="B22" t="s">
        <v>4320</v>
      </c>
      <c r="C22" t="s">
        <v>4055</v>
      </c>
      <c r="D22" t="s">
        <v>210</v>
      </c>
      <c r="E22">
        <f>HYPERLINK("https://www.britishcycling.org.uk/points?person_id=327741&amp;year=2019&amp;type=national&amp;d=6","Results")</f>
        <v/>
      </c>
    </row>
    <row r="23" spans="1:5">
      <c r="A23" t="s">
        <v>85</v>
      </c>
      <c r="B23" t="s">
        <v>4321</v>
      </c>
      <c r="C23" t="s">
        <v>363</v>
      </c>
      <c r="D23" t="s">
        <v>199</v>
      </c>
      <c r="E23">
        <f>HYPERLINK("https://www.britishcycling.org.uk/points?person_id=749709&amp;year=2019&amp;type=national&amp;d=6","Results")</f>
        <v/>
      </c>
    </row>
    <row r="24" spans="1:5">
      <c r="A24" t="s">
        <v>89</v>
      </c>
      <c r="B24" t="s">
        <v>4322</v>
      </c>
      <c r="C24" t="s">
        <v>287</v>
      </c>
      <c r="D24" t="s">
        <v>180</v>
      </c>
      <c r="E24">
        <f>HYPERLINK("https://www.britishcycling.org.uk/points?person_id=198319&amp;year=2019&amp;type=national&amp;d=6","Results")</f>
        <v/>
      </c>
    </row>
    <row r="25" spans="1:5">
      <c r="A25" t="s">
        <v>92</v>
      </c>
      <c r="B25" t="s">
        <v>4323</v>
      </c>
      <c r="C25" t="s">
        <v>4324</v>
      </c>
      <c r="D25" t="s">
        <v>168</v>
      </c>
      <c r="E25">
        <f>HYPERLINK("https://www.britishcycling.org.uk/points?person_id=407645&amp;year=2019&amp;type=national&amp;d=6","Results")</f>
        <v/>
      </c>
    </row>
    <row r="26" spans="1:5">
      <c r="A26" t="s">
        <v>96</v>
      </c>
      <c r="B26" t="s">
        <v>4325</v>
      </c>
      <c r="C26" t="s">
        <v>4326</v>
      </c>
      <c r="D26" t="s">
        <v>168</v>
      </c>
      <c r="E26">
        <f>HYPERLINK("https://www.britishcycling.org.uk/points?person_id=177765&amp;year=2019&amp;type=national&amp;d=6","Results")</f>
        <v/>
      </c>
    </row>
    <row r="27" spans="1:5">
      <c r="A27" t="s">
        <v>99</v>
      </c>
      <c r="B27" t="s">
        <v>4327</v>
      </c>
      <c r="C27" t="s">
        <v>45</v>
      </c>
      <c r="D27" t="s">
        <v>165</v>
      </c>
      <c r="E27">
        <f>HYPERLINK("https://www.britishcycling.org.uk/points?person_id=409657&amp;year=2019&amp;type=national&amp;d=6","Results")</f>
        <v/>
      </c>
    </row>
    <row r="28" spans="1:5">
      <c r="A28" t="s">
        <v>103</v>
      </c>
      <c r="B28" t="s">
        <v>4328</v>
      </c>
      <c r="C28" t="s">
        <v>403</v>
      </c>
      <c r="D28" t="s">
        <v>148</v>
      </c>
      <c r="E28">
        <f>HYPERLINK("https://www.britishcycling.org.uk/points?person_id=134753&amp;year=2019&amp;type=national&amp;d=6","Results")</f>
        <v/>
      </c>
    </row>
    <row r="29" spans="1:5">
      <c r="A29" t="s">
        <v>107</v>
      </c>
      <c r="B29" t="s">
        <v>4329</v>
      </c>
      <c r="C29" t="s">
        <v>331</v>
      </c>
      <c r="D29" t="s">
        <v>145</v>
      </c>
      <c r="E29">
        <f>HYPERLINK("https://www.britishcycling.org.uk/points?person_id=205209&amp;year=2019&amp;type=national&amp;d=6","Results")</f>
        <v/>
      </c>
    </row>
    <row r="30" spans="1:5">
      <c r="A30" t="s">
        <v>111</v>
      </c>
      <c r="B30" t="s">
        <v>4330</v>
      </c>
      <c r="C30" t="s">
        <v>174</v>
      </c>
      <c r="D30" t="s">
        <v>141</v>
      </c>
      <c r="E30">
        <f>HYPERLINK("https://www.britishcycling.org.uk/points?person_id=64818&amp;year=2019&amp;type=national&amp;d=6","Results")</f>
        <v/>
      </c>
    </row>
    <row r="31" spans="1:5">
      <c r="A31" t="s">
        <v>115</v>
      </c>
      <c r="B31" t="s">
        <v>4331</v>
      </c>
      <c r="C31" t="s">
        <v>814</v>
      </c>
      <c r="D31" t="s">
        <v>115</v>
      </c>
      <c r="E31">
        <f>HYPERLINK("https://www.britishcycling.org.uk/points?person_id=886250&amp;year=2019&amp;type=national&amp;d=6","Results")</f>
        <v/>
      </c>
    </row>
    <row r="32" spans="1:5">
      <c r="A32" t="s">
        <v>119</v>
      </c>
      <c r="B32" t="s">
        <v>4332</v>
      </c>
      <c r="C32" t="s">
        <v>1344</v>
      </c>
      <c r="D32" t="s">
        <v>103</v>
      </c>
      <c r="E32">
        <f>HYPERLINK("https://www.britishcycling.org.uk/points?person_id=99869&amp;year=2019&amp;type=national&amp;d=6","Results")</f>
        <v/>
      </c>
    </row>
    <row r="33" spans="1:5">
      <c r="A33" t="s">
        <v>123</v>
      </c>
      <c r="B33" t="s">
        <v>4333</v>
      </c>
      <c r="C33" t="s">
        <v>101</v>
      </c>
      <c r="D33" t="s">
        <v>99</v>
      </c>
      <c r="E33">
        <f>HYPERLINK("https://www.britishcycling.org.uk/points?person_id=222586&amp;year=2019&amp;type=national&amp;d=6","Results")</f>
        <v/>
      </c>
    </row>
    <row r="34" spans="1:5">
      <c r="A34" t="s">
        <v>127</v>
      </c>
      <c r="B34" t="s">
        <v>4334</v>
      </c>
      <c r="C34" t="s">
        <v>919</v>
      </c>
      <c r="D34" t="s">
        <v>96</v>
      </c>
      <c r="E34">
        <f>HYPERLINK("https://www.britishcycling.org.uk/points?person_id=447920&amp;year=2019&amp;type=national&amp;d=6","Results")</f>
        <v/>
      </c>
    </row>
    <row r="35" spans="1:5">
      <c r="A35" t="s">
        <v>130</v>
      </c>
      <c r="B35" t="s">
        <v>4335</v>
      </c>
      <c r="C35" t="s">
        <v>472</v>
      </c>
      <c r="D35" t="s">
        <v>92</v>
      </c>
      <c r="E35">
        <f>HYPERLINK("https://www.britishcycling.org.uk/points?person_id=744784&amp;year=2019&amp;type=national&amp;d=6","Results")</f>
        <v/>
      </c>
    </row>
    <row r="36" spans="1:5">
      <c r="A36" t="s">
        <v>133</v>
      </c>
      <c r="B36" t="s">
        <v>4336</v>
      </c>
      <c r="C36" t="s">
        <v>1160</v>
      </c>
      <c r="D36" t="s">
        <v>92</v>
      </c>
      <c r="E36">
        <f>HYPERLINK("https://www.britishcycling.org.uk/points?person_id=129788&amp;year=2019&amp;type=national&amp;d=6","Results")</f>
        <v/>
      </c>
    </row>
    <row r="37" spans="1:5">
      <c r="A37" t="s">
        <v>137</v>
      </c>
      <c r="B37" t="s">
        <v>4337</v>
      </c>
      <c r="C37" t="s">
        <v>3019</v>
      </c>
      <c r="D37" t="s">
        <v>85</v>
      </c>
      <c r="E37">
        <f>HYPERLINK("https://www.britishcycling.org.uk/points?person_id=178440&amp;year=2019&amp;type=national&amp;d=6","Results")</f>
        <v/>
      </c>
    </row>
    <row r="38" spans="1:5">
      <c r="A38" t="s">
        <v>141</v>
      </c>
      <c r="B38" t="s">
        <v>4338</v>
      </c>
      <c r="C38" t="s">
        <v>355</v>
      </c>
      <c r="D38" t="s">
        <v>78</v>
      </c>
      <c r="E38">
        <f>HYPERLINK("https://www.britishcycling.org.uk/points?person_id=789763&amp;year=2019&amp;type=national&amp;d=6","Results")</f>
        <v/>
      </c>
    </row>
    <row r="39" spans="1:5">
      <c r="A39" t="s">
        <v>145</v>
      </c>
      <c r="B39" t="s">
        <v>4339</v>
      </c>
      <c r="C39" t="s">
        <v>174</v>
      </c>
      <c r="D39" t="s">
        <v>67</v>
      </c>
      <c r="E39">
        <f>HYPERLINK("https://www.britishcycling.org.uk/points?person_id=102754&amp;year=2019&amp;type=national&amp;d=6","Results")</f>
        <v/>
      </c>
    </row>
    <row r="40" spans="1:5">
      <c r="A40" t="s">
        <v>148</v>
      </c>
      <c r="B40" t="s">
        <v>4340</v>
      </c>
      <c r="C40" t="s">
        <v>4284</v>
      </c>
      <c r="D40" t="s">
        <v>55</v>
      </c>
      <c r="E40">
        <f>HYPERLINK("https://www.britishcycling.org.uk/points?person_id=234676&amp;year=2019&amp;type=national&amp;d=6","Results")</f>
        <v/>
      </c>
    </row>
    <row r="41" spans="1:5">
      <c r="A41" t="s">
        <v>151</v>
      </c>
      <c r="B41" t="s">
        <v>4341</v>
      </c>
      <c r="C41" t="s">
        <v>312</v>
      </c>
      <c r="D41" t="s">
        <v>47</v>
      </c>
      <c r="E41">
        <f>HYPERLINK("https://www.britishcycling.org.uk/points?person_id=906458&amp;year=2019&amp;type=national&amp;d=6","Results")</f>
        <v/>
      </c>
    </row>
    <row r="42" spans="1:5">
      <c r="A42" t="s">
        <v>155</v>
      </c>
      <c r="B42" t="s">
        <v>4342</v>
      </c>
      <c r="C42" t="s">
        <v>2675</v>
      </c>
      <c r="D42" t="s">
        <v>43</v>
      </c>
      <c r="E42">
        <f>HYPERLINK("https://www.britishcycling.org.uk/points?person_id=855504&amp;year=2019&amp;type=national&amp;d=6","Results")</f>
        <v/>
      </c>
    </row>
    <row r="43" spans="1:5">
      <c r="A43" t="s">
        <v>158</v>
      </c>
      <c r="B43" t="s">
        <v>4343</v>
      </c>
      <c r="C43" t="s">
        <v>45</v>
      </c>
      <c r="D43" t="s">
        <v>43</v>
      </c>
      <c r="E43">
        <f>HYPERLINK("https://www.britishcycling.org.uk/points?person_id=630816&amp;year=2019&amp;type=national&amp;d=6","Results")</f>
        <v/>
      </c>
    </row>
    <row r="44" spans="1:5">
      <c r="A44" t="s">
        <v>161</v>
      </c>
      <c r="B44" t="s">
        <v>4344</v>
      </c>
      <c r="C44" t="s">
        <v>139</v>
      </c>
      <c r="D44" t="s">
        <v>39</v>
      </c>
      <c r="E44">
        <f>HYPERLINK("https://www.britishcycling.org.uk/points?person_id=501465&amp;year=2019&amp;type=national&amp;d=6","Results")</f>
        <v/>
      </c>
    </row>
    <row r="45" spans="1:5">
      <c r="A45" t="s">
        <v>165</v>
      </c>
      <c r="B45" t="s">
        <v>4345</v>
      </c>
      <c r="C45" t="s">
        <v>4346</v>
      </c>
      <c r="D45" t="s">
        <v>35</v>
      </c>
      <c r="E45">
        <f>HYPERLINK("https://www.britishcycling.org.uk/points?person_id=242396&amp;year=2019&amp;type=national&amp;d=6","Results")</f>
        <v/>
      </c>
    </row>
    <row r="46" spans="1:5">
      <c r="A46" t="s">
        <v>168</v>
      </c>
      <c r="B46" t="s">
        <v>4347</v>
      </c>
      <c r="C46" t="s">
        <v>101</v>
      </c>
      <c r="D46" t="s">
        <v>35</v>
      </c>
      <c r="E46">
        <f>HYPERLINK("https://www.britishcycling.org.uk/points?person_id=701665&amp;year=2019&amp;type=national&amp;d=6","Results")</f>
        <v/>
      </c>
    </row>
    <row r="47" spans="1:5">
      <c r="A47" t="s">
        <v>172</v>
      </c>
      <c r="B47" t="s">
        <v>4348</v>
      </c>
      <c r="C47" t="s">
        <v>1253</v>
      </c>
      <c r="D47" t="s">
        <v>31</v>
      </c>
      <c r="E47">
        <f>HYPERLINK("https://www.britishcycling.org.uk/points?person_id=540568&amp;year=2019&amp;type=national&amp;d=6","Results")</f>
        <v/>
      </c>
    </row>
    <row r="48" spans="1:5">
      <c r="A48" t="s">
        <v>176</v>
      </c>
      <c r="B48" t="s">
        <v>4349</v>
      </c>
      <c r="C48" t="s">
        <v>379</v>
      </c>
      <c r="D48" t="s">
        <v>31</v>
      </c>
      <c r="E48">
        <f>HYPERLINK("https://www.britishcycling.org.uk/points?person_id=528846&amp;year=2019&amp;type=national&amp;d=6","Results")</f>
        <v/>
      </c>
    </row>
    <row r="49" spans="1:5">
      <c r="A49" t="s">
        <v>180</v>
      </c>
      <c r="B49" t="s">
        <v>4350</v>
      </c>
      <c r="C49" t="s">
        <v>3387</v>
      </c>
      <c r="D49" t="s">
        <v>28</v>
      </c>
      <c r="E49">
        <f>HYPERLINK("https://www.britishcycling.org.uk/points?person_id=390309&amp;year=2019&amp;type=national&amp;d=6","Results")</f>
        <v/>
      </c>
    </row>
    <row r="50" spans="1:5">
      <c r="A50" t="s">
        <v>184</v>
      </c>
      <c r="B50" t="s">
        <v>4351</v>
      </c>
      <c r="C50" t="s">
        <v>4303</v>
      </c>
      <c r="D50" t="s">
        <v>25</v>
      </c>
      <c r="E50">
        <f>HYPERLINK("https://www.britishcycling.org.uk/points?person_id=254806&amp;year=2019&amp;type=national&amp;d=6","Results")</f>
        <v/>
      </c>
    </row>
    <row r="51" spans="1:5">
      <c r="A51" t="s">
        <v>188</v>
      </c>
      <c r="B51" t="s">
        <v>4352</v>
      </c>
      <c r="C51" t="s">
        <v>578</v>
      </c>
      <c r="D51" t="s">
        <v>25</v>
      </c>
      <c r="E51">
        <f>HYPERLINK("https://www.britishcycling.org.uk/points?person_id=272711&amp;year=2019&amp;type=national&amp;d=6","Results")</f>
        <v/>
      </c>
    </row>
    <row r="52" spans="1:5">
      <c r="A52" t="s">
        <v>192</v>
      </c>
      <c r="B52" t="s">
        <v>4353</v>
      </c>
      <c r="C52" t="s">
        <v>291</v>
      </c>
      <c r="D52" t="s">
        <v>25</v>
      </c>
      <c r="E52">
        <f>HYPERLINK("https://www.britishcycling.org.uk/points?person_id=733577&amp;year=2019&amp;type=national&amp;d=6","Results")</f>
        <v/>
      </c>
    </row>
    <row r="53" spans="1:5">
      <c r="A53" t="s">
        <v>196</v>
      </c>
      <c r="B53" t="s">
        <v>4354</v>
      </c>
      <c r="C53" t="s">
        <v>1160</v>
      </c>
      <c r="D53" t="s">
        <v>25</v>
      </c>
      <c r="E53">
        <f>HYPERLINK("https://www.britishcycling.org.uk/points?person_id=684963&amp;year=2019&amp;type=national&amp;d=6","Results")</f>
        <v/>
      </c>
    </row>
    <row r="54" spans="1:5">
      <c r="A54" t="s">
        <v>199</v>
      </c>
      <c r="B54" t="s">
        <v>4355</v>
      </c>
      <c r="C54" t="s">
        <v>4303</v>
      </c>
      <c r="D54" t="s">
        <v>25</v>
      </c>
      <c r="E54">
        <f>HYPERLINK("https://www.britishcycling.org.uk/points?person_id=254178&amp;year=2019&amp;type=national&amp;d=6","Results")</f>
        <v/>
      </c>
    </row>
    <row r="55" spans="1:5">
      <c r="A55" t="s">
        <v>203</v>
      </c>
      <c r="B55" t="s">
        <v>4356</v>
      </c>
      <c r="C55" t="s">
        <v>413</v>
      </c>
      <c r="D55" t="s">
        <v>25</v>
      </c>
      <c r="E55">
        <f>HYPERLINK("https://www.britishcycling.org.uk/points?person_id=173862&amp;year=2019&amp;type=national&amp;d=6","Results")</f>
        <v/>
      </c>
    </row>
    <row r="56" spans="1:5">
      <c r="A56" t="s">
        <v>207</v>
      </c>
      <c r="B56" t="s">
        <v>4357</v>
      </c>
      <c r="C56" t="s">
        <v>1082</v>
      </c>
      <c r="D56" t="s">
        <v>25</v>
      </c>
      <c r="E56">
        <f>HYPERLINK("https://www.britishcycling.org.uk/points?person_id=654948&amp;year=2019&amp;type=national&amp;d=6","Results")</f>
        <v/>
      </c>
    </row>
    <row r="57" spans="1:5">
      <c r="A57" t="s">
        <v>210</v>
      </c>
      <c r="B57" t="s">
        <v>4358</v>
      </c>
      <c r="C57" t="s">
        <v>194</v>
      </c>
      <c r="D57" t="s">
        <v>21</v>
      </c>
      <c r="E57">
        <f>HYPERLINK("https://www.britishcycling.org.uk/points?person_id=810390&amp;year=2019&amp;type=national&amp;d=6","Results")</f>
        <v/>
      </c>
    </row>
    <row r="58" spans="1:5">
      <c r="A58" t="s">
        <v>214</v>
      </c>
      <c r="B58" t="s">
        <v>4359</v>
      </c>
      <c r="C58" t="s">
        <v>61</v>
      </c>
      <c r="D58" t="s">
        <v>21</v>
      </c>
      <c r="E58">
        <f>HYPERLINK("https://www.britishcycling.org.uk/points?person_id=430080&amp;year=2019&amp;type=national&amp;d=6","Results")</f>
        <v/>
      </c>
    </row>
    <row r="59" spans="1:5">
      <c r="A59" t="s">
        <v>218</v>
      </c>
      <c r="B59" t="s">
        <v>4360</v>
      </c>
      <c r="C59" t="s">
        <v>94</v>
      </c>
      <c r="D59" t="s">
        <v>17</v>
      </c>
      <c r="E59">
        <f>HYPERLINK("https://www.britishcycling.org.uk/points?person_id=536651&amp;year=2019&amp;type=national&amp;d=6","Results")</f>
        <v/>
      </c>
    </row>
    <row r="60" spans="1:5">
      <c r="A60" t="s">
        <v>221</v>
      </c>
      <c r="B60" t="s">
        <v>4361</v>
      </c>
      <c r="C60" t="s">
        <v>4362</v>
      </c>
      <c r="D60" t="s">
        <v>13</v>
      </c>
      <c r="E60">
        <f>HYPERLINK("https://www.britishcycling.org.uk/points?person_id=104615&amp;year=2019&amp;type=national&amp;d=6","Results")</f>
        <v/>
      </c>
    </row>
    <row r="61" spans="1:5">
      <c r="A61" t="s">
        <v>225</v>
      </c>
      <c r="B61" t="s">
        <v>4363</v>
      </c>
      <c r="C61" t="s">
        <v>1952</v>
      </c>
      <c r="D61" t="s">
        <v>13</v>
      </c>
      <c r="E61">
        <f>HYPERLINK("https://www.britishcycling.org.uk/points?person_id=234616&amp;year=2019&amp;type=national&amp;d=6","Results")</f>
        <v/>
      </c>
    </row>
    <row r="62" spans="1:5">
      <c r="A62" t="s">
        <v>228</v>
      </c>
      <c r="B62" t="s">
        <v>4364</v>
      </c>
      <c r="C62" t="s"/>
      <c r="D62" t="s">
        <v>9</v>
      </c>
      <c r="E62">
        <f>HYPERLINK("https://www.britishcycling.org.uk/points?person_id=951357&amp;year=2019&amp;type=national&amp;d=6","Results")</f>
        <v/>
      </c>
    </row>
    <row r="63" spans="1:5">
      <c r="A63" t="s">
        <v>232</v>
      </c>
      <c r="B63" t="s">
        <v>4365</v>
      </c>
      <c r="C63" t="s">
        <v>1133</v>
      </c>
      <c r="D63" t="s">
        <v>9</v>
      </c>
      <c r="E63">
        <f>HYPERLINK("https://www.britishcycling.org.uk/points?person_id=410187&amp;year=2019&amp;type=national&amp;d=6","Results")</f>
        <v/>
      </c>
    </row>
    <row r="64" spans="1:5">
      <c r="A64" t="s">
        <v>236</v>
      </c>
      <c r="B64" t="s">
        <v>4366</v>
      </c>
      <c r="C64" t="s">
        <v>1160</v>
      </c>
      <c r="D64" t="s">
        <v>9</v>
      </c>
      <c r="E64">
        <f>HYPERLINK("https://www.britishcycling.org.uk/points?person_id=539186&amp;year=2019&amp;type=national&amp;d=6","Results")</f>
        <v/>
      </c>
    </row>
    <row r="65" spans="1:5">
      <c r="A65" t="s">
        <v>239</v>
      </c>
      <c r="B65" t="s">
        <v>4367</v>
      </c>
      <c r="C65" t="s">
        <v>33</v>
      </c>
      <c r="D65" t="s">
        <v>9</v>
      </c>
      <c r="E65">
        <f>HYPERLINK("https://www.britishcycling.org.uk/points?person_id=675883&amp;year=2019&amp;type=national&amp;d=6","Results")</f>
        <v/>
      </c>
    </row>
    <row r="66" spans="1:5">
      <c r="A66" t="s">
        <v>241</v>
      </c>
      <c r="B66" t="s">
        <v>4368</v>
      </c>
      <c r="C66" t="s">
        <v>1317</v>
      </c>
      <c r="D66" t="s">
        <v>9</v>
      </c>
      <c r="E66">
        <f>HYPERLINK("https://www.britishcycling.org.uk/points?person_id=100515&amp;year=2019&amp;type=national&amp;d=6","Results")</f>
        <v/>
      </c>
    </row>
    <row r="67" spans="1:5">
      <c r="A67" t="s">
        <v>244</v>
      </c>
      <c r="B67" t="s">
        <v>4369</v>
      </c>
      <c r="C67" t="s">
        <v>1160</v>
      </c>
      <c r="D67" t="s">
        <v>9</v>
      </c>
      <c r="E67">
        <f>HYPERLINK("https://www.britishcycling.org.uk/points?person_id=265301&amp;year=2019&amp;type=national&amp;d=6","Results")</f>
        <v/>
      </c>
    </row>
    <row r="68" spans="1:5">
      <c r="A68" t="s">
        <v>247</v>
      </c>
      <c r="B68" t="s">
        <v>4370</v>
      </c>
      <c r="C68" t="s">
        <v>1082</v>
      </c>
      <c r="D68" t="s">
        <v>9</v>
      </c>
      <c r="E68">
        <f>HYPERLINK("https://www.britishcycling.org.uk/points?person_id=544976&amp;year=2019&amp;type=national&amp;d=6","Results")</f>
        <v/>
      </c>
    </row>
    <row r="69" spans="1:5">
      <c r="A69" t="s">
        <v>250</v>
      </c>
      <c r="B69" t="s">
        <v>4371</v>
      </c>
      <c r="C69" t="s">
        <v>45</v>
      </c>
      <c r="D69" t="s">
        <v>9</v>
      </c>
      <c r="E69">
        <f>HYPERLINK("https://www.britishcycling.org.uk/points?person_id=708011&amp;year=2019&amp;type=national&amp;d=6","Results")</f>
        <v/>
      </c>
    </row>
    <row r="70" spans="1:5">
      <c r="A70" t="s">
        <v>254</v>
      </c>
      <c r="B70" t="s">
        <v>4372</v>
      </c>
      <c r="C70" t="s">
        <v>3613</v>
      </c>
      <c r="D70" t="s">
        <v>5</v>
      </c>
      <c r="E70">
        <f>HYPERLINK("https://www.britishcycling.org.uk/points?person_id=219769&amp;year=2019&amp;type=national&amp;d=6","Results")</f>
        <v/>
      </c>
    </row>
    <row r="71" spans="1:5">
      <c r="A71" t="s">
        <v>257</v>
      </c>
      <c r="B71" t="s">
        <v>4373</v>
      </c>
      <c r="C71" t="s">
        <v>3619</v>
      </c>
      <c r="D71" t="s">
        <v>5</v>
      </c>
      <c r="E71">
        <f>HYPERLINK("https://www.britishcycling.org.uk/points?person_id=629579&amp;year=2019&amp;type=national&amp;d=6","Results")</f>
        <v/>
      </c>
    </row>
    <row r="72" spans="1:5">
      <c r="A72" t="s">
        <v>260</v>
      </c>
      <c r="B72" t="s">
        <v>4374</v>
      </c>
      <c r="C72" t="s">
        <v>1409</v>
      </c>
      <c r="D72" t="s">
        <v>5</v>
      </c>
      <c r="E72">
        <f>HYPERLINK("https://www.britishcycling.org.uk/points?person_id=300553&amp;year=2019&amp;type=national&amp;d=6","Results")</f>
        <v/>
      </c>
    </row>
    <row r="73" spans="1:5">
      <c r="A73" t="s">
        <v>264</v>
      </c>
      <c r="B73" t="s">
        <v>4375</v>
      </c>
      <c r="C73" t="s">
        <v>299</v>
      </c>
      <c r="D73" t="s">
        <v>5</v>
      </c>
      <c r="E73">
        <f>HYPERLINK("https://www.britishcycling.org.uk/points?person_id=276892&amp;year=2019&amp;type=national&amp;d=6","Results")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408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4376</v>
      </c>
      <c r="C2" t="s">
        <v>4377</v>
      </c>
      <c r="D2" t="s">
        <v>4378</v>
      </c>
      <c r="E2">
        <f>HYPERLINK("https://www.britishcycling.org.uk/points?person_id=252892&amp;year=2019&amp;type=national&amp;d=6","Results")</f>
        <v/>
      </c>
    </row>
    <row r="3" spans="1:5">
      <c r="A3" t="s">
        <v>9</v>
      </c>
      <c r="B3" t="s">
        <v>4379</v>
      </c>
      <c r="C3" t="s">
        <v>4380</v>
      </c>
      <c r="D3" t="s">
        <v>4381</v>
      </c>
      <c r="E3">
        <f>HYPERLINK("https://www.britishcycling.org.uk/points?person_id=168298&amp;year=2019&amp;type=national&amp;d=6","Results")</f>
        <v/>
      </c>
    </row>
    <row r="4" spans="1:5">
      <c r="A4" t="s">
        <v>13</v>
      </c>
      <c r="B4" t="s">
        <v>4382</v>
      </c>
      <c r="C4" t="s">
        <v>1699</v>
      </c>
      <c r="D4" t="s">
        <v>4383</v>
      </c>
      <c r="E4">
        <f>HYPERLINK("https://www.britishcycling.org.uk/points?person_id=387547&amp;year=2019&amp;type=national&amp;d=6","Results")</f>
        <v/>
      </c>
    </row>
    <row r="5" spans="1:5">
      <c r="A5" t="s">
        <v>17</v>
      </c>
      <c r="B5" t="s">
        <v>4384</v>
      </c>
      <c r="C5" t="s">
        <v>1666</v>
      </c>
      <c r="D5" t="s">
        <v>4385</v>
      </c>
      <c r="E5">
        <f>HYPERLINK("https://www.britishcycling.org.uk/points?person_id=197427&amp;year=2019&amp;type=national&amp;d=6","Results")</f>
        <v/>
      </c>
    </row>
    <row r="6" spans="1:5">
      <c r="A6" t="s">
        <v>21</v>
      </c>
      <c r="B6" t="s">
        <v>4386</v>
      </c>
      <c r="C6" t="s">
        <v>4387</v>
      </c>
      <c r="D6" t="s">
        <v>2839</v>
      </c>
      <c r="E6">
        <f>HYPERLINK("https://www.britishcycling.org.uk/points?person_id=62402&amp;year=2019&amp;type=national&amp;d=6","Results")</f>
        <v/>
      </c>
    </row>
    <row r="7" spans="1:5">
      <c r="A7" t="s">
        <v>25</v>
      </c>
      <c r="B7" t="s">
        <v>4388</v>
      </c>
      <c r="C7" t="s">
        <v>401</v>
      </c>
      <c r="D7" t="s">
        <v>2773</v>
      </c>
      <c r="E7">
        <f>HYPERLINK("https://www.britishcycling.org.uk/points?person_id=35364&amp;year=2019&amp;type=national&amp;d=6","Results")</f>
        <v/>
      </c>
    </row>
    <row r="8" spans="1:5">
      <c r="A8" t="s">
        <v>28</v>
      </c>
      <c r="B8" t="s">
        <v>4389</v>
      </c>
      <c r="C8" t="s">
        <v>1335</v>
      </c>
      <c r="D8" t="s">
        <v>2738</v>
      </c>
      <c r="E8">
        <f>HYPERLINK("https://www.britishcycling.org.uk/points?person_id=257228&amp;year=2019&amp;type=national&amp;d=6","Results")</f>
        <v/>
      </c>
    </row>
    <row r="9" spans="1:5">
      <c r="A9" t="s">
        <v>31</v>
      </c>
      <c r="B9" t="s">
        <v>4390</v>
      </c>
      <c r="C9" t="s">
        <v>1354</v>
      </c>
      <c r="D9" t="s">
        <v>2671</v>
      </c>
      <c r="E9">
        <f>HYPERLINK("https://www.britishcycling.org.uk/points?person_id=224783&amp;year=2019&amp;type=national&amp;d=6","Results")</f>
        <v/>
      </c>
    </row>
    <row r="10" spans="1:5">
      <c r="A10" t="s">
        <v>35</v>
      </c>
      <c r="B10" t="s">
        <v>4391</v>
      </c>
      <c r="C10" t="s">
        <v>1354</v>
      </c>
      <c r="D10" t="s">
        <v>2626</v>
      </c>
      <c r="E10">
        <f>HYPERLINK("https://www.britishcycling.org.uk/points?person_id=23987&amp;year=2019&amp;type=national&amp;d=6","Results")</f>
        <v/>
      </c>
    </row>
    <row r="11" spans="1:5">
      <c r="A11" t="s">
        <v>39</v>
      </c>
      <c r="B11" t="s">
        <v>4392</v>
      </c>
      <c r="C11" t="s">
        <v>4393</v>
      </c>
      <c r="D11" t="s">
        <v>2599</v>
      </c>
      <c r="E11">
        <f>HYPERLINK("https://www.britishcycling.org.uk/points?person_id=133552&amp;year=2019&amp;type=national&amp;d=6","Results")</f>
        <v/>
      </c>
    </row>
    <row r="12" spans="1:5">
      <c r="A12" t="s">
        <v>43</v>
      </c>
      <c r="B12" t="s">
        <v>4394</v>
      </c>
      <c r="C12" t="s">
        <v>1711</v>
      </c>
      <c r="D12" t="s">
        <v>2406</v>
      </c>
      <c r="E12">
        <f>HYPERLINK("https://www.britishcycling.org.uk/points?person_id=518986&amp;year=2019&amp;type=national&amp;d=6","Results")</f>
        <v/>
      </c>
    </row>
    <row r="13" spans="1:5">
      <c r="A13" t="s">
        <v>47</v>
      </c>
      <c r="B13" t="s">
        <v>4395</v>
      </c>
      <c r="C13" t="s">
        <v>4303</v>
      </c>
      <c r="D13" t="s">
        <v>2358</v>
      </c>
      <c r="E13">
        <f>HYPERLINK("https://www.britishcycling.org.uk/points?person_id=116772&amp;year=2019&amp;type=national&amp;d=6","Results")</f>
        <v/>
      </c>
    </row>
    <row r="14" spans="1:5">
      <c r="A14" t="s">
        <v>51</v>
      </c>
      <c r="B14" t="s">
        <v>4396</v>
      </c>
      <c r="C14" t="s">
        <v>1765</v>
      </c>
      <c r="D14" t="s">
        <v>932</v>
      </c>
      <c r="E14">
        <f>HYPERLINK("https://www.britishcycling.org.uk/points?person_id=31228&amp;year=2019&amp;type=national&amp;d=6","Results")</f>
        <v/>
      </c>
    </row>
    <row r="15" spans="1:5">
      <c r="A15" t="s">
        <v>55</v>
      </c>
      <c r="B15" t="s">
        <v>4397</v>
      </c>
      <c r="C15" t="s">
        <v>914</v>
      </c>
      <c r="D15" t="s">
        <v>2289</v>
      </c>
      <c r="E15">
        <f>HYPERLINK("https://www.britishcycling.org.uk/points?person_id=251465&amp;year=2019&amp;type=national&amp;d=6","Results")</f>
        <v/>
      </c>
    </row>
    <row r="16" spans="1:5">
      <c r="A16" t="s">
        <v>59</v>
      </c>
      <c r="B16" t="s">
        <v>4398</v>
      </c>
      <c r="C16" t="s">
        <v>1397</v>
      </c>
      <c r="D16" t="s">
        <v>2263</v>
      </c>
      <c r="E16">
        <f>HYPERLINK("https://www.britishcycling.org.uk/points?person_id=99715&amp;year=2019&amp;type=national&amp;d=6","Results")</f>
        <v/>
      </c>
    </row>
    <row r="17" spans="1:5">
      <c r="A17" t="s">
        <v>63</v>
      </c>
      <c r="B17" t="s">
        <v>4308</v>
      </c>
      <c r="C17" t="s">
        <v>1091</v>
      </c>
      <c r="D17" t="s">
        <v>938</v>
      </c>
      <c r="E17">
        <f>HYPERLINK("https://www.britishcycling.org.uk/points?person_id=198760&amp;year=2019&amp;type=national&amp;d=6","Results")</f>
        <v/>
      </c>
    </row>
    <row r="18" spans="1:5">
      <c r="A18" t="s">
        <v>67</v>
      </c>
      <c r="B18" t="s">
        <v>4307</v>
      </c>
      <c r="C18" t="s">
        <v>1507</v>
      </c>
      <c r="D18" t="s">
        <v>1338</v>
      </c>
      <c r="E18">
        <f>HYPERLINK("https://www.britishcycling.org.uk/points?person_id=238826&amp;year=2019&amp;type=national&amp;d=6","Results")</f>
        <v/>
      </c>
    </row>
    <row r="19" spans="1:5">
      <c r="A19" t="s">
        <v>71</v>
      </c>
      <c r="B19" t="s">
        <v>4399</v>
      </c>
      <c r="C19" t="s">
        <v>1344</v>
      </c>
      <c r="D19" t="s">
        <v>1646</v>
      </c>
      <c r="E19">
        <f>HYPERLINK("https://www.britishcycling.org.uk/points?person_id=240019&amp;year=2019&amp;type=national&amp;d=6","Results")</f>
        <v/>
      </c>
    </row>
    <row r="20" spans="1:5">
      <c r="A20" t="s">
        <v>75</v>
      </c>
      <c r="B20" t="s">
        <v>4400</v>
      </c>
      <c r="C20" t="s">
        <v>955</v>
      </c>
      <c r="D20" t="s">
        <v>2107</v>
      </c>
      <c r="E20">
        <f>HYPERLINK("https://www.britishcycling.org.uk/points?person_id=401053&amp;year=2019&amp;type=national&amp;d=6","Results")</f>
        <v/>
      </c>
    </row>
    <row r="21" spans="1:5">
      <c r="A21" t="s">
        <v>78</v>
      </c>
      <c r="B21" t="s">
        <v>4401</v>
      </c>
      <c r="C21" t="s">
        <v>4231</v>
      </c>
      <c r="D21" t="s">
        <v>2094</v>
      </c>
      <c r="E21">
        <f>HYPERLINK("https://www.britishcycling.org.uk/points?person_id=177183&amp;year=2019&amp;type=national&amp;d=6","Results")</f>
        <v/>
      </c>
    </row>
    <row r="22" spans="1:5">
      <c r="A22" t="s">
        <v>82</v>
      </c>
      <c r="B22" t="s">
        <v>4402</v>
      </c>
      <c r="C22" t="s">
        <v>4403</v>
      </c>
      <c r="D22" t="s">
        <v>1649</v>
      </c>
      <c r="E22">
        <f>HYPERLINK("https://www.britishcycling.org.uk/points?person_id=194254&amp;year=2019&amp;type=national&amp;d=6","Results")</f>
        <v/>
      </c>
    </row>
    <row r="23" spans="1:5">
      <c r="A23" t="s">
        <v>85</v>
      </c>
      <c r="B23" t="s">
        <v>4404</v>
      </c>
      <c r="C23" t="s">
        <v>1858</v>
      </c>
      <c r="D23" t="s">
        <v>2083</v>
      </c>
      <c r="E23">
        <f>HYPERLINK("https://www.britishcycling.org.uk/points?person_id=13618&amp;year=2019&amp;type=national&amp;d=6","Results")</f>
        <v/>
      </c>
    </row>
    <row r="24" spans="1:5">
      <c r="A24" t="s">
        <v>89</v>
      </c>
      <c r="B24" t="s">
        <v>4302</v>
      </c>
      <c r="C24" t="s">
        <v>4303</v>
      </c>
      <c r="D24" t="s">
        <v>904</v>
      </c>
      <c r="E24">
        <f>HYPERLINK("https://www.britishcycling.org.uk/points?person_id=123280&amp;year=2019&amp;type=national&amp;d=6","Results")</f>
        <v/>
      </c>
    </row>
    <row r="25" spans="1:5">
      <c r="A25" t="s">
        <v>92</v>
      </c>
      <c r="B25" t="s">
        <v>4405</v>
      </c>
      <c r="C25" t="s">
        <v>3577</v>
      </c>
      <c r="D25" t="s">
        <v>871</v>
      </c>
      <c r="E25">
        <f>HYPERLINK("https://www.britishcycling.org.uk/points?person_id=359521&amp;year=2019&amp;type=national&amp;d=6","Results")</f>
        <v/>
      </c>
    </row>
    <row r="26" spans="1:5">
      <c r="A26" t="s">
        <v>96</v>
      </c>
      <c r="B26" t="s">
        <v>4406</v>
      </c>
      <c r="C26" t="s">
        <v>1354</v>
      </c>
      <c r="D26" t="s">
        <v>848</v>
      </c>
      <c r="E26">
        <f>HYPERLINK("https://www.britishcycling.org.uk/points?person_id=28775&amp;year=2019&amp;type=national&amp;d=6","Results")</f>
        <v/>
      </c>
    </row>
    <row r="27" spans="1:5">
      <c r="A27" t="s">
        <v>99</v>
      </c>
      <c r="B27" t="s">
        <v>4300</v>
      </c>
      <c r="C27" t="s">
        <v>1091</v>
      </c>
      <c r="D27" t="s">
        <v>835</v>
      </c>
      <c r="E27">
        <f>HYPERLINK("https://www.britishcycling.org.uk/points?person_id=185355&amp;year=2019&amp;type=national&amp;d=6","Results")</f>
        <v/>
      </c>
    </row>
    <row r="28" spans="1:5">
      <c r="A28" t="s">
        <v>103</v>
      </c>
      <c r="B28" t="s">
        <v>4407</v>
      </c>
      <c r="C28" t="s">
        <v>4408</v>
      </c>
      <c r="D28" t="s">
        <v>818</v>
      </c>
      <c r="E28">
        <f>HYPERLINK("https://www.britishcycling.org.uk/points?person_id=288659&amp;year=2019&amp;type=national&amp;d=6","Results")</f>
        <v/>
      </c>
    </row>
    <row r="29" spans="1:5">
      <c r="A29" t="s">
        <v>107</v>
      </c>
      <c r="B29" t="s">
        <v>4409</v>
      </c>
      <c r="C29" t="s">
        <v>2735</v>
      </c>
      <c r="D29" t="s">
        <v>812</v>
      </c>
      <c r="E29">
        <f>HYPERLINK("https://www.britishcycling.org.uk/points?person_id=888694&amp;year=2019&amp;type=national&amp;d=6","Results")</f>
        <v/>
      </c>
    </row>
    <row r="30" spans="1:5">
      <c r="A30" t="s">
        <v>111</v>
      </c>
      <c r="B30" t="s">
        <v>4410</v>
      </c>
      <c r="C30" t="s">
        <v>511</v>
      </c>
      <c r="D30" t="s">
        <v>794</v>
      </c>
      <c r="E30">
        <f>HYPERLINK("https://www.britishcycling.org.uk/points?person_id=614714&amp;year=2019&amp;type=national&amp;d=6","Results")</f>
        <v/>
      </c>
    </row>
    <row r="31" spans="1:5">
      <c r="A31" t="s">
        <v>115</v>
      </c>
      <c r="B31" t="s">
        <v>4411</v>
      </c>
      <c r="C31" t="s">
        <v>4412</v>
      </c>
      <c r="D31" t="s">
        <v>777</v>
      </c>
      <c r="E31">
        <f>HYPERLINK("https://www.britishcycling.org.uk/points?person_id=31162&amp;year=2019&amp;type=national&amp;d=6","Results")</f>
        <v/>
      </c>
    </row>
    <row r="32" spans="1:5">
      <c r="A32" t="s">
        <v>119</v>
      </c>
      <c r="B32" t="s">
        <v>4413</v>
      </c>
      <c r="C32" t="s">
        <v>4414</v>
      </c>
      <c r="D32" t="s">
        <v>775</v>
      </c>
      <c r="E32">
        <f>HYPERLINK("https://www.britishcycling.org.uk/points?person_id=265217&amp;year=2019&amp;type=national&amp;d=6","Results")</f>
        <v/>
      </c>
    </row>
    <row r="33" spans="1:5">
      <c r="A33" t="s">
        <v>123</v>
      </c>
      <c r="B33" t="s">
        <v>4415</v>
      </c>
      <c r="C33" t="s">
        <v>1762</v>
      </c>
      <c r="D33" t="s">
        <v>775</v>
      </c>
      <c r="E33">
        <f>HYPERLINK("https://www.britishcycling.org.uk/points?person_id=604772&amp;year=2019&amp;type=national&amp;d=6","Results")</f>
        <v/>
      </c>
    </row>
    <row r="34" spans="1:5">
      <c r="A34" t="s">
        <v>127</v>
      </c>
      <c r="B34" t="s">
        <v>4416</v>
      </c>
      <c r="C34" t="s">
        <v>4417</v>
      </c>
      <c r="D34" t="s">
        <v>765</v>
      </c>
      <c r="E34">
        <f>HYPERLINK("https://www.britishcycling.org.uk/points?person_id=452451&amp;year=2019&amp;type=national&amp;d=6","Results")</f>
        <v/>
      </c>
    </row>
    <row r="35" spans="1:5">
      <c r="A35" t="s">
        <v>130</v>
      </c>
      <c r="B35" t="s">
        <v>4299</v>
      </c>
      <c r="C35" t="s">
        <v>1091</v>
      </c>
      <c r="D35" t="s">
        <v>114</v>
      </c>
      <c r="E35">
        <f>HYPERLINK("https://www.britishcycling.org.uk/points?person_id=57038&amp;year=2019&amp;type=national&amp;d=6","Results")</f>
        <v/>
      </c>
    </row>
    <row r="36" spans="1:5">
      <c r="A36" t="s">
        <v>133</v>
      </c>
      <c r="B36" t="s">
        <v>4418</v>
      </c>
      <c r="C36" t="s">
        <v>401</v>
      </c>
      <c r="D36" t="s">
        <v>118</v>
      </c>
      <c r="E36">
        <f>HYPERLINK("https://www.britishcycling.org.uk/points?person_id=852631&amp;year=2019&amp;type=national&amp;d=6","Results")</f>
        <v/>
      </c>
    </row>
    <row r="37" spans="1:5">
      <c r="A37" t="s">
        <v>137</v>
      </c>
      <c r="B37" t="s">
        <v>4419</v>
      </c>
      <c r="C37" t="s">
        <v>1373</v>
      </c>
      <c r="D37" t="s">
        <v>122</v>
      </c>
      <c r="E37">
        <f>HYPERLINK("https://www.britishcycling.org.uk/points?person_id=262068&amp;year=2019&amp;type=national&amp;d=6","Results")</f>
        <v/>
      </c>
    </row>
    <row r="38" spans="1:5">
      <c r="A38" t="s">
        <v>141</v>
      </c>
      <c r="B38" t="s">
        <v>4420</v>
      </c>
      <c r="C38" t="s">
        <v>4421</v>
      </c>
      <c r="D38" t="s">
        <v>737</v>
      </c>
      <c r="E38">
        <f>HYPERLINK("https://www.britishcycling.org.uk/points?person_id=316710&amp;year=2019&amp;type=national&amp;d=6","Results")</f>
        <v/>
      </c>
    </row>
    <row r="39" spans="1:5">
      <c r="A39" t="s">
        <v>145</v>
      </c>
      <c r="B39" t="s">
        <v>4422</v>
      </c>
      <c r="C39" t="s">
        <v>4231</v>
      </c>
      <c r="D39" t="s">
        <v>732</v>
      </c>
      <c r="E39">
        <f>HYPERLINK("https://www.britishcycling.org.uk/points?person_id=417155&amp;year=2019&amp;type=national&amp;d=6","Results")</f>
        <v/>
      </c>
    </row>
    <row r="40" spans="1:5">
      <c r="A40" t="s">
        <v>148</v>
      </c>
      <c r="B40" t="s">
        <v>4423</v>
      </c>
      <c r="C40" t="s">
        <v>1344</v>
      </c>
      <c r="D40" t="s">
        <v>729</v>
      </c>
      <c r="E40">
        <f>HYPERLINK("https://www.britishcycling.org.uk/points?person_id=229554&amp;year=2019&amp;type=national&amp;d=6","Results")</f>
        <v/>
      </c>
    </row>
    <row r="41" spans="1:5">
      <c r="A41" t="s">
        <v>151</v>
      </c>
      <c r="B41" t="s">
        <v>4424</v>
      </c>
      <c r="C41" t="s">
        <v>1819</v>
      </c>
      <c r="D41" t="s">
        <v>129</v>
      </c>
      <c r="E41">
        <f>HYPERLINK("https://www.britishcycling.org.uk/points?person_id=253661&amp;year=2019&amp;type=national&amp;d=6","Results")</f>
        <v/>
      </c>
    </row>
    <row r="42" spans="1:5">
      <c r="A42" t="s">
        <v>155</v>
      </c>
      <c r="B42" t="s">
        <v>4425</v>
      </c>
      <c r="C42" t="s">
        <v>4231</v>
      </c>
      <c r="D42" t="s">
        <v>705</v>
      </c>
      <c r="E42">
        <f>HYPERLINK("https://www.britishcycling.org.uk/points?person_id=34727&amp;year=2019&amp;type=national&amp;d=6","Results")</f>
        <v/>
      </c>
    </row>
    <row r="43" spans="1:5">
      <c r="A43" t="s">
        <v>158</v>
      </c>
      <c r="B43" t="s">
        <v>4426</v>
      </c>
      <c r="C43" t="s">
        <v>4427</v>
      </c>
      <c r="D43" t="s">
        <v>701</v>
      </c>
      <c r="E43">
        <f>HYPERLINK("https://www.britishcycling.org.uk/points?person_id=863211&amp;year=2019&amp;type=national&amp;d=6","Results")</f>
        <v/>
      </c>
    </row>
    <row r="44" spans="1:5">
      <c r="A44" t="s">
        <v>161</v>
      </c>
      <c r="B44" t="s">
        <v>4305</v>
      </c>
      <c r="C44" t="s">
        <v>4306</v>
      </c>
      <c r="D44" t="s">
        <v>701</v>
      </c>
      <c r="E44">
        <f>HYPERLINK("https://www.britishcycling.org.uk/points?person_id=174279&amp;year=2019&amp;type=national&amp;d=6","Results")</f>
        <v/>
      </c>
    </row>
    <row r="45" spans="1:5">
      <c r="A45" t="s">
        <v>165</v>
      </c>
      <c r="B45" t="s">
        <v>4428</v>
      </c>
      <c r="C45" t="s">
        <v>1593</v>
      </c>
      <c r="D45" t="s">
        <v>689</v>
      </c>
      <c r="E45">
        <f>HYPERLINK("https://www.britishcycling.org.uk/points?person_id=44856&amp;year=2019&amp;type=national&amp;d=6","Results")</f>
        <v/>
      </c>
    </row>
    <row r="46" spans="1:5">
      <c r="A46" t="s">
        <v>168</v>
      </c>
      <c r="B46" t="s">
        <v>4429</v>
      </c>
      <c r="C46" t="s">
        <v>1923</v>
      </c>
      <c r="D46" t="s">
        <v>140</v>
      </c>
      <c r="E46">
        <f>HYPERLINK("https://www.britishcycling.org.uk/points?person_id=116361&amp;year=2019&amp;type=national&amp;d=6","Results")</f>
        <v/>
      </c>
    </row>
    <row r="47" spans="1:5">
      <c r="A47" t="s">
        <v>172</v>
      </c>
      <c r="B47" t="s">
        <v>4430</v>
      </c>
      <c r="C47" t="s">
        <v>2041</v>
      </c>
      <c r="D47" t="s">
        <v>672</v>
      </c>
      <c r="E47">
        <f>HYPERLINK("https://www.britishcycling.org.uk/points?person_id=23143&amp;year=2019&amp;type=national&amp;d=6","Results")</f>
        <v/>
      </c>
    </row>
    <row r="48" spans="1:5">
      <c r="A48" t="s">
        <v>176</v>
      </c>
      <c r="B48" t="s">
        <v>4315</v>
      </c>
      <c r="C48" t="s">
        <v>1584</v>
      </c>
      <c r="D48" t="s">
        <v>672</v>
      </c>
      <c r="E48">
        <f>HYPERLINK("https://www.britishcycling.org.uk/points?person_id=253677&amp;year=2019&amp;type=national&amp;d=6","Results")</f>
        <v/>
      </c>
    </row>
    <row r="49" spans="1:5">
      <c r="A49" t="s">
        <v>180</v>
      </c>
      <c r="B49" t="s">
        <v>4431</v>
      </c>
      <c r="C49" t="s">
        <v>1709</v>
      </c>
      <c r="D49" t="s">
        <v>664</v>
      </c>
      <c r="E49">
        <f>HYPERLINK("https://www.britishcycling.org.uk/points?person_id=26555&amp;year=2019&amp;type=national&amp;d=6","Results")</f>
        <v/>
      </c>
    </row>
    <row r="50" spans="1:5">
      <c r="A50" t="s">
        <v>184</v>
      </c>
      <c r="B50" t="s">
        <v>4432</v>
      </c>
      <c r="C50" t="s">
        <v>615</v>
      </c>
      <c r="D50" t="s">
        <v>160</v>
      </c>
      <c r="E50">
        <f>HYPERLINK("https://www.britishcycling.org.uk/points?person_id=64594&amp;year=2019&amp;type=national&amp;d=6","Results")</f>
        <v/>
      </c>
    </row>
    <row r="51" spans="1:5">
      <c r="A51" t="s">
        <v>188</v>
      </c>
      <c r="B51" t="s">
        <v>4433</v>
      </c>
      <c r="C51" t="s">
        <v>2041</v>
      </c>
      <c r="D51" t="s">
        <v>651</v>
      </c>
      <c r="E51">
        <f>HYPERLINK("https://www.britishcycling.org.uk/points?person_id=37963&amp;year=2019&amp;type=national&amp;d=6","Results")</f>
        <v/>
      </c>
    </row>
    <row r="52" spans="1:5">
      <c r="A52" t="s">
        <v>192</v>
      </c>
      <c r="B52" t="s">
        <v>4434</v>
      </c>
      <c r="C52" t="s">
        <v>401</v>
      </c>
      <c r="D52" t="s">
        <v>649</v>
      </c>
      <c r="E52">
        <f>HYPERLINK("https://www.britishcycling.org.uk/points?person_id=53547&amp;year=2019&amp;type=national&amp;d=6","Results")</f>
        <v/>
      </c>
    </row>
    <row r="53" spans="1:5">
      <c r="A53" t="s">
        <v>196</v>
      </c>
      <c r="B53" t="s">
        <v>4325</v>
      </c>
      <c r="C53" t="s">
        <v>4326</v>
      </c>
      <c r="D53" t="s">
        <v>171</v>
      </c>
      <c r="E53">
        <f>HYPERLINK("https://www.britishcycling.org.uk/points?person_id=177765&amp;year=2019&amp;type=national&amp;d=6","Results")</f>
        <v/>
      </c>
    </row>
    <row r="54" spans="1:5">
      <c r="A54" t="s">
        <v>199</v>
      </c>
      <c r="B54" t="s">
        <v>4309</v>
      </c>
      <c r="C54" t="s">
        <v>1344</v>
      </c>
      <c r="D54" t="s">
        <v>175</v>
      </c>
      <c r="E54">
        <f>HYPERLINK("https://www.britishcycling.org.uk/points?person_id=244604&amp;year=2019&amp;type=national&amp;d=6","Results")</f>
        <v/>
      </c>
    </row>
    <row r="55" spans="1:5">
      <c r="A55" t="s">
        <v>203</v>
      </c>
      <c r="B55" t="s">
        <v>4435</v>
      </c>
      <c r="C55" t="s">
        <v>4436</v>
      </c>
      <c r="D55" t="s">
        <v>625</v>
      </c>
      <c r="E55">
        <f>HYPERLINK("https://www.britishcycling.org.uk/points?person_id=585180&amp;year=2019&amp;type=national&amp;d=6","Results")</f>
        <v/>
      </c>
    </row>
    <row r="56" spans="1:5">
      <c r="A56" t="s">
        <v>207</v>
      </c>
      <c r="B56" t="s">
        <v>4437</v>
      </c>
      <c r="C56" t="s">
        <v>94</v>
      </c>
      <c r="D56" t="s">
        <v>179</v>
      </c>
      <c r="E56">
        <f>HYPERLINK("https://www.britishcycling.org.uk/points?person_id=756655&amp;year=2019&amp;type=national&amp;d=6","Results")</f>
        <v/>
      </c>
    </row>
    <row r="57" spans="1:5">
      <c r="A57" t="s">
        <v>210</v>
      </c>
      <c r="B57" t="s">
        <v>4438</v>
      </c>
      <c r="C57" t="s">
        <v>1819</v>
      </c>
      <c r="D57" t="s">
        <v>613</v>
      </c>
      <c r="E57">
        <f>HYPERLINK("https://www.britishcycling.org.uk/points?person_id=58880&amp;year=2019&amp;type=national&amp;d=6","Results")</f>
        <v/>
      </c>
    </row>
    <row r="58" spans="1:5">
      <c r="A58" t="s">
        <v>214</v>
      </c>
      <c r="B58" t="s">
        <v>4439</v>
      </c>
      <c r="C58" t="s">
        <v>403</v>
      </c>
      <c r="D58" t="s">
        <v>602</v>
      </c>
      <c r="E58">
        <f>HYPERLINK("https://www.britishcycling.org.uk/points?person_id=508653&amp;year=2019&amp;type=national&amp;d=6","Results")</f>
        <v/>
      </c>
    </row>
    <row r="59" spans="1:5">
      <c r="A59" t="s">
        <v>218</v>
      </c>
      <c r="B59" t="s">
        <v>4313</v>
      </c>
      <c r="C59" t="s">
        <v>15</v>
      </c>
      <c r="D59" t="s">
        <v>593</v>
      </c>
      <c r="E59">
        <f>HYPERLINK("https://www.britishcycling.org.uk/points?person_id=371059&amp;year=2019&amp;type=national&amp;d=6","Results")</f>
        <v/>
      </c>
    </row>
    <row r="60" spans="1:5">
      <c r="A60" t="s">
        <v>221</v>
      </c>
      <c r="B60" t="s">
        <v>4440</v>
      </c>
      <c r="C60" t="s">
        <v>1354</v>
      </c>
      <c r="D60" t="s">
        <v>587</v>
      </c>
      <c r="E60">
        <f>HYPERLINK("https://www.britishcycling.org.uk/points?person_id=281746&amp;year=2019&amp;type=national&amp;d=6","Results")</f>
        <v/>
      </c>
    </row>
    <row r="61" spans="1:5">
      <c r="A61" t="s">
        <v>225</v>
      </c>
      <c r="B61" t="s">
        <v>4441</v>
      </c>
      <c r="C61" t="s">
        <v>2874</v>
      </c>
      <c r="D61" t="s">
        <v>587</v>
      </c>
      <c r="E61">
        <f>HYPERLINK("https://www.britishcycling.org.uk/points?person_id=400718&amp;year=2019&amp;type=national&amp;d=6","Results")</f>
        <v/>
      </c>
    </row>
    <row r="62" spans="1:5">
      <c r="A62" t="s">
        <v>228</v>
      </c>
      <c r="B62" t="s">
        <v>4311</v>
      </c>
      <c r="C62" t="s">
        <v>4303</v>
      </c>
      <c r="D62" t="s">
        <v>582</v>
      </c>
      <c r="E62">
        <f>HYPERLINK("https://www.britishcycling.org.uk/points?person_id=463514&amp;year=2019&amp;type=national&amp;d=6","Results")</f>
        <v/>
      </c>
    </row>
    <row r="63" spans="1:5">
      <c r="A63" t="s">
        <v>232</v>
      </c>
      <c r="B63" t="s">
        <v>4442</v>
      </c>
      <c r="C63" t="s">
        <v>511</v>
      </c>
      <c r="D63" t="s">
        <v>191</v>
      </c>
      <c r="E63">
        <f>HYPERLINK("https://www.britishcycling.org.uk/points?person_id=336093&amp;year=2019&amp;type=national&amp;d=6","Results")</f>
        <v/>
      </c>
    </row>
    <row r="64" spans="1:5">
      <c r="A64" t="s">
        <v>236</v>
      </c>
      <c r="B64" t="s">
        <v>4301</v>
      </c>
      <c r="C64" t="s">
        <v>945</v>
      </c>
      <c r="D64" t="s">
        <v>573</v>
      </c>
      <c r="E64">
        <f>HYPERLINK("https://www.britishcycling.org.uk/points?person_id=101805&amp;year=2019&amp;type=national&amp;d=6","Results")</f>
        <v/>
      </c>
    </row>
    <row r="65" spans="1:5">
      <c r="A65" t="s">
        <v>239</v>
      </c>
      <c r="B65" t="s">
        <v>4443</v>
      </c>
      <c r="C65" t="s">
        <v>401</v>
      </c>
      <c r="D65" t="s">
        <v>568</v>
      </c>
      <c r="E65">
        <f>HYPERLINK("https://www.britishcycling.org.uk/points?person_id=55960&amp;year=2019&amp;type=national&amp;d=6","Results")</f>
        <v/>
      </c>
    </row>
    <row r="66" spans="1:5">
      <c r="A66" t="s">
        <v>241</v>
      </c>
      <c r="B66" t="s">
        <v>4298</v>
      </c>
      <c r="C66" t="s">
        <v>167</v>
      </c>
      <c r="D66" t="s">
        <v>565</v>
      </c>
      <c r="E66">
        <f>HYPERLINK("https://www.britishcycling.org.uk/points?person_id=127808&amp;year=2019&amp;type=national&amp;d=6","Results")</f>
        <v/>
      </c>
    </row>
    <row r="67" spans="1:5">
      <c r="A67" t="s">
        <v>244</v>
      </c>
      <c r="B67" t="s">
        <v>4444</v>
      </c>
      <c r="C67" t="s"/>
      <c r="D67" t="s">
        <v>549</v>
      </c>
      <c r="E67">
        <f>HYPERLINK("https://www.britishcycling.org.uk/points?person_id=134874&amp;year=2019&amp;type=national&amp;d=6","Results")</f>
        <v/>
      </c>
    </row>
    <row r="68" spans="1:5">
      <c r="A68" t="s">
        <v>247</v>
      </c>
      <c r="B68" t="s">
        <v>4445</v>
      </c>
      <c r="C68" t="s">
        <v>23</v>
      </c>
      <c r="D68" t="s">
        <v>544</v>
      </c>
      <c r="E68">
        <f>HYPERLINK("https://www.britishcycling.org.uk/points?person_id=292779&amp;year=2019&amp;type=national&amp;d=6","Results")</f>
        <v/>
      </c>
    </row>
    <row r="69" spans="1:5">
      <c r="A69" t="s">
        <v>250</v>
      </c>
      <c r="B69" t="s">
        <v>4446</v>
      </c>
      <c r="C69" t="s">
        <v>2947</v>
      </c>
      <c r="D69" t="s">
        <v>544</v>
      </c>
      <c r="E69">
        <f>HYPERLINK("https://www.britishcycling.org.uk/points?person_id=74479&amp;year=2019&amp;type=national&amp;d=6","Results")</f>
        <v/>
      </c>
    </row>
    <row r="70" spans="1:5">
      <c r="A70" t="s">
        <v>254</v>
      </c>
      <c r="B70" t="s">
        <v>4447</v>
      </c>
      <c r="C70" t="s">
        <v>1507</v>
      </c>
      <c r="D70" t="s">
        <v>542</v>
      </c>
      <c r="E70">
        <f>HYPERLINK("https://www.britishcycling.org.uk/points?person_id=123730&amp;year=2019&amp;type=national&amp;d=6","Results")</f>
        <v/>
      </c>
    </row>
    <row r="71" spans="1:5">
      <c r="A71" t="s">
        <v>257</v>
      </c>
      <c r="B71" t="s">
        <v>4316</v>
      </c>
      <c r="C71" t="s">
        <v>1091</v>
      </c>
      <c r="D71" t="s">
        <v>542</v>
      </c>
      <c r="E71">
        <f>HYPERLINK("https://www.britishcycling.org.uk/points?person_id=527316&amp;year=2019&amp;type=national&amp;d=6","Results")</f>
        <v/>
      </c>
    </row>
    <row r="72" spans="1:5">
      <c r="A72" t="s">
        <v>260</v>
      </c>
      <c r="B72" t="s">
        <v>4448</v>
      </c>
      <c r="C72" t="s">
        <v>4449</v>
      </c>
      <c r="D72" t="s">
        <v>536</v>
      </c>
      <c r="E72">
        <f>HYPERLINK("https://www.britishcycling.org.uk/points?person_id=199104&amp;year=2019&amp;type=national&amp;d=6","Results")</f>
        <v/>
      </c>
    </row>
    <row r="73" spans="1:5">
      <c r="A73" t="s">
        <v>264</v>
      </c>
      <c r="B73" t="s">
        <v>4450</v>
      </c>
      <c r="C73" t="s">
        <v>4451</v>
      </c>
      <c r="D73" t="s">
        <v>534</v>
      </c>
      <c r="E73">
        <f>HYPERLINK("https://www.britishcycling.org.uk/points?person_id=176509&amp;year=2019&amp;type=national&amp;d=6","Results")</f>
        <v/>
      </c>
    </row>
    <row r="74" spans="1:5">
      <c r="A74" t="s">
        <v>267</v>
      </c>
      <c r="B74" t="s">
        <v>4452</v>
      </c>
      <c r="C74" t="s">
        <v>413</v>
      </c>
      <c r="D74" t="s">
        <v>534</v>
      </c>
      <c r="E74">
        <f>HYPERLINK("https://www.britishcycling.org.uk/points?person_id=200360&amp;year=2019&amp;type=national&amp;d=6","Results")</f>
        <v/>
      </c>
    </row>
    <row r="75" spans="1:5">
      <c r="A75" t="s">
        <v>270</v>
      </c>
      <c r="B75" t="s">
        <v>4453</v>
      </c>
      <c r="C75" t="s">
        <v>4303</v>
      </c>
      <c r="D75" t="s">
        <v>532</v>
      </c>
      <c r="E75">
        <f>HYPERLINK("https://www.britishcycling.org.uk/points?person_id=185026&amp;year=2019&amp;type=national&amp;d=6","Results")</f>
        <v/>
      </c>
    </row>
    <row r="76" spans="1:5">
      <c r="A76" t="s">
        <v>274</v>
      </c>
      <c r="B76" t="s">
        <v>4454</v>
      </c>
      <c r="C76" t="s">
        <v>1993</v>
      </c>
      <c r="D76" t="s">
        <v>529</v>
      </c>
      <c r="E76">
        <f>HYPERLINK("https://www.britishcycling.org.uk/points?person_id=324229&amp;year=2019&amp;type=national&amp;d=6","Results")</f>
        <v/>
      </c>
    </row>
    <row r="77" spans="1:5">
      <c r="A77" t="s">
        <v>277</v>
      </c>
      <c r="B77" t="s">
        <v>4455</v>
      </c>
      <c r="C77" t="s">
        <v>223</v>
      </c>
      <c r="D77" t="s">
        <v>529</v>
      </c>
      <c r="E77">
        <f>HYPERLINK("https://www.britishcycling.org.uk/points?person_id=469045&amp;year=2019&amp;type=national&amp;d=6","Results")</f>
        <v/>
      </c>
    </row>
    <row r="78" spans="1:5">
      <c r="A78" t="s">
        <v>281</v>
      </c>
      <c r="B78" t="s">
        <v>4456</v>
      </c>
      <c r="C78" t="s"/>
      <c r="D78" t="s">
        <v>217</v>
      </c>
      <c r="E78">
        <f>HYPERLINK("https://www.britishcycling.org.uk/points?person_id=36899&amp;year=2019&amp;type=national&amp;d=6","Results")</f>
        <v/>
      </c>
    </row>
    <row r="79" spans="1:5">
      <c r="A79" t="s">
        <v>285</v>
      </c>
      <c r="B79" t="s">
        <v>4457</v>
      </c>
      <c r="C79" t="s">
        <v>1354</v>
      </c>
      <c r="D79" t="s">
        <v>512</v>
      </c>
      <c r="E79">
        <f>HYPERLINK("https://www.britishcycling.org.uk/points?person_id=497812&amp;year=2019&amp;type=national&amp;d=6","Results")</f>
        <v/>
      </c>
    </row>
    <row r="80" spans="1:5">
      <c r="A80" t="s">
        <v>289</v>
      </c>
      <c r="B80" t="s">
        <v>4458</v>
      </c>
      <c r="C80" t="s">
        <v>4449</v>
      </c>
      <c r="D80" t="s">
        <v>509</v>
      </c>
      <c r="E80">
        <f>HYPERLINK("https://www.britishcycling.org.uk/points?person_id=409283&amp;year=2019&amp;type=national&amp;d=6","Results")</f>
        <v/>
      </c>
    </row>
    <row r="81" spans="1:5">
      <c r="A81" t="s">
        <v>293</v>
      </c>
      <c r="B81" t="s">
        <v>4459</v>
      </c>
      <c r="C81" t="s">
        <v>914</v>
      </c>
      <c r="D81" t="s">
        <v>507</v>
      </c>
      <c r="E81">
        <f>HYPERLINK("https://www.britishcycling.org.uk/points?person_id=139207&amp;year=2019&amp;type=national&amp;d=6","Results")</f>
        <v/>
      </c>
    </row>
    <row r="82" spans="1:5">
      <c r="A82" t="s">
        <v>297</v>
      </c>
      <c r="B82" t="s">
        <v>4460</v>
      </c>
      <c r="C82" t="s">
        <v>3072</v>
      </c>
      <c r="D82" t="s">
        <v>235</v>
      </c>
      <c r="E82">
        <f>HYPERLINK("https://www.britishcycling.org.uk/points?person_id=246195&amp;year=2019&amp;type=national&amp;d=6","Results")</f>
        <v/>
      </c>
    </row>
    <row r="83" spans="1:5">
      <c r="A83" t="s">
        <v>301</v>
      </c>
      <c r="B83" t="s">
        <v>4461</v>
      </c>
      <c r="C83" t="s">
        <v>1346</v>
      </c>
      <c r="D83" t="s">
        <v>484</v>
      </c>
      <c r="E83">
        <f>HYPERLINK("https://www.britishcycling.org.uk/points?person_id=67517&amp;year=2019&amp;type=national&amp;d=6","Results")</f>
        <v/>
      </c>
    </row>
    <row r="84" spans="1:5">
      <c r="A84" t="s">
        <v>304</v>
      </c>
      <c r="B84" t="s">
        <v>4462</v>
      </c>
      <c r="C84" t="s">
        <v>2636</v>
      </c>
      <c r="D84" t="s">
        <v>484</v>
      </c>
      <c r="E84">
        <f>HYPERLINK("https://www.britishcycling.org.uk/points?person_id=41466&amp;year=2019&amp;type=national&amp;d=6","Results")</f>
        <v/>
      </c>
    </row>
    <row r="85" spans="1:5">
      <c r="A85" t="s">
        <v>307</v>
      </c>
      <c r="B85" t="s">
        <v>4463</v>
      </c>
      <c r="C85" t="s">
        <v>3774</v>
      </c>
      <c r="D85" t="s">
        <v>482</v>
      </c>
      <c r="E85">
        <f>HYPERLINK("https://www.britishcycling.org.uk/points?person_id=671611&amp;year=2019&amp;type=national&amp;d=6","Results")</f>
        <v/>
      </c>
    </row>
    <row r="86" spans="1:5">
      <c r="A86" t="s">
        <v>310</v>
      </c>
      <c r="B86" t="s">
        <v>4464</v>
      </c>
      <c r="C86" t="s">
        <v>3584</v>
      </c>
      <c r="D86" t="s">
        <v>480</v>
      </c>
      <c r="E86">
        <f>HYPERLINK("https://www.britishcycling.org.uk/points?person_id=63101&amp;year=2019&amp;type=national&amp;d=6","Results")</f>
        <v/>
      </c>
    </row>
    <row r="87" spans="1:5">
      <c r="A87" t="s">
        <v>313</v>
      </c>
      <c r="B87" t="s">
        <v>4465</v>
      </c>
      <c r="C87" t="s">
        <v>1133</v>
      </c>
      <c r="D87" t="s">
        <v>246</v>
      </c>
      <c r="E87">
        <f>HYPERLINK("https://www.britishcycling.org.uk/points?person_id=416032&amp;year=2019&amp;type=national&amp;d=6","Results")</f>
        <v/>
      </c>
    </row>
    <row r="88" spans="1:5">
      <c r="A88" t="s">
        <v>317</v>
      </c>
      <c r="B88" t="s">
        <v>4466</v>
      </c>
      <c r="C88" t="s">
        <v>2532</v>
      </c>
      <c r="D88" t="s">
        <v>467</v>
      </c>
      <c r="E88">
        <f>HYPERLINK("https://www.britishcycling.org.uk/points?person_id=430826&amp;year=2019&amp;type=national&amp;d=6","Results")</f>
        <v/>
      </c>
    </row>
    <row r="89" spans="1:5">
      <c r="A89" t="s">
        <v>319</v>
      </c>
      <c r="B89" t="s">
        <v>4467</v>
      </c>
      <c r="C89" t="s">
        <v>1863</v>
      </c>
      <c r="D89" t="s">
        <v>465</v>
      </c>
      <c r="E89">
        <f>HYPERLINK("https://www.britishcycling.org.uk/points?person_id=315252&amp;year=2019&amp;type=national&amp;d=6","Results")</f>
        <v/>
      </c>
    </row>
    <row r="90" spans="1:5">
      <c r="A90" t="s">
        <v>322</v>
      </c>
      <c r="B90" t="s">
        <v>4317</v>
      </c>
      <c r="C90" t="s">
        <v>1354</v>
      </c>
      <c r="D90" t="s">
        <v>465</v>
      </c>
      <c r="E90">
        <f>HYPERLINK("https://www.britishcycling.org.uk/points?person_id=464081&amp;year=2019&amp;type=national&amp;d=6","Results")</f>
        <v/>
      </c>
    </row>
    <row r="91" spans="1:5">
      <c r="A91" t="s">
        <v>326</v>
      </c>
      <c r="B91" t="s">
        <v>4468</v>
      </c>
      <c r="C91" t="s">
        <v>1853</v>
      </c>
      <c r="D91" t="s">
        <v>463</v>
      </c>
      <c r="E91">
        <f>HYPERLINK("https://www.britishcycling.org.uk/points?person_id=293325&amp;year=2019&amp;type=national&amp;d=6","Results")</f>
        <v/>
      </c>
    </row>
    <row r="92" spans="1:5">
      <c r="A92" t="s">
        <v>329</v>
      </c>
      <c r="B92" t="s">
        <v>4469</v>
      </c>
      <c r="C92" t="s">
        <v>4408</v>
      </c>
      <c r="D92" t="s">
        <v>253</v>
      </c>
      <c r="E92">
        <f>HYPERLINK("https://www.britishcycling.org.uk/points?person_id=272508&amp;year=2019&amp;type=national&amp;d=6","Results")</f>
        <v/>
      </c>
    </row>
    <row r="93" spans="1:5">
      <c r="A93" t="s">
        <v>333</v>
      </c>
      <c r="B93" t="s">
        <v>4312</v>
      </c>
      <c r="C93" t="s">
        <v>15</v>
      </c>
      <c r="D93" t="s">
        <v>256</v>
      </c>
      <c r="E93">
        <f>HYPERLINK("https://www.britishcycling.org.uk/points?person_id=427497&amp;year=2019&amp;type=national&amp;d=6","Results")</f>
        <v/>
      </c>
    </row>
    <row r="94" spans="1:5">
      <c r="A94" t="s">
        <v>337</v>
      </c>
      <c r="B94" t="s">
        <v>4304</v>
      </c>
      <c r="C94" t="s">
        <v>45</v>
      </c>
      <c r="D94" t="s">
        <v>456</v>
      </c>
      <c r="E94">
        <f>HYPERLINK("https://www.britishcycling.org.uk/points?person_id=330343&amp;year=2019&amp;type=national&amp;d=6","Results")</f>
        <v/>
      </c>
    </row>
    <row r="95" spans="1:5">
      <c r="A95" t="s">
        <v>341</v>
      </c>
      <c r="B95" t="s">
        <v>4470</v>
      </c>
      <c r="C95" t="s">
        <v>3023</v>
      </c>
      <c r="D95" t="s">
        <v>452</v>
      </c>
      <c r="E95">
        <f>HYPERLINK("https://www.britishcycling.org.uk/points?person_id=101665&amp;year=2019&amp;type=national&amp;d=6","Results")</f>
        <v/>
      </c>
    </row>
    <row r="96" spans="1:5">
      <c r="A96" t="s">
        <v>344</v>
      </c>
      <c r="B96" t="s">
        <v>4471</v>
      </c>
      <c r="C96" t="s">
        <v>3577</v>
      </c>
      <c r="D96" t="s">
        <v>452</v>
      </c>
      <c r="E96">
        <f>HYPERLINK("https://www.britishcycling.org.uk/points?person_id=13888&amp;year=2019&amp;type=national&amp;d=6","Results")</f>
        <v/>
      </c>
    </row>
    <row r="97" spans="1:5">
      <c r="A97" t="s">
        <v>347</v>
      </c>
      <c r="B97" t="s">
        <v>4472</v>
      </c>
      <c r="C97" t="s">
        <v>2874</v>
      </c>
      <c r="D97" t="s">
        <v>448</v>
      </c>
      <c r="E97">
        <f>HYPERLINK("https://www.britishcycling.org.uk/points?person_id=527440&amp;year=2019&amp;type=national&amp;d=6","Results")</f>
        <v/>
      </c>
    </row>
    <row r="98" spans="1:5">
      <c r="A98" t="s">
        <v>350</v>
      </c>
      <c r="B98" t="s">
        <v>4473</v>
      </c>
      <c r="C98" t="s">
        <v>4474</v>
      </c>
      <c r="D98" t="s">
        <v>439</v>
      </c>
      <c r="E98">
        <f>HYPERLINK("https://www.britishcycling.org.uk/points?person_id=387364&amp;year=2019&amp;type=national&amp;d=6","Results")</f>
        <v/>
      </c>
    </row>
    <row r="99" spans="1:5">
      <c r="A99" t="s">
        <v>352</v>
      </c>
      <c r="B99" t="s">
        <v>4297</v>
      </c>
      <c r="C99" t="s">
        <v>15</v>
      </c>
      <c r="D99" t="s">
        <v>276</v>
      </c>
      <c r="E99">
        <f>HYPERLINK("https://www.britishcycling.org.uk/points?person_id=236028&amp;year=2019&amp;type=national&amp;d=6","Results")</f>
        <v/>
      </c>
    </row>
    <row r="100" spans="1:5">
      <c r="A100" t="s">
        <v>349</v>
      </c>
      <c r="B100" t="s">
        <v>4475</v>
      </c>
      <c r="C100" t="s">
        <v>2165</v>
      </c>
      <c r="D100" t="s">
        <v>276</v>
      </c>
      <c r="E100">
        <f>HYPERLINK("https://www.britishcycling.org.uk/points?person_id=477590&amp;year=2019&amp;type=national&amp;d=6","Results")</f>
        <v/>
      </c>
    </row>
    <row r="101" spans="1:5">
      <c r="A101" t="s">
        <v>356</v>
      </c>
      <c r="B101" t="s">
        <v>4476</v>
      </c>
      <c r="C101" t="s">
        <v>4477</v>
      </c>
      <c r="D101" t="s">
        <v>436</v>
      </c>
      <c r="E101">
        <f>HYPERLINK("https://www.britishcycling.org.uk/points?person_id=72717&amp;year=2019&amp;type=national&amp;d=6","Results")</f>
        <v/>
      </c>
    </row>
    <row r="102" spans="1:5">
      <c r="A102" t="s">
        <v>359</v>
      </c>
      <c r="B102" t="s">
        <v>4478</v>
      </c>
      <c r="C102" t="s">
        <v>3421</v>
      </c>
      <c r="D102" t="s">
        <v>436</v>
      </c>
      <c r="E102">
        <f>HYPERLINK("https://www.britishcycling.org.uk/points?person_id=334954&amp;year=2019&amp;type=national&amp;d=6","Results")</f>
        <v/>
      </c>
    </row>
    <row r="103" spans="1:5">
      <c r="A103" t="s">
        <v>343</v>
      </c>
      <c r="B103" t="s">
        <v>4479</v>
      </c>
      <c r="C103" t="s">
        <v>2826</v>
      </c>
      <c r="D103" t="s">
        <v>280</v>
      </c>
      <c r="E103">
        <f>HYPERLINK("https://www.britishcycling.org.uk/points?person_id=353828&amp;year=2019&amp;type=national&amp;d=6","Results")</f>
        <v/>
      </c>
    </row>
    <row r="104" spans="1:5">
      <c r="A104" t="s">
        <v>364</v>
      </c>
      <c r="B104" t="s">
        <v>4480</v>
      </c>
      <c r="C104" t="s">
        <v>358</v>
      </c>
      <c r="D104" t="s">
        <v>280</v>
      </c>
      <c r="E104">
        <f>HYPERLINK("https://www.britishcycling.org.uk/points?person_id=534833&amp;year=2019&amp;type=national&amp;d=6","Results")</f>
        <v/>
      </c>
    </row>
    <row r="105" spans="1:5">
      <c r="A105" t="s">
        <v>340</v>
      </c>
      <c r="B105" t="s">
        <v>4481</v>
      </c>
      <c r="C105" t="s">
        <v>4482</v>
      </c>
      <c r="D105" t="s">
        <v>280</v>
      </c>
      <c r="E105">
        <f>HYPERLINK("https://www.britishcycling.org.uk/points?person_id=219674&amp;year=2019&amp;type=national&amp;d=6","Results")</f>
        <v/>
      </c>
    </row>
    <row r="106" spans="1:5">
      <c r="A106" t="s">
        <v>368</v>
      </c>
      <c r="B106" t="s">
        <v>4483</v>
      </c>
      <c r="C106" t="s">
        <v>3206</v>
      </c>
      <c r="D106" t="s">
        <v>284</v>
      </c>
      <c r="E106">
        <f>HYPERLINK("https://www.britishcycling.org.uk/points?person_id=487749&amp;year=2019&amp;type=national&amp;d=6","Results")</f>
        <v/>
      </c>
    </row>
    <row r="107" spans="1:5">
      <c r="A107" t="s">
        <v>370</v>
      </c>
      <c r="B107" t="s">
        <v>4484</v>
      </c>
      <c r="C107" t="s"/>
      <c r="D107" t="s">
        <v>288</v>
      </c>
      <c r="E107">
        <f>HYPERLINK("https://www.britishcycling.org.uk/points?person_id=125692&amp;year=2019&amp;type=national&amp;d=6","Results")</f>
        <v/>
      </c>
    </row>
    <row r="108" spans="1:5">
      <c r="A108" t="s">
        <v>372</v>
      </c>
      <c r="B108" t="s">
        <v>4485</v>
      </c>
      <c r="C108" t="s">
        <v>2041</v>
      </c>
      <c r="D108" t="s">
        <v>292</v>
      </c>
      <c r="E108">
        <f>HYPERLINK("https://www.britishcycling.org.uk/points?person_id=102377&amp;year=2019&amp;type=national&amp;d=6","Results")</f>
        <v/>
      </c>
    </row>
    <row r="109" spans="1:5">
      <c r="A109" t="s">
        <v>374</v>
      </c>
      <c r="B109" t="s">
        <v>4486</v>
      </c>
      <c r="C109" t="s">
        <v>1397</v>
      </c>
      <c r="D109" t="s">
        <v>296</v>
      </c>
      <c r="E109">
        <f>HYPERLINK("https://www.britishcycling.org.uk/points?person_id=27758&amp;year=2019&amp;type=national&amp;d=6","Results")</f>
        <v/>
      </c>
    </row>
    <row r="110" spans="1:5">
      <c r="A110" t="s">
        <v>377</v>
      </c>
      <c r="B110" t="s">
        <v>4487</v>
      </c>
      <c r="C110" t="s">
        <v>167</v>
      </c>
      <c r="D110" t="s">
        <v>296</v>
      </c>
      <c r="E110">
        <f>HYPERLINK("https://www.britishcycling.org.uk/points?person_id=170909&amp;year=2019&amp;type=national&amp;d=6","Results")</f>
        <v/>
      </c>
    </row>
    <row r="111" spans="1:5">
      <c r="A111" t="s">
        <v>336</v>
      </c>
      <c r="B111" t="s">
        <v>4488</v>
      </c>
      <c r="C111" t="s">
        <v>1968</v>
      </c>
      <c r="D111" t="s">
        <v>418</v>
      </c>
      <c r="E111">
        <f>HYPERLINK("https://www.britishcycling.org.uk/points?person_id=685922&amp;year=2019&amp;type=national&amp;d=6","Results")</f>
        <v/>
      </c>
    </row>
    <row r="112" spans="1:5">
      <c r="A112" t="s">
        <v>332</v>
      </c>
      <c r="B112" t="s">
        <v>4489</v>
      </c>
      <c r="C112" t="s">
        <v>3106</v>
      </c>
      <c r="D112" t="s">
        <v>416</v>
      </c>
      <c r="E112">
        <f>HYPERLINK("https://www.britishcycling.org.uk/points?person_id=545991&amp;year=2019&amp;type=national&amp;d=6","Results")</f>
        <v/>
      </c>
    </row>
    <row r="113" spans="1:5">
      <c r="A113" t="s">
        <v>384</v>
      </c>
      <c r="B113" t="s">
        <v>4490</v>
      </c>
      <c r="C113" t="s">
        <v>49</v>
      </c>
      <c r="D113" t="s">
        <v>303</v>
      </c>
      <c r="E113">
        <f>HYPERLINK("https://www.britishcycling.org.uk/points?person_id=425868&amp;year=2019&amp;type=national&amp;d=6","Results")</f>
        <v/>
      </c>
    </row>
    <row r="114" spans="1:5">
      <c r="A114" t="s">
        <v>387</v>
      </c>
      <c r="B114" t="s">
        <v>4491</v>
      </c>
      <c r="C114" t="s">
        <v>4303</v>
      </c>
      <c r="D114" t="s">
        <v>410</v>
      </c>
      <c r="E114">
        <f>HYPERLINK("https://www.britishcycling.org.uk/points?person_id=497572&amp;year=2019&amp;type=national&amp;d=6","Results")</f>
        <v/>
      </c>
    </row>
    <row r="115" spans="1:5">
      <c r="A115" t="s">
        <v>389</v>
      </c>
      <c r="B115" t="s">
        <v>4492</v>
      </c>
      <c r="C115" t="s">
        <v>676</v>
      </c>
      <c r="D115" t="s">
        <v>408</v>
      </c>
      <c r="E115">
        <f>HYPERLINK("https://www.britishcycling.org.uk/points?person_id=4656&amp;year=2019&amp;type=national&amp;d=6","Results")</f>
        <v/>
      </c>
    </row>
    <row r="116" spans="1:5">
      <c r="A116" t="s">
        <v>325</v>
      </c>
      <c r="B116" t="s">
        <v>4493</v>
      </c>
      <c r="C116" t="s">
        <v>2096</v>
      </c>
      <c r="D116" t="s">
        <v>408</v>
      </c>
      <c r="E116">
        <f>HYPERLINK("https://www.britishcycling.org.uk/points?person_id=232775&amp;year=2019&amp;type=national&amp;d=6","Results")</f>
        <v/>
      </c>
    </row>
    <row r="117" spans="1:5">
      <c r="A117" t="s">
        <v>393</v>
      </c>
      <c r="B117" t="s">
        <v>4494</v>
      </c>
      <c r="C117" t="s">
        <v>65</v>
      </c>
      <c r="D117" t="s">
        <v>306</v>
      </c>
      <c r="E117">
        <f>HYPERLINK("https://www.britishcycling.org.uk/points?person_id=200168&amp;year=2019&amp;type=national&amp;d=6","Results")</f>
        <v/>
      </c>
    </row>
    <row r="118" spans="1:5">
      <c r="A118" t="s">
        <v>321</v>
      </c>
      <c r="B118" t="s">
        <v>4495</v>
      </c>
      <c r="C118" t="s">
        <v>2297</v>
      </c>
      <c r="D118" t="s">
        <v>306</v>
      </c>
      <c r="E118">
        <f>HYPERLINK("https://www.britishcycling.org.uk/points?person_id=372751&amp;year=2019&amp;type=national&amp;d=6","Results")</f>
        <v/>
      </c>
    </row>
    <row r="119" spans="1:5">
      <c r="A119" t="s">
        <v>316</v>
      </c>
      <c r="B119" t="s">
        <v>4496</v>
      </c>
      <c r="C119" t="s">
        <v>392</v>
      </c>
      <c r="D119" t="s">
        <v>309</v>
      </c>
      <c r="E119">
        <f>HYPERLINK("https://www.britishcycling.org.uk/points?person_id=98988&amp;year=2019&amp;type=national&amp;d=6","Results")</f>
        <v/>
      </c>
    </row>
    <row r="120" spans="1:5">
      <c r="A120" t="s">
        <v>399</v>
      </c>
      <c r="B120" t="s">
        <v>4334</v>
      </c>
      <c r="C120" t="s">
        <v>919</v>
      </c>
      <c r="D120" t="s">
        <v>399</v>
      </c>
      <c r="E120">
        <f>HYPERLINK("https://www.britishcycling.org.uk/points?person_id=447920&amp;year=2019&amp;type=national&amp;d=6","Results")</f>
        <v/>
      </c>
    </row>
    <row r="121" spans="1:5">
      <c r="A121" t="s">
        <v>309</v>
      </c>
      <c r="B121" t="s">
        <v>4497</v>
      </c>
      <c r="C121" t="s">
        <v>887</v>
      </c>
      <c r="D121" t="s">
        <v>316</v>
      </c>
      <c r="E121">
        <f>HYPERLINK("https://www.britishcycling.org.uk/points?person_id=809615&amp;year=2019&amp;type=national&amp;d=6","Results")</f>
        <v/>
      </c>
    </row>
    <row r="122" spans="1:5">
      <c r="A122" t="s">
        <v>306</v>
      </c>
      <c r="B122" t="s">
        <v>4498</v>
      </c>
      <c r="C122" t="s">
        <v>4499</v>
      </c>
      <c r="D122" t="s">
        <v>316</v>
      </c>
      <c r="E122">
        <f>HYPERLINK("https://www.britishcycling.org.uk/points?person_id=556296&amp;year=2019&amp;type=national&amp;d=6","Results")</f>
        <v/>
      </c>
    </row>
    <row r="123" spans="1:5">
      <c r="A123" t="s">
        <v>405</v>
      </c>
      <c r="B123" t="s">
        <v>4500</v>
      </c>
      <c r="C123" t="s">
        <v>4501</v>
      </c>
      <c r="D123" t="s">
        <v>393</v>
      </c>
      <c r="E123">
        <f>HYPERLINK("https://www.britishcycling.org.uk/points?person_id=12586&amp;year=2019&amp;type=national&amp;d=6","Results")</f>
        <v/>
      </c>
    </row>
    <row r="124" spans="1:5">
      <c r="A124" t="s">
        <v>408</v>
      </c>
      <c r="B124" t="s">
        <v>4502</v>
      </c>
      <c r="C124" t="s">
        <v>1397</v>
      </c>
      <c r="D124" t="s">
        <v>325</v>
      </c>
      <c r="E124">
        <f>HYPERLINK("https://www.britishcycling.org.uk/points?person_id=121201&amp;year=2019&amp;type=national&amp;d=6","Results")</f>
        <v/>
      </c>
    </row>
    <row r="125" spans="1:5">
      <c r="A125" t="s">
        <v>410</v>
      </c>
      <c r="B125" t="s">
        <v>4338</v>
      </c>
      <c r="C125" t="s">
        <v>355</v>
      </c>
      <c r="D125" t="s">
        <v>389</v>
      </c>
      <c r="E125">
        <f>HYPERLINK("https://www.britishcycling.org.uk/points?person_id=789763&amp;year=2019&amp;type=national&amp;d=6","Results")</f>
        <v/>
      </c>
    </row>
    <row r="126" spans="1:5">
      <c r="A126" t="s">
        <v>303</v>
      </c>
      <c r="B126" t="s">
        <v>4503</v>
      </c>
      <c r="C126" t="s"/>
      <c r="D126" t="s">
        <v>387</v>
      </c>
      <c r="E126">
        <f>HYPERLINK("https://www.britishcycling.org.uk/points?person_id=602957&amp;year=2019&amp;type=national&amp;d=6","Results")</f>
        <v/>
      </c>
    </row>
    <row r="127" spans="1:5">
      <c r="A127" t="s">
        <v>414</v>
      </c>
      <c r="B127" t="s">
        <v>4504</v>
      </c>
      <c r="C127" t="s">
        <v>656</v>
      </c>
      <c r="D127" t="s">
        <v>387</v>
      </c>
      <c r="E127">
        <f>HYPERLINK("https://www.britishcycling.org.uk/points?person_id=313214&amp;year=2019&amp;type=national&amp;d=6","Results")</f>
        <v/>
      </c>
    </row>
    <row r="128" spans="1:5">
      <c r="A128" t="s">
        <v>416</v>
      </c>
      <c r="B128" t="s">
        <v>4333</v>
      </c>
      <c r="C128" t="s">
        <v>101</v>
      </c>
      <c r="D128" t="s">
        <v>384</v>
      </c>
      <c r="E128">
        <f>HYPERLINK("https://www.britishcycling.org.uk/points?person_id=222586&amp;year=2019&amp;type=national&amp;d=6","Results")</f>
        <v/>
      </c>
    </row>
    <row r="129" spans="1:5">
      <c r="A129" t="s">
        <v>418</v>
      </c>
      <c r="B129" t="s">
        <v>4505</v>
      </c>
      <c r="C129" t="s">
        <v>615</v>
      </c>
      <c r="D129" t="s">
        <v>336</v>
      </c>
      <c r="E129">
        <f>HYPERLINK("https://www.britishcycling.org.uk/points?person_id=48888&amp;year=2019&amp;type=national&amp;d=6","Results")</f>
        <v/>
      </c>
    </row>
    <row r="130" spans="1:5">
      <c r="A130" t="s">
        <v>300</v>
      </c>
      <c r="B130" t="s">
        <v>4506</v>
      </c>
      <c r="C130" t="s">
        <v>4421</v>
      </c>
      <c r="D130" t="s">
        <v>377</v>
      </c>
      <c r="E130">
        <f>HYPERLINK("https://www.britishcycling.org.uk/points?person_id=317494&amp;year=2019&amp;type=national&amp;d=6","Results")</f>
        <v/>
      </c>
    </row>
    <row r="131" spans="1:5">
      <c r="A131" t="s">
        <v>296</v>
      </c>
      <c r="B131" t="s">
        <v>4507</v>
      </c>
      <c r="C131" t="s">
        <v>1869</v>
      </c>
      <c r="D131" t="s">
        <v>370</v>
      </c>
      <c r="E131">
        <f>HYPERLINK("https://www.britishcycling.org.uk/points?person_id=269927&amp;year=2019&amp;type=national&amp;d=6","Results")</f>
        <v/>
      </c>
    </row>
    <row r="132" spans="1:5">
      <c r="A132" t="s">
        <v>292</v>
      </c>
      <c r="B132" t="s">
        <v>4508</v>
      </c>
      <c r="C132" t="s">
        <v>1701</v>
      </c>
      <c r="D132" t="s">
        <v>368</v>
      </c>
      <c r="E132">
        <f>HYPERLINK("https://www.britishcycling.org.uk/points?person_id=617730&amp;year=2019&amp;type=national&amp;d=6","Results")</f>
        <v/>
      </c>
    </row>
    <row r="133" spans="1:5">
      <c r="A133" t="s">
        <v>288</v>
      </c>
      <c r="B133" t="s">
        <v>4509</v>
      </c>
      <c r="C133" t="s">
        <v>3577</v>
      </c>
      <c r="D133" t="s">
        <v>368</v>
      </c>
      <c r="E133">
        <f>HYPERLINK("https://www.britishcycling.org.uk/points?person_id=336775&amp;year=2019&amp;type=national&amp;d=6","Results")</f>
        <v/>
      </c>
    </row>
    <row r="134" spans="1:5">
      <c r="A134" t="s">
        <v>425</v>
      </c>
      <c r="B134" t="s">
        <v>4510</v>
      </c>
      <c r="C134" t="s">
        <v>363</v>
      </c>
      <c r="D134" t="s">
        <v>368</v>
      </c>
      <c r="E134">
        <f>HYPERLINK("https://www.britishcycling.org.uk/points?person_id=506772&amp;year=2019&amp;type=national&amp;d=6","Results")</f>
        <v/>
      </c>
    </row>
    <row r="135" spans="1:5">
      <c r="A135" t="s">
        <v>284</v>
      </c>
      <c r="B135" t="s">
        <v>4511</v>
      </c>
      <c r="C135" t="s">
        <v>3452</v>
      </c>
      <c r="D135" t="s">
        <v>364</v>
      </c>
      <c r="E135">
        <f>HYPERLINK("https://www.britishcycling.org.uk/points?person_id=47153&amp;year=2019&amp;type=national&amp;d=6","Results")</f>
        <v/>
      </c>
    </row>
    <row r="136" spans="1:5">
      <c r="A136" t="s">
        <v>430</v>
      </c>
      <c r="B136" t="s">
        <v>4512</v>
      </c>
      <c r="C136" t="s">
        <v>15</v>
      </c>
      <c r="D136" t="s">
        <v>359</v>
      </c>
      <c r="E136">
        <f>HYPERLINK("https://www.britishcycling.org.uk/points?person_id=687464&amp;year=2019&amp;type=national&amp;d=6","Results")</f>
        <v/>
      </c>
    </row>
    <row r="137" spans="1:5">
      <c r="A137" t="s">
        <v>432</v>
      </c>
      <c r="B137" t="s">
        <v>4513</v>
      </c>
      <c r="C137" t="s">
        <v>1699</v>
      </c>
      <c r="D137" t="s">
        <v>359</v>
      </c>
      <c r="E137">
        <f>HYPERLINK("https://www.britishcycling.org.uk/points?person_id=854563&amp;year=2019&amp;type=national&amp;d=6","Results")</f>
        <v/>
      </c>
    </row>
    <row r="138" spans="1:5">
      <c r="A138" t="s">
        <v>280</v>
      </c>
      <c r="B138" t="s">
        <v>4514</v>
      </c>
      <c r="C138" t="s">
        <v>2221</v>
      </c>
      <c r="D138" t="s">
        <v>359</v>
      </c>
      <c r="E138">
        <f>HYPERLINK("https://www.britishcycling.org.uk/points?person_id=773629&amp;year=2019&amp;type=national&amp;d=6","Results")</f>
        <v/>
      </c>
    </row>
    <row r="139" spans="1:5">
      <c r="A139" t="s">
        <v>436</v>
      </c>
      <c r="B139" t="s">
        <v>4323</v>
      </c>
      <c r="C139" t="s">
        <v>4324</v>
      </c>
      <c r="D139" t="s">
        <v>350</v>
      </c>
      <c r="E139">
        <f>HYPERLINK("https://www.britishcycling.org.uk/points?person_id=407645&amp;year=2019&amp;type=national&amp;d=6","Results")</f>
        <v/>
      </c>
    </row>
    <row r="140" spans="1:5">
      <c r="A140" t="s">
        <v>276</v>
      </c>
      <c r="B140" t="s">
        <v>4515</v>
      </c>
      <c r="C140" t="s"/>
      <c r="D140" t="s">
        <v>350</v>
      </c>
      <c r="E140">
        <f>HYPERLINK("https://www.britishcycling.org.uk/points?person_id=838121&amp;year=2019&amp;type=national&amp;d=6","Results")</f>
        <v/>
      </c>
    </row>
    <row r="141" spans="1:5">
      <c r="A141" t="s">
        <v>439</v>
      </c>
      <c r="B141" t="s">
        <v>4516</v>
      </c>
      <c r="C141" t="s">
        <v>2000</v>
      </c>
      <c r="D141" t="s">
        <v>347</v>
      </c>
      <c r="E141">
        <f>HYPERLINK("https://www.britishcycling.org.uk/points?person_id=130758&amp;year=2019&amp;type=national&amp;d=6","Results")</f>
        <v/>
      </c>
    </row>
    <row r="142" spans="1:5">
      <c r="A142" t="s">
        <v>273</v>
      </c>
      <c r="B142" t="s">
        <v>4517</v>
      </c>
      <c r="C142" t="s">
        <v>3774</v>
      </c>
      <c r="D142" t="s">
        <v>347</v>
      </c>
      <c r="E142">
        <f>HYPERLINK("https://www.britishcycling.org.uk/points?person_id=646606&amp;year=2019&amp;type=national&amp;d=6","Results")</f>
        <v/>
      </c>
    </row>
    <row r="143" spans="1:5">
      <c r="A143" t="s">
        <v>269</v>
      </c>
      <c r="B143" t="s">
        <v>4518</v>
      </c>
      <c r="C143" t="s">
        <v>1704</v>
      </c>
      <c r="D143" t="s">
        <v>347</v>
      </c>
      <c r="E143">
        <f>HYPERLINK("https://www.britishcycling.org.uk/points?person_id=192458&amp;year=2019&amp;type=national&amp;d=6","Results")</f>
        <v/>
      </c>
    </row>
    <row r="144" spans="1:5">
      <c r="A144" t="s">
        <v>266</v>
      </c>
      <c r="B144" t="s">
        <v>4519</v>
      </c>
      <c r="C144" t="s">
        <v>3518</v>
      </c>
      <c r="D144" t="s">
        <v>344</v>
      </c>
      <c r="E144">
        <f>HYPERLINK("https://www.britishcycling.org.uk/points?person_id=566711&amp;year=2019&amp;type=national&amp;d=6","Results")</f>
        <v/>
      </c>
    </row>
    <row r="145" spans="1:5">
      <c r="A145" t="s">
        <v>263</v>
      </c>
      <c r="B145" t="s">
        <v>4520</v>
      </c>
      <c r="C145" t="s">
        <v>3427</v>
      </c>
      <c r="D145" t="s">
        <v>341</v>
      </c>
      <c r="E145">
        <f>HYPERLINK("https://www.britishcycling.org.uk/points?person_id=41795&amp;year=2019&amp;type=national&amp;d=6","Results")</f>
        <v/>
      </c>
    </row>
    <row r="146" spans="1:5">
      <c r="A146" t="s">
        <v>448</v>
      </c>
      <c r="B146" t="s">
        <v>4327</v>
      </c>
      <c r="C146" t="s">
        <v>45</v>
      </c>
      <c r="D146" t="s">
        <v>333</v>
      </c>
      <c r="E146">
        <f>HYPERLINK("https://www.britishcycling.org.uk/points?person_id=409657&amp;year=2019&amp;type=national&amp;d=6","Results")</f>
        <v/>
      </c>
    </row>
    <row r="147" spans="1:5">
      <c r="A147" t="s">
        <v>450</v>
      </c>
      <c r="B147" t="s">
        <v>4521</v>
      </c>
      <c r="C147" t="s">
        <v>4522</v>
      </c>
      <c r="D147" t="s">
        <v>326</v>
      </c>
      <c r="E147">
        <f>HYPERLINK("https://www.britishcycling.org.uk/points?person_id=76028&amp;year=2019&amp;type=national&amp;d=6","Results")</f>
        <v/>
      </c>
    </row>
    <row r="148" spans="1:5">
      <c r="A148" t="s">
        <v>452</v>
      </c>
      <c r="B148" t="s">
        <v>4523</v>
      </c>
      <c r="C148" t="s">
        <v>1195</v>
      </c>
      <c r="D148" t="s">
        <v>326</v>
      </c>
      <c r="E148">
        <f>HYPERLINK("https://www.britishcycling.org.uk/points?person_id=497498&amp;year=2019&amp;type=national&amp;d=6","Results")</f>
        <v/>
      </c>
    </row>
    <row r="149" spans="1:5">
      <c r="A149" t="s">
        <v>454</v>
      </c>
      <c r="B149" t="s">
        <v>4524</v>
      </c>
      <c r="C149" t="s">
        <v>1335</v>
      </c>
      <c r="D149" t="s">
        <v>326</v>
      </c>
      <c r="E149">
        <f>HYPERLINK("https://www.britishcycling.org.uk/points?person_id=74701&amp;year=2019&amp;type=national&amp;d=6","Results")</f>
        <v/>
      </c>
    </row>
    <row r="150" spans="1:5">
      <c r="A150" t="s">
        <v>456</v>
      </c>
      <c r="B150" t="s">
        <v>4525</v>
      </c>
      <c r="C150" t="s">
        <v>1494</v>
      </c>
      <c r="D150" t="s">
        <v>326</v>
      </c>
      <c r="E150">
        <f>HYPERLINK("https://www.britishcycling.org.uk/points?person_id=528254&amp;year=2019&amp;type=national&amp;d=6","Results")</f>
        <v/>
      </c>
    </row>
    <row r="151" spans="1:5">
      <c r="A151" t="s">
        <v>458</v>
      </c>
      <c r="B151" t="s">
        <v>4526</v>
      </c>
      <c r="C151" t="s">
        <v>2188</v>
      </c>
      <c r="D151" t="s">
        <v>301</v>
      </c>
      <c r="E151">
        <f>HYPERLINK("https://www.britishcycling.org.uk/points?person_id=650610&amp;year=2019&amp;type=national&amp;d=6","Results")</f>
        <v/>
      </c>
    </row>
    <row r="152" spans="1:5">
      <c r="A152" t="s">
        <v>256</v>
      </c>
      <c r="B152" t="s">
        <v>4336</v>
      </c>
      <c r="C152" t="s">
        <v>1160</v>
      </c>
      <c r="D152" t="s">
        <v>293</v>
      </c>
      <c r="E152">
        <f>HYPERLINK("https://www.britishcycling.org.uk/points?person_id=129788&amp;year=2019&amp;type=national&amp;d=6","Results")</f>
        <v/>
      </c>
    </row>
    <row r="153" spans="1:5">
      <c r="A153" t="s">
        <v>253</v>
      </c>
      <c r="B153" t="s">
        <v>4527</v>
      </c>
      <c r="C153" t="s">
        <v>4522</v>
      </c>
      <c r="D153" t="s">
        <v>289</v>
      </c>
      <c r="E153">
        <f>HYPERLINK("https://www.britishcycling.org.uk/points?person_id=280914&amp;year=2019&amp;type=national&amp;d=6","Results")</f>
        <v/>
      </c>
    </row>
    <row r="154" spans="1:5">
      <c r="A154" t="s">
        <v>463</v>
      </c>
      <c r="B154" t="s">
        <v>4528</v>
      </c>
      <c r="C154" t="s">
        <v>3427</v>
      </c>
      <c r="D154" t="s">
        <v>285</v>
      </c>
      <c r="E154">
        <f>HYPERLINK("https://www.britishcycling.org.uk/points?person_id=47037&amp;year=2019&amp;type=national&amp;d=6","Results")</f>
        <v/>
      </c>
    </row>
    <row r="155" spans="1:5">
      <c r="A155" t="s">
        <v>465</v>
      </c>
      <c r="B155" t="s">
        <v>4529</v>
      </c>
      <c r="C155" t="s">
        <v>4530</v>
      </c>
      <c r="D155" t="s">
        <v>285</v>
      </c>
      <c r="E155">
        <f>HYPERLINK("https://www.britishcycling.org.uk/points?person_id=234166&amp;year=2019&amp;type=national&amp;d=6","Results")</f>
        <v/>
      </c>
    </row>
    <row r="156" spans="1:5">
      <c r="A156" t="s">
        <v>467</v>
      </c>
      <c r="B156" t="s">
        <v>4531</v>
      </c>
      <c r="C156" t="s">
        <v>1863</v>
      </c>
      <c r="D156" t="s">
        <v>281</v>
      </c>
      <c r="E156">
        <f>HYPERLINK("https://www.britishcycling.org.uk/points?person_id=105889&amp;year=2019&amp;type=national&amp;d=6","Results")</f>
        <v/>
      </c>
    </row>
    <row r="157" spans="1:5">
      <c r="A157" t="s">
        <v>470</v>
      </c>
      <c r="B157" t="s">
        <v>4532</v>
      </c>
      <c r="C157" t="s">
        <v>1736</v>
      </c>
      <c r="D157" t="s">
        <v>277</v>
      </c>
      <c r="E157">
        <f>HYPERLINK("https://www.britishcycling.org.uk/points?person_id=684240&amp;year=2019&amp;type=national&amp;d=6","Results")</f>
        <v/>
      </c>
    </row>
    <row r="158" spans="1:5">
      <c r="A158" t="s">
        <v>473</v>
      </c>
      <c r="B158" t="s">
        <v>4533</v>
      </c>
      <c r="C158" t="s">
        <v>4534</v>
      </c>
      <c r="D158" t="s">
        <v>277</v>
      </c>
      <c r="E158">
        <f>HYPERLINK("https://www.britishcycling.org.uk/points?person_id=307112&amp;year=2019&amp;type=national&amp;d=6","Results")</f>
        <v/>
      </c>
    </row>
    <row r="159" spans="1:5">
      <c r="A159" t="s">
        <v>246</v>
      </c>
      <c r="B159" t="s">
        <v>4535</v>
      </c>
      <c r="C159" t="s">
        <v>4436</v>
      </c>
      <c r="D159" t="s">
        <v>277</v>
      </c>
      <c r="E159">
        <f>HYPERLINK("https://www.britishcycling.org.uk/points?person_id=578079&amp;year=2019&amp;type=national&amp;d=6","Results")</f>
        <v/>
      </c>
    </row>
    <row r="160" spans="1:5">
      <c r="A160" t="s">
        <v>477</v>
      </c>
      <c r="B160" t="s">
        <v>4536</v>
      </c>
      <c r="C160" t="s">
        <v>2380</v>
      </c>
      <c r="D160" t="s">
        <v>270</v>
      </c>
      <c r="E160">
        <f>HYPERLINK("https://www.britishcycling.org.uk/points?person_id=35533&amp;year=2019&amp;type=national&amp;d=6","Results")</f>
        <v/>
      </c>
    </row>
    <row r="161" spans="1:5">
      <c r="A161" t="s">
        <v>480</v>
      </c>
      <c r="B161" t="s">
        <v>4537</v>
      </c>
      <c r="C161" t="s">
        <v>259</v>
      </c>
      <c r="D161" t="s">
        <v>270</v>
      </c>
      <c r="E161">
        <f>HYPERLINK("https://www.britishcycling.org.uk/points?person_id=171752&amp;year=2019&amp;type=national&amp;d=6","Results")</f>
        <v/>
      </c>
    </row>
    <row r="162" spans="1:5">
      <c r="A162" t="s">
        <v>482</v>
      </c>
      <c r="B162" t="s">
        <v>4538</v>
      </c>
      <c r="C162" t="s">
        <v>1397</v>
      </c>
      <c r="D162" t="s">
        <v>264</v>
      </c>
      <c r="E162">
        <f>HYPERLINK("https://www.britishcycling.org.uk/points?person_id=333365&amp;year=2019&amp;type=national&amp;d=6","Results")</f>
        <v/>
      </c>
    </row>
    <row r="163" spans="1:5">
      <c r="A163" t="s">
        <v>484</v>
      </c>
      <c r="B163" t="s">
        <v>4539</v>
      </c>
      <c r="C163" t="s">
        <v>15</v>
      </c>
      <c r="D163" t="s">
        <v>257</v>
      </c>
      <c r="E163">
        <f>HYPERLINK("https://www.britishcycling.org.uk/points?person_id=180763&amp;year=2019&amp;type=national&amp;d=6","Results")</f>
        <v/>
      </c>
    </row>
    <row r="164" spans="1:5">
      <c r="A164" t="s">
        <v>243</v>
      </c>
      <c r="B164" t="s">
        <v>4540</v>
      </c>
      <c r="C164" t="s">
        <v>1526</v>
      </c>
      <c r="D164" t="s">
        <v>257</v>
      </c>
      <c r="E164">
        <f>HYPERLINK("https://www.britishcycling.org.uk/points?person_id=251084&amp;year=2019&amp;type=national&amp;d=6","Results")</f>
        <v/>
      </c>
    </row>
    <row r="165" spans="1:5">
      <c r="A165" t="s">
        <v>235</v>
      </c>
      <c r="B165" t="s">
        <v>4541</v>
      </c>
      <c r="C165" t="s">
        <v>1738</v>
      </c>
      <c r="D165" t="s">
        <v>257</v>
      </c>
      <c r="E165">
        <f>HYPERLINK("https://www.britishcycling.org.uk/points?person_id=21208&amp;year=2019&amp;type=national&amp;d=6","Results")</f>
        <v/>
      </c>
    </row>
    <row r="166" spans="1:5">
      <c r="A166" t="s">
        <v>488</v>
      </c>
      <c r="B166" t="s">
        <v>4542</v>
      </c>
      <c r="C166" t="s">
        <v>4543</v>
      </c>
      <c r="D166" t="s">
        <v>257</v>
      </c>
      <c r="E166">
        <f>HYPERLINK("https://www.britishcycling.org.uk/points?person_id=527931&amp;year=2019&amp;type=national&amp;d=6","Results")</f>
        <v/>
      </c>
    </row>
    <row r="167" spans="1:5">
      <c r="A167" t="s">
        <v>490</v>
      </c>
      <c r="B167" t="s">
        <v>4544</v>
      </c>
      <c r="C167" t="s">
        <v>1968</v>
      </c>
      <c r="D167" t="s">
        <v>254</v>
      </c>
      <c r="E167">
        <f>HYPERLINK("https://www.britishcycling.org.uk/points?person_id=527263&amp;year=2019&amp;type=national&amp;d=6","Results")</f>
        <v/>
      </c>
    </row>
    <row r="168" spans="1:5">
      <c r="A168" t="s">
        <v>231</v>
      </c>
      <c r="B168" t="s">
        <v>4545</v>
      </c>
      <c r="C168" t="s">
        <v>475</v>
      </c>
      <c r="D168" t="s">
        <v>254</v>
      </c>
      <c r="E168">
        <f>HYPERLINK("https://www.britishcycling.org.uk/points?person_id=181932&amp;year=2019&amp;type=national&amp;d=6","Results")</f>
        <v/>
      </c>
    </row>
    <row r="169" spans="1:5">
      <c r="A169" t="s">
        <v>493</v>
      </c>
      <c r="B169" t="s">
        <v>4546</v>
      </c>
      <c r="C169" t="s">
        <v>1370</v>
      </c>
      <c r="D169" t="s">
        <v>247</v>
      </c>
      <c r="E169">
        <f>HYPERLINK("https://www.britishcycling.org.uk/points?person_id=377653&amp;year=2019&amp;type=national&amp;d=6","Results")</f>
        <v/>
      </c>
    </row>
    <row r="170" spans="1:5">
      <c r="A170" t="s">
        <v>496</v>
      </c>
      <c r="B170" t="s">
        <v>4547</v>
      </c>
      <c r="C170" t="s">
        <v>1694</v>
      </c>
      <c r="D170" t="s">
        <v>239</v>
      </c>
      <c r="E170">
        <f>HYPERLINK("https://www.britishcycling.org.uk/points?person_id=554230&amp;year=2019&amp;type=national&amp;d=6","Results")</f>
        <v/>
      </c>
    </row>
    <row r="171" spans="1:5">
      <c r="A171" t="s">
        <v>499</v>
      </c>
      <c r="B171" t="s">
        <v>4310</v>
      </c>
      <c r="C171" t="s">
        <v>174</v>
      </c>
      <c r="D171" t="s">
        <v>236</v>
      </c>
      <c r="E171">
        <f>HYPERLINK("https://www.britishcycling.org.uk/points?person_id=411365&amp;year=2019&amp;type=national&amp;d=6","Results")</f>
        <v/>
      </c>
    </row>
    <row r="172" spans="1:5">
      <c r="A172" t="s">
        <v>501</v>
      </c>
      <c r="B172" t="s">
        <v>4548</v>
      </c>
      <c r="C172" t="s">
        <v>4549</v>
      </c>
      <c r="D172" t="s">
        <v>228</v>
      </c>
      <c r="E172">
        <f>HYPERLINK("https://www.britishcycling.org.uk/points?person_id=98016&amp;year=2019&amp;type=national&amp;d=6","Results")</f>
        <v/>
      </c>
    </row>
    <row r="173" spans="1:5">
      <c r="A173" t="s">
        <v>227</v>
      </c>
      <c r="B173" t="s">
        <v>4550</v>
      </c>
      <c r="C173" t="s">
        <v>1373</v>
      </c>
      <c r="D173" t="s">
        <v>225</v>
      </c>
      <c r="E173">
        <f>HYPERLINK("https://www.britishcycling.org.uk/points?person_id=130359&amp;year=2019&amp;type=national&amp;d=6","Results")</f>
        <v/>
      </c>
    </row>
    <row r="174" spans="1:5">
      <c r="A174" t="s">
        <v>224</v>
      </c>
      <c r="B174" t="s">
        <v>4551</v>
      </c>
      <c r="C174" t="s">
        <v>2682</v>
      </c>
      <c r="D174" t="s">
        <v>225</v>
      </c>
      <c r="E174">
        <f>HYPERLINK("https://www.britishcycling.org.uk/points?person_id=139134&amp;year=2019&amp;type=national&amp;d=6","Results")</f>
        <v/>
      </c>
    </row>
    <row r="175" spans="1:5">
      <c r="A175" t="s">
        <v>507</v>
      </c>
      <c r="B175" t="s">
        <v>4552</v>
      </c>
      <c r="C175" t="s">
        <v>33</v>
      </c>
      <c r="D175" t="s">
        <v>221</v>
      </c>
      <c r="E175">
        <f>HYPERLINK("https://www.britishcycling.org.uk/points?person_id=751391&amp;year=2019&amp;type=national&amp;d=6","Results")</f>
        <v/>
      </c>
    </row>
    <row r="176" spans="1:5">
      <c r="A176" t="s">
        <v>509</v>
      </c>
      <c r="B176" t="s">
        <v>4553</v>
      </c>
      <c r="C176" t="s">
        <v>1397</v>
      </c>
      <c r="D176" t="s">
        <v>221</v>
      </c>
      <c r="E176">
        <f>HYPERLINK("https://www.britishcycling.org.uk/points?person_id=870930&amp;year=2019&amp;type=national&amp;d=6","Results")</f>
        <v/>
      </c>
    </row>
    <row r="177" spans="1:5">
      <c r="A177" t="s">
        <v>512</v>
      </c>
      <c r="B177" t="s">
        <v>4554</v>
      </c>
      <c r="C177" t="s">
        <v>4555</v>
      </c>
      <c r="D177" t="s">
        <v>221</v>
      </c>
      <c r="E177">
        <f>HYPERLINK("https://www.britishcycling.org.uk/points?person_id=202214&amp;year=2019&amp;type=national&amp;d=6","Results")</f>
        <v/>
      </c>
    </row>
    <row r="178" spans="1:5">
      <c r="A178" t="s">
        <v>515</v>
      </c>
      <c r="B178" t="s">
        <v>4556</v>
      </c>
      <c r="C178" t="s">
        <v>4477</v>
      </c>
      <c r="D178" t="s">
        <v>218</v>
      </c>
      <c r="E178">
        <f>HYPERLINK("https://www.britishcycling.org.uk/points?person_id=256005&amp;year=2019&amp;type=national&amp;d=6","Results")</f>
        <v/>
      </c>
    </row>
    <row r="179" spans="1:5">
      <c r="A179" t="s">
        <v>220</v>
      </c>
      <c r="B179" t="s">
        <v>4557</v>
      </c>
      <c r="C179" t="s">
        <v>3427</v>
      </c>
      <c r="D179" t="s">
        <v>218</v>
      </c>
      <c r="E179">
        <f>HYPERLINK("https://www.britishcycling.org.uk/points?person_id=41520&amp;year=2019&amp;type=national&amp;d=6","Results")</f>
        <v/>
      </c>
    </row>
    <row r="180" spans="1:5">
      <c r="A180" t="s">
        <v>217</v>
      </c>
      <c r="B180" t="s">
        <v>4558</v>
      </c>
      <c r="C180" t="s">
        <v>324</v>
      </c>
      <c r="D180" t="s">
        <v>218</v>
      </c>
      <c r="E180">
        <f>HYPERLINK("https://www.britishcycling.org.uk/points?person_id=308240&amp;year=2019&amp;type=national&amp;d=6","Results")</f>
        <v/>
      </c>
    </row>
    <row r="181" spans="1:5">
      <c r="A181" t="s">
        <v>519</v>
      </c>
      <c r="B181" t="s">
        <v>4329</v>
      </c>
      <c r="C181" t="s">
        <v>331</v>
      </c>
      <c r="D181" t="s">
        <v>218</v>
      </c>
      <c r="E181">
        <f>HYPERLINK("https://www.britishcycling.org.uk/points?person_id=205209&amp;year=2019&amp;type=national&amp;d=6","Results")</f>
        <v/>
      </c>
    </row>
    <row r="182" spans="1:5">
      <c r="A182" t="s">
        <v>521</v>
      </c>
      <c r="B182" t="s">
        <v>4328</v>
      </c>
      <c r="C182" t="s">
        <v>403</v>
      </c>
      <c r="D182" t="s">
        <v>210</v>
      </c>
      <c r="E182">
        <f>HYPERLINK("https://www.britishcycling.org.uk/points?person_id=134753&amp;year=2019&amp;type=national&amp;d=6","Results")</f>
        <v/>
      </c>
    </row>
    <row r="183" spans="1:5">
      <c r="A183" t="s">
        <v>523</v>
      </c>
      <c r="B183" t="s">
        <v>4559</v>
      </c>
      <c r="C183" t="s">
        <v>4560</v>
      </c>
      <c r="D183" t="s">
        <v>210</v>
      </c>
      <c r="E183">
        <f>HYPERLINK("https://www.britishcycling.org.uk/points?person_id=126154&amp;year=2019&amp;type=national&amp;d=6","Results")</f>
        <v/>
      </c>
    </row>
    <row r="184" spans="1:5">
      <c r="A184" t="s">
        <v>213</v>
      </c>
      <c r="B184" t="s">
        <v>4561</v>
      </c>
      <c r="C184" t="s">
        <v>3774</v>
      </c>
      <c r="D184" t="s">
        <v>207</v>
      </c>
      <c r="E184">
        <f>HYPERLINK("https://www.britishcycling.org.uk/points?person_id=456474&amp;year=2019&amp;type=national&amp;d=6","Results")</f>
        <v/>
      </c>
    </row>
    <row r="185" spans="1:5">
      <c r="A185" t="s">
        <v>209</v>
      </c>
      <c r="B185" t="s">
        <v>4562</v>
      </c>
      <c r="C185" t="s">
        <v>1056</v>
      </c>
      <c r="D185" t="s">
        <v>203</v>
      </c>
      <c r="E185">
        <f>HYPERLINK("https://www.britishcycling.org.uk/points?person_id=611435&amp;year=2019&amp;type=national&amp;d=6","Results")</f>
        <v/>
      </c>
    </row>
    <row r="186" spans="1:5">
      <c r="A186" t="s">
        <v>527</v>
      </c>
      <c r="B186" t="s">
        <v>4563</v>
      </c>
      <c r="C186" t="s">
        <v>113</v>
      </c>
      <c r="D186" t="s">
        <v>199</v>
      </c>
      <c r="E186">
        <f>HYPERLINK("https://www.britishcycling.org.uk/points?person_id=834036&amp;year=2019&amp;type=national&amp;d=6","Results")</f>
        <v/>
      </c>
    </row>
    <row r="187" spans="1:5">
      <c r="A187" t="s">
        <v>529</v>
      </c>
      <c r="B187" t="s">
        <v>4564</v>
      </c>
      <c r="C187" t="s">
        <v>2702</v>
      </c>
      <c r="D187" t="s">
        <v>199</v>
      </c>
      <c r="E187">
        <f>HYPERLINK("https://www.britishcycling.org.uk/points?person_id=545693&amp;year=2019&amp;type=national&amp;d=6","Results")</f>
        <v/>
      </c>
    </row>
    <row r="188" spans="1:5">
      <c r="A188" t="s">
        <v>532</v>
      </c>
      <c r="B188" t="s">
        <v>4565</v>
      </c>
      <c r="C188" t="s">
        <v>1971</v>
      </c>
      <c r="D188" t="s">
        <v>192</v>
      </c>
      <c r="E188">
        <f>HYPERLINK("https://www.britishcycling.org.uk/points?person_id=846241&amp;year=2019&amp;type=national&amp;d=6","Results")</f>
        <v/>
      </c>
    </row>
    <row r="189" spans="1:5">
      <c r="A189" t="s">
        <v>534</v>
      </c>
      <c r="B189" t="s">
        <v>4566</v>
      </c>
      <c r="C189" t="s">
        <v>312</v>
      </c>
      <c r="D189" t="s">
        <v>192</v>
      </c>
      <c r="E189">
        <f>HYPERLINK("https://www.britishcycling.org.uk/points?person_id=294391&amp;year=2019&amp;type=national&amp;d=6","Results")</f>
        <v/>
      </c>
    </row>
    <row r="190" spans="1:5">
      <c r="A190" t="s">
        <v>536</v>
      </c>
      <c r="B190" t="s">
        <v>4345</v>
      </c>
      <c r="C190" t="s">
        <v>4346</v>
      </c>
      <c r="D190" t="s">
        <v>184</v>
      </c>
      <c r="E190">
        <f>HYPERLINK("https://www.britishcycling.org.uk/points?person_id=242396&amp;year=2019&amp;type=national&amp;d=6","Results")</f>
        <v/>
      </c>
    </row>
    <row r="191" spans="1:5">
      <c r="A191" t="s">
        <v>206</v>
      </c>
      <c r="B191" t="s">
        <v>4567</v>
      </c>
      <c r="C191" t="s">
        <v>358</v>
      </c>
      <c r="D191" t="s">
        <v>184</v>
      </c>
      <c r="E191">
        <f>HYPERLINK("https://www.britishcycling.org.uk/points?person_id=439182&amp;year=2019&amp;type=national&amp;d=6","Results")</f>
        <v/>
      </c>
    </row>
    <row r="192" spans="1:5">
      <c r="A192" t="s">
        <v>539</v>
      </c>
      <c r="B192" t="s">
        <v>4568</v>
      </c>
      <c r="C192" t="s">
        <v>2096</v>
      </c>
      <c r="D192" t="s">
        <v>180</v>
      </c>
      <c r="E192">
        <f>HYPERLINK("https://www.britishcycling.org.uk/points?person_id=621027&amp;year=2019&amp;type=national&amp;d=6","Results")</f>
        <v/>
      </c>
    </row>
    <row r="193" spans="1:5">
      <c r="A193" t="s">
        <v>542</v>
      </c>
      <c r="B193" t="s">
        <v>4569</v>
      </c>
      <c r="C193" t="s">
        <v>1354</v>
      </c>
      <c r="D193" t="s">
        <v>180</v>
      </c>
      <c r="E193">
        <f>HYPERLINK("https://www.britishcycling.org.uk/points?person_id=464080&amp;year=2019&amp;type=national&amp;d=6","Results")</f>
        <v/>
      </c>
    </row>
    <row r="194" spans="1:5">
      <c r="A194" t="s">
        <v>544</v>
      </c>
      <c r="B194" t="s">
        <v>4570</v>
      </c>
      <c r="C194" t="s">
        <v>1819</v>
      </c>
      <c r="D194" t="s">
        <v>180</v>
      </c>
      <c r="E194">
        <f>HYPERLINK("https://www.britishcycling.org.uk/points?person_id=175528&amp;year=2019&amp;type=national&amp;d=6","Results")</f>
        <v/>
      </c>
    </row>
    <row r="195" spans="1:5">
      <c r="A195" t="s">
        <v>546</v>
      </c>
      <c r="B195" t="s">
        <v>4571</v>
      </c>
      <c r="C195" t="s">
        <v>4572</v>
      </c>
      <c r="D195" t="s">
        <v>176</v>
      </c>
      <c r="E195">
        <f>HYPERLINK("https://www.britishcycling.org.uk/points?person_id=176998&amp;year=2019&amp;type=national&amp;d=6","Results")</f>
        <v/>
      </c>
    </row>
    <row r="196" spans="1:5">
      <c r="A196" t="s">
        <v>549</v>
      </c>
      <c r="B196" t="s">
        <v>4573</v>
      </c>
      <c r="C196" t="s">
        <v>2857</v>
      </c>
      <c r="D196" t="s">
        <v>176</v>
      </c>
      <c r="E196">
        <f>HYPERLINK("https://www.britishcycling.org.uk/points?person_id=411912&amp;year=2019&amp;type=national&amp;d=6","Results")</f>
        <v/>
      </c>
    </row>
    <row r="197" spans="1:5">
      <c r="A197" t="s">
        <v>552</v>
      </c>
      <c r="B197" t="s">
        <v>4574</v>
      </c>
      <c r="C197" t="s"/>
      <c r="D197" t="s">
        <v>172</v>
      </c>
      <c r="E197">
        <f>HYPERLINK("https://www.britishcycling.org.uk/points?person_id=53231&amp;year=2019&amp;type=national&amp;d=6","Results")</f>
        <v/>
      </c>
    </row>
    <row r="198" spans="1:5">
      <c r="A198" t="s">
        <v>555</v>
      </c>
      <c r="B198" t="s">
        <v>4320</v>
      </c>
      <c r="C198" t="s">
        <v>4055</v>
      </c>
      <c r="D198" t="s">
        <v>168</v>
      </c>
      <c r="E198">
        <f>HYPERLINK("https://www.britishcycling.org.uk/points?person_id=327741&amp;year=2019&amp;type=national&amp;d=6","Results")</f>
        <v/>
      </c>
    </row>
    <row r="199" spans="1:5">
      <c r="A199" t="s">
        <v>557</v>
      </c>
      <c r="B199" t="s">
        <v>4321</v>
      </c>
      <c r="C199" t="s">
        <v>363</v>
      </c>
      <c r="D199" t="s">
        <v>165</v>
      </c>
      <c r="E199">
        <f>HYPERLINK("https://www.britishcycling.org.uk/points?person_id=749709&amp;year=2019&amp;type=national&amp;d=6","Results")</f>
        <v/>
      </c>
    </row>
    <row r="200" spans="1:5">
      <c r="A200" t="s">
        <v>560</v>
      </c>
      <c r="B200" t="s">
        <v>4575</v>
      </c>
      <c r="C200" t="s">
        <v>4534</v>
      </c>
      <c r="D200" t="s">
        <v>158</v>
      </c>
      <c r="E200">
        <f>HYPERLINK("https://www.britishcycling.org.uk/points?person_id=730949&amp;year=2019&amp;type=national&amp;d=6","Results")</f>
        <v/>
      </c>
    </row>
    <row r="201" spans="1:5">
      <c r="A201" t="s">
        <v>202</v>
      </c>
      <c r="B201" t="s">
        <v>4576</v>
      </c>
      <c r="C201" t="s">
        <v>1694</v>
      </c>
      <c r="D201" t="s">
        <v>158</v>
      </c>
      <c r="E201">
        <f>HYPERLINK("https://www.britishcycling.org.uk/points?person_id=801003&amp;year=2019&amp;type=national&amp;d=6","Results")</f>
        <v/>
      </c>
    </row>
    <row r="202" spans="1:5">
      <c r="A202" t="s">
        <v>563</v>
      </c>
      <c r="B202" t="s">
        <v>4577</v>
      </c>
      <c r="C202" t="s">
        <v>4578</v>
      </c>
      <c r="D202" t="s">
        <v>155</v>
      </c>
      <c r="E202">
        <f>HYPERLINK("https://www.britishcycling.org.uk/points?person_id=676237&amp;year=2019&amp;type=national&amp;d=6","Results")</f>
        <v/>
      </c>
    </row>
    <row r="203" spans="1:5">
      <c r="A203" t="s">
        <v>565</v>
      </c>
      <c r="B203" t="s">
        <v>4579</v>
      </c>
      <c r="C203" t="s">
        <v>771</v>
      </c>
      <c r="D203" t="s">
        <v>151</v>
      </c>
      <c r="E203">
        <f>HYPERLINK("https://www.britishcycling.org.uk/points?person_id=372829&amp;year=2019&amp;type=national&amp;d=6","Results")</f>
        <v/>
      </c>
    </row>
    <row r="204" spans="1:5">
      <c r="A204" t="s">
        <v>568</v>
      </c>
      <c r="B204" t="s">
        <v>4580</v>
      </c>
      <c r="C204" t="s">
        <v>4581</v>
      </c>
      <c r="D204" t="s">
        <v>151</v>
      </c>
      <c r="E204">
        <f>HYPERLINK("https://www.britishcycling.org.uk/points?person_id=37490&amp;year=2019&amp;type=national&amp;d=6","Results")</f>
        <v/>
      </c>
    </row>
    <row r="205" spans="1:5">
      <c r="A205" t="s">
        <v>195</v>
      </c>
      <c r="B205" t="s">
        <v>4361</v>
      </c>
      <c r="C205" t="s">
        <v>4362</v>
      </c>
      <c r="D205" t="s">
        <v>151</v>
      </c>
      <c r="E205">
        <f>HYPERLINK("https://www.britishcycling.org.uk/points?person_id=104615&amp;year=2019&amp;type=national&amp;d=6","Results")</f>
        <v/>
      </c>
    </row>
    <row r="206" spans="1:5">
      <c r="A206" t="s">
        <v>571</v>
      </c>
      <c r="B206" t="s">
        <v>4582</v>
      </c>
      <c r="C206" t="s"/>
      <c r="D206" t="s">
        <v>151</v>
      </c>
      <c r="E206">
        <f>HYPERLINK("https://www.britishcycling.org.uk/points?person_id=22805&amp;year=2019&amp;type=national&amp;d=6","Results")</f>
        <v/>
      </c>
    </row>
    <row r="207" spans="1:5">
      <c r="A207" t="s">
        <v>573</v>
      </c>
      <c r="B207" t="s">
        <v>4331</v>
      </c>
      <c r="C207" t="s">
        <v>814</v>
      </c>
      <c r="D207" t="s">
        <v>148</v>
      </c>
      <c r="E207">
        <f>HYPERLINK("https://www.britishcycling.org.uk/points?person_id=886250&amp;year=2019&amp;type=national&amp;d=6","Results")</f>
        <v/>
      </c>
    </row>
    <row r="208" spans="1:5">
      <c r="A208" t="s">
        <v>576</v>
      </c>
      <c r="B208" t="s">
        <v>4583</v>
      </c>
      <c r="C208" t="s">
        <v>4584</v>
      </c>
      <c r="D208" t="s">
        <v>148</v>
      </c>
      <c r="E208">
        <f>HYPERLINK("https://www.britishcycling.org.uk/points?person_id=277779&amp;year=2019&amp;type=national&amp;d=6","Results")</f>
        <v/>
      </c>
    </row>
    <row r="209" spans="1:5">
      <c r="A209" t="s">
        <v>191</v>
      </c>
      <c r="B209" t="s">
        <v>4585</v>
      </c>
      <c r="C209" t="s">
        <v>1694</v>
      </c>
      <c r="D209" t="s">
        <v>148</v>
      </c>
      <c r="E209">
        <f>HYPERLINK("https://www.britishcycling.org.uk/points?person_id=737533&amp;year=2019&amp;type=national&amp;d=6","Results")</f>
        <v/>
      </c>
    </row>
    <row r="210" spans="1:5">
      <c r="A210" t="s">
        <v>580</v>
      </c>
      <c r="B210" t="s">
        <v>4586</v>
      </c>
      <c r="C210" t="s">
        <v>335</v>
      </c>
      <c r="D210" t="s">
        <v>145</v>
      </c>
      <c r="E210">
        <f>HYPERLINK("https://www.britishcycling.org.uk/points?person_id=540393&amp;year=2019&amp;type=national&amp;d=6","Results")</f>
        <v/>
      </c>
    </row>
    <row r="211" spans="1:5">
      <c r="A211" t="s">
        <v>582</v>
      </c>
      <c r="B211" t="s">
        <v>4587</v>
      </c>
      <c r="C211" t="s">
        <v>4408</v>
      </c>
      <c r="D211" t="s">
        <v>145</v>
      </c>
      <c r="E211">
        <f>HYPERLINK("https://www.britishcycling.org.uk/points?person_id=44180&amp;year=2019&amp;type=national&amp;d=6","Results")</f>
        <v/>
      </c>
    </row>
    <row r="212" spans="1:5">
      <c r="A212" t="s">
        <v>585</v>
      </c>
      <c r="B212" t="s">
        <v>4314</v>
      </c>
      <c r="C212" t="s">
        <v>1344</v>
      </c>
      <c r="D212" t="s">
        <v>145</v>
      </c>
      <c r="E212">
        <f>HYPERLINK("https://www.britishcycling.org.uk/points?person_id=220505&amp;year=2019&amp;type=national&amp;d=6","Results")</f>
        <v/>
      </c>
    </row>
    <row r="213" spans="1:5">
      <c r="A213" t="s">
        <v>587</v>
      </c>
      <c r="B213" t="s">
        <v>4588</v>
      </c>
      <c r="C213" t="s">
        <v>1947</v>
      </c>
      <c r="D213" t="s">
        <v>141</v>
      </c>
      <c r="E213">
        <f>HYPERLINK("https://www.britishcycling.org.uk/points?person_id=423791&amp;year=2019&amp;type=national&amp;d=6","Results")</f>
        <v/>
      </c>
    </row>
    <row r="214" spans="1:5">
      <c r="A214" t="s">
        <v>590</v>
      </c>
      <c r="B214" t="s">
        <v>4589</v>
      </c>
      <c r="C214" t="s">
        <v>2983</v>
      </c>
      <c r="D214" t="s">
        <v>141</v>
      </c>
      <c r="E214">
        <f>HYPERLINK("https://www.britishcycling.org.uk/points?person_id=246513&amp;year=2019&amp;type=national&amp;d=6","Results")</f>
        <v/>
      </c>
    </row>
    <row r="215" spans="1:5">
      <c r="A215" t="s">
        <v>593</v>
      </c>
      <c r="B215" t="s">
        <v>4590</v>
      </c>
      <c r="C215" t="s">
        <v>4591</v>
      </c>
      <c r="D215" t="s">
        <v>141</v>
      </c>
      <c r="E215">
        <f>HYPERLINK("https://www.britishcycling.org.uk/points?person_id=67170&amp;year=2019&amp;type=national&amp;d=6","Results")</f>
        <v/>
      </c>
    </row>
    <row r="216" spans="1:5">
      <c r="A216" t="s">
        <v>187</v>
      </c>
      <c r="B216" t="s">
        <v>4592</v>
      </c>
      <c r="C216" t="s">
        <v>361</v>
      </c>
      <c r="D216" t="s">
        <v>141</v>
      </c>
      <c r="E216">
        <f>HYPERLINK("https://www.britishcycling.org.uk/points?person_id=228103&amp;year=2019&amp;type=national&amp;d=6","Results")</f>
        <v/>
      </c>
    </row>
    <row r="217" spans="1:5">
      <c r="A217" t="s">
        <v>183</v>
      </c>
      <c r="B217" t="s">
        <v>4593</v>
      </c>
      <c r="C217" t="s">
        <v>973</v>
      </c>
      <c r="D217" t="s">
        <v>137</v>
      </c>
      <c r="E217">
        <f>HYPERLINK("https://www.britishcycling.org.uk/points?person_id=359737&amp;year=2019&amp;type=national&amp;d=6","Results")</f>
        <v/>
      </c>
    </row>
    <row r="218" spans="1:5">
      <c r="A218" t="s">
        <v>598</v>
      </c>
      <c r="B218" t="s">
        <v>4594</v>
      </c>
      <c r="C218" t="s">
        <v>1364</v>
      </c>
      <c r="D218" t="s">
        <v>137</v>
      </c>
      <c r="E218">
        <f>HYPERLINK("https://www.britishcycling.org.uk/points?person_id=500978&amp;year=2019&amp;type=national&amp;d=6","Results")</f>
        <v/>
      </c>
    </row>
    <row r="219" spans="1:5">
      <c r="A219" t="s">
        <v>600</v>
      </c>
      <c r="B219" t="s">
        <v>4595</v>
      </c>
      <c r="C219" t="s">
        <v>995</v>
      </c>
      <c r="D219" t="s">
        <v>137</v>
      </c>
      <c r="E219">
        <f>HYPERLINK("https://www.britishcycling.org.uk/points?person_id=579433&amp;year=2019&amp;type=national&amp;d=6","Results")</f>
        <v/>
      </c>
    </row>
    <row r="220" spans="1:5">
      <c r="A220" t="s">
        <v>602</v>
      </c>
      <c r="B220" t="s">
        <v>4340</v>
      </c>
      <c r="C220" t="s">
        <v>4284</v>
      </c>
      <c r="D220" t="s">
        <v>133</v>
      </c>
      <c r="E220">
        <f>HYPERLINK("https://www.britishcycling.org.uk/points?person_id=234676&amp;year=2019&amp;type=national&amp;d=6","Results")</f>
        <v/>
      </c>
    </row>
    <row r="221" spans="1:5">
      <c r="A221" t="s">
        <v>604</v>
      </c>
      <c r="B221" t="s">
        <v>4596</v>
      </c>
      <c r="C221" t="s">
        <v>1923</v>
      </c>
      <c r="D221" t="s">
        <v>133</v>
      </c>
      <c r="E221">
        <f>HYPERLINK("https://www.britishcycling.org.uk/points?person_id=390259&amp;year=2019&amp;type=national&amp;d=6","Results")</f>
        <v/>
      </c>
    </row>
    <row r="222" spans="1:5">
      <c r="A222" t="s">
        <v>606</v>
      </c>
      <c r="B222" t="s">
        <v>4353</v>
      </c>
      <c r="C222" t="s">
        <v>291</v>
      </c>
      <c r="D222" t="s">
        <v>127</v>
      </c>
      <c r="E222">
        <f>HYPERLINK("https://www.britishcycling.org.uk/points?person_id=733577&amp;year=2019&amp;type=national&amp;d=6","Results")</f>
        <v/>
      </c>
    </row>
    <row r="223" spans="1:5">
      <c r="A223" t="s">
        <v>609</v>
      </c>
      <c r="B223" t="s">
        <v>4597</v>
      </c>
      <c r="C223" t="s">
        <v>2060</v>
      </c>
      <c r="D223" t="s">
        <v>123</v>
      </c>
      <c r="E223">
        <f>HYPERLINK("https://www.britishcycling.org.uk/points?person_id=406992&amp;year=2019&amp;type=national&amp;d=6","Results")</f>
        <v/>
      </c>
    </row>
    <row r="224" spans="1:5">
      <c r="A224" t="s">
        <v>611</v>
      </c>
      <c r="B224" t="s">
        <v>4598</v>
      </c>
      <c r="C224" t="s">
        <v>80</v>
      </c>
      <c r="D224" t="s">
        <v>123</v>
      </c>
      <c r="E224">
        <f>HYPERLINK("https://www.britishcycling.org.uk/points?person_id=49726&amp;year=2019&amp;type=national&amp;d=6","Results")</f>
        <v/>
      </c>
    </row>
    <row r="225" spans="1:5">
      <c r="A225" t="s">
        <v>613</v>
      </c>
      <c r="B225" t="s">
        <v>4599</v>
      </c>
      <c r="C225" t="s">
        <v>4600</v>
      </c>
      <c r="D225" t="s">
        <v>123</v>
      </c>
      <c r="E225">
        <f>HYPERLINK("https://www.britishcycling.org.uk/points?person_id=169275&amp;year=2019&amp;type=national&amp;d=6","Results")</f>
        <v/>
      </c>
    </row>
    <row r="226" spans="1:5">
      <c r="A226" t="s">
        <v>616</v>
      </c>
      <c r="B226" t="s">
        <v>4601</v>
      </c>
      <c r="C226" t="s">
        <v>1370</v>
      </c>
      <c r="D226" t="s">
        <v>119</v>
      </c>
      <c r="E226">
        <f>HYPERLINK("https://www.britishcycling.org.uk/points?person_id=137605&amp;year=2019&amp;type=national&amp;d=6","Results")</f>
        <v/>
      </c>
    </row>
    <row r="227" spans="1:5">
      <c r="A227" t="s">
        <v>179</v>
      </c>
      <c r="B227" t="s">
        <v>4602</v>
      </c>
      <c r="C227" t="s">
        <v>3119</v>
      </c>
      <c r="D227" t="s">
        <v>119</v>
      </c>
      <c r="E227">
        <f>HYPERLINK("https://www.britishcycling.org.uk/points?person_id=69699&amp;year=2019&amp;type=national&amp;d=6","Results")</f>
        <v/>
      </c>
    </row>
    <row r="228" spans="1:5">
      <c r="A228" t="s">
        <v>619</v>
      </c>
      <c r="B228" t="s">
        <v>4603</v>
      </c>
      <c r="C228" t="s">
        <v>45</v>
      </c>
      <c r="D228" t="s">
        <v>115</v>
      </c>
      <c r="E228">
        <f>HYPERLINK("https://www.britishcycling.org.uk/points?person_id=108615&amp;year=2019&amp;type=national&amp;d=6","Results")</f>
        <v/>
      </c>
    </row>
    <row r="229" spans="1:5">
      <c r="A229" t="s">
        <v>621</v>
      </c>
      <c r="B229" t="s">
        <v>4604</v>
      </c>
      <c r="C229" t="s">
        <v>559</v>
      </c>
      <c r="D229" t="s">
        <v>115</v>
      </c>
      <c r="E229">
        <f>HYPERLINK("https://www.britishcycling.org.uk/points?person_id=43777&amp;year=2019&amp;type=national&amp;d=6","Results")</f>
        <v/>
      </c>
    </row>
    <row r="230" spans="1:5">
      <c r="A230" t="s">
        <v>623</v>
      </c>
      <c r="B230" t="s">
        <v>4605</v>
      </c>
      <c r="C230" t="s">
        <v>1993</v>
      </c>
      <c r="D230" t="s">
        <v>115</v>
      </c>
      <c r="E230">
        <f>HYPERLINK("https://www.britishcycling.org.uk/points?person_id=465263&amp;year=2019&amp;type=national&amp;d=6","Results")</f>
        <v/>
      </c>
    </row>
    <row r="231" spans="1:5">
      <c r="A231" t="s">
        <v>625</v>
      </c>
      <c r="B231" t="s">
        <v>4606</v>
      </c>
      <c r="C231" t="s">
        <v>407</v>
      </c>
      <c r="D231" t="s">
        <v>111</v>
      </c>
      <c r="E231">
        <f>HYPERLINK("https://www.britishcycling.org.uk/points?person_id=524269&amp;year=2019&amp;type=national&amp;d=6","Results")</f>
        <v/>
      </c>
    </row>
    <row r="232" spans="1:5">
      <c r="A232" t="s">
        <v>175</v>
      </c>
      <c r="B232" t="s">
        <v>4607</v>
      </c>
      <c r="C232" t="s">
        <v>15</v>
      </c>
      <c r="D232" t="s">
        <v>111</v>
      </c>
      <c r="E232">
        <f>HYPERLINK("https://www.britishcycling.org.uk/points?person_id=24304&amp;year=2019&amp;type=national&amp;d=6","Results")</f>
        <v/>
      </c>
    </row>
    <row r="233" spans="1:5">
      <c r="A233" t="s">
        <v>171</v>
      </c>
      <c r="B233" t="s">
        <v>4608</v>
      </c>
      <c r="C233" t="s">
        <v>1982</v>
      </c>
      <c r="D233" t="s">
        <v>111</v>
      </c>
      <c r="E233">
        <f>HYPERLINK("https://www.britishcycling.org.uk/points?person_id=313104&amp;year=2019&amp;type=national&amp;d=6","Results")</f>
        <v/>
      </c>
    </row>
    <row r="234" spans="1:5">
      <c r="A234" t="s">
        <v>164</v>
      </c>
      <c r="B234" t="s">
        <v>4318</v>
      </c>
      <c r="C234" t="s">
        <v>4319</v>
      </c>
      <c r="D234" t="s">
        <v>107</v>
      </c>
      <c r="E234">
        <f>HYPERLINK("https://www.britishcycling.org.uk/points?person_id=469550&amp;year=2019&amp;type=national&amp;d=6","Results")</f>
        <v/>
      </c>
    </row>
    <row r="235" spans="1:5">
      <c r="A235" t="s">
        <v>630</v>
      </c>
      <c r="B235" t="s">
        <v>4609</v>
      </c>
      <c r="C235" t="s">
        <v>1106</v>
      </c>
      <c r="D235" t="s">
        <v>107</v>
      </c>
      <c r="E235">
        <f>HYPERLINK("https://www.britishcycling.org.uk/points?person_id=398068&amp;year=2019&amp;type=national&amp;d=6","Results")</f>
        <v/>
      </c>
    </row>
    <row r="236" spans="1:5">
      <c r="A236" t="s">
        <v>632</v>
      </c>
      <c r="B236" t="s">
        <v>4610</v>
      </c>
      <c r="C236" t="s">
        <v>1694</v>
      </c>
      <c r="D236" t="s">
        <v>103</v>
      </c>
      <c r="E236">
        <f>HYPERLINK("https://www.britishcycling.org.uk/points?person_id=857067&amp;year=2019&amp;type=national&amp;d=6","Results")</f>
        <v/>
      </c>
    </row>
    <row r="237" spans="1:5">
      <c r="A237" t="s">
        <v>634</v>
      </c>
      <c r="B237" t="s">
        <v>4611</v>
      </c>
      <c r="C237" t="s">
        <v>2660</v>
      </c>
      <c r="D237" t="s">
        <v>103</v>
      </c>
      <c r="E237">
        <f>HYPERLINK("https://www.britishcycling.org.uk/points?person_id=789014&amp;year=2019&amp;type=national&amp;d=6","Results")</f>
        <v/>
      </c>
    </row>
    <row r="238" spans="1:5">
      <c r="A238" t="s">
        <v>637</v>
      </c>
      <c r="B238" t="s">
        <v>4612</v>
      </c>
      <c r="C238" t="s">
        <v>1709</v>
      </c>
      <c r="D238" t="s">
        <v>103</v>
      </c>
      <c r="E238">
        <f>HYPERLINK("https://www.britishcycling.org.uk/points?person_id=2933&amp;year=2019&amp;type=national&amp;d=6","Results")</f>
        <v/>
      </c>
    </row>
    <row r="239" spans="1:5">
      <c r="A239" t="s">
        <v>639</v>
      </c>
      <c r="B239" t="s">
        <v>4613</v>
      </c>
      <c r="C239" t="s">
        <v>4055</v>
      </c>
      <c r="D239" t="s">
        <v>99</v>
      </c>
      <c r="E239">
        <f>HYPERLINK("https://www.britishcycling.org.uk/points?person_id=318484&amp;year=2019&amp;type=national&amp;d=6","Results")</f>
        <v/>
      </c>
    </row>
    <row r="240" spans="1:5">
      <c r="A240" t="s">
        <v>641</v>
      </c>
      <c r="B240" t="s">
        <v>4614</v>
      </c>
      <c r="C240" t="s">
        <v>3121</v>
      </c>
      <c r="D240" t="s">
        <v>96</v>
      </c>
      <c r="E240">
        <f>HYPERLINK("https://www.britishcycling.org.uk/points?person_id=326080&amp;year=2019&amp;type=national&amp;d=6","Results")</f>
        <v/>
      </c>
    </row>
    <row r="241" spans="1:5">
      <c r="A241" t="s">
        <v>644</v>
      </c>
      <c r="B241" t="s">
        <v>4615</v>
      </c>
      <c r="C241" t="s">
        <v>1023</v>
      </c>
      <c r="D241" t="s">
        <v>92</v>
      </c>
      <c r="E241">
        <f>HYPERLINK("https://www.britishcycling.org.uk/points?person_id=359776&amp;year=2019&amp;type=national&amp;d=6","Results")</f>
        <v/>
      </c>
    </row>
    <row r="242" spans="1:5">
      <c r="A242" t="s">
        <v>647</v>
      </c>
      <c r="B242" t="s">
        <v>4616</v>
      </c>
      <c r="C242" t="s">
        <v>1038</v>
      </c>
      <c r="D242" t="s">
        <v>92</v>
      </c>
      <c r="E242">
        <f>HYPERLINK("https://www.britishcycling.org.uk/points?person_id=485566&amp;year=2019&amp;type=national&amp;d=6","Results")</f>
        <v/>
      </c>
    </row>
    <row r="243" spans="1:5">
      <c r="A243" t="s">
        <v>649</v>
      </c>
      <c r="B243" t="s">
        <v>4617</v>
      </c>
      <c r="C243" t="s">
        <v>1373</v>
      </c>
      <c r="D243" t="s">
        <v>92</v>
      </c>
      <c r="E243">
        <f>HYPERLINK("https://www.britishcycling.org.uk/points?person_id=704612&amp;year=2019&amp;type=national&amp;d=6","Results")</f>
        <v/>
      </c>
    </row>
    <row r="244" spans="1:5">
      <c r="A244" t="s">
        <v>651</v>
      </c>
      <c r="B244" t="s">
        <v>4618</v>
      </c>
      <c r="C244" t="s">
        <v>4619</v>
      </c>
      <c r="D244" t="s">
        <v>89</v>
      </c>
      <c r="E244">
        <f>HYPERLINK("https://www.britishcycling.org.uk/points?person_id=500163&amp;year=2019&amp;type=national&amp;d=6","Results")</f>
        <v/>
      </c>
    </row>
    <row r="245" spans="1:5">
      <c r="A245" t="s">
        <v>654</v>
      </c>
      <c r="B245" t="s">
        <v>4620</v>
      </c>
      <c r="C245" t="s">
        <v>1736</v>
      </c>
      <c r="D245" t="s">
        <v>89</v>
      </c>
      <c r="E245">
        <f>HYPERLINK("https://www.britishcycling.org.uk/points?person_id=653413&amp;year=2019&amp;type=national&amp;d=6","Results")</f>
        <v/>
      </c>
    </row>
    <row r="246" spans="1:5">
      <c r="A246" t="s">
        <v>160</v>
      </c>
      <c r="B246" t="s">
        <v>4621</v>
      </c>
      <c r="C246" t="s">
        <v>4622</v>
      </c>
      <c r="D246" t="s">
        <v>89</v>
      </c>
      <c r="E246">
        <f>HYPERLINK("https://www.britishcycling.org.uk/points?person_id=577093&amp;year=2019&amp;type=national&amp;d=6","Results")</f>
        <v/>
      </c>
    </row>
    <row r="247" spans="1:5">
      <c r="A247" t="s">
        <v>154</v>
      </c>
      <c r="B247" t="s">
        <v>4623</v>
      </c>
      <c r="C247" t="s">
        <v>1699</v>
      </c>
      <c r="D247" t="s">
        <v>85</v>
      </c>
      <c r="E247">
        <f>HYPERLINK("https://www.britishcycling.org.uk/points?person_id=180257&amp;year=2019&amp;type=national&amp;d=6","Results")</f>
        <v/>
      </c>
    </row>
    <row r="248" spans="1:5">
      <c r="A248" t="s">
        <v>659</v>
      </c>
      <c r="B248" t="s">
        <v>4624</v>
      </c>
      <c r="C248" t="s">
        <v>973</v>
      </c>
      <c r="D248" t="s">
        <v>85</v>
      </c>
      <c r="E248">
        <f>HYPERLINK("https://www.britishcycling.org.uk/points?person_id=70779&amp;year=2019&amp;type=national&amp;d=6","Results")</f>
        <v/>
      </c>
    </row>
    <row r="249" spans="1:5">
      <c r="A249" t="s">
        <v>661</v>
      </c>
      <c r="B249" t="s">
        <v>4625</v>
      </c>
      <c r="C249" t="s">
        <v>2438</v>
      </c>
      <c r="D249" t="s">
        <v>85</v>
      </c>
      <c r="E249">
        <f>HYPERLINK("https://www.britishcycling.org.uk/points?person_id=206821&amp;year=2019&amp;type=national&amp;d=6","Results")</f>
        <v/>
      </c>
    </row>
    <row r="250" spans="1:5">
      <c r="A250" t="s">
        <v>664</v>
      </c>
      <c r="B250" t="s">
        <v>4626</v>
      </c>
      <c r="C250" t="s">
        <v>4303</v>
      </c>
      <c r="D250" t="s">
        <v>82</v>
      </c>
      <c r="E250">
        <f>HYPERLINK("https://www.britishcycling.org.uk/points?person_id=263034&amp;year=2019&amp;type=national&amp;d=6","Results")</f>
        <v/>
      </c>
    </row>
    <row r="251" spans="1:5">
      <c r="A251" t="s">
        <v>150</v>
      </c>
      <c r="B251" t="s">
        <v>4627</v>
      </c>
      <c r="C251" t="s">
        <v>1292</v>
      </c>
      <c r="D251" t="s">
        <v>82</v>
      </c>
      <c r="E251">
        <f>HYPERLINK("https://www.britishcycling.org.uk/points?person_id=646858&amp;year=2019&amp;type=national&amp;d=6","Results")</f>
        <v/>
      </c>
    </row>
    <row r="252" spans="1:5">
      <c r="A252" t="s">
        <v>147</v>
      </c>
      <c r="B252" t="s">
        <v>4351</v>
      </c>
      <c r="C252" t="s">
        <v>4303</v>
      </c>
      <c r="D252" t="s">
        <v>78</v>
      </c>
      <c r="E252">
        <f>HYPERLINK("https://www.britishcycling.org.uk/points?person_id=254806&amp;year=2019&amp;type=national&amp;d=6","Results")</f>
        <v/>
      </c>
    </row>
    <row r="253" spans="1:5">
      <c r="A253" t="s">
        <v>668</v>
      </c>
      <c r="B253" t="s">
        <v>4628</v>
      </c>
      <c r="C253" t="s">
        <v>595</v>
      </c>
      <c r="D253" t="s">
        <v>78</v>
      </c>
      <c r="E253">
        <f>HYPERLINK("https://www.britishcycling.org.uk/points?person_id=44339&amp;year=2019&amp;type=national&amp;d=6","Results")</f>
        <v/>
      </c>
    </row>
    <row r="254" spans="1:5">
      <c r="A254" t="s">
        <v>144</v>
      </c>
      <c r="B254" t="s">
        <v>4629</v>
      </c>
      <c r="C254" t="s">
        <v>4630</v>
      </c>
      <c r="D254" t="s">
        <v>78</v>
      </c>
      <c r="E254">
        <f>HYPERLINK("https://www.britishcycling.org.uk/points?person_id=228737&amp;year=2019&amp;type=national&amp;d=6","Results")</f>
        <v/>
      </c>
    </row>
    <row r="255" spans="1:5">
      <c r="A255" t="s">
        <v>672</v>
      </c>
      <c r="B255" t="s">
        <v>4344</v>
      </c>
      <c r="C255" t="s">
        <v>139</v>
      </c>
      <c r="D255" t="s">
        <v>78</v>
      </c>
      <c r="E255">
        <f>HYPERLINK("https://www.britishcycling.org.uk/points?person_id=501465&amp;year=2019&amp;type=national&amp;d=6","Results")</f>
        <v/>
      </c>
    </row>
    <row r="256" spans="1:5">
      <c r="A256" t="s">
        <v>674</v>
      </c>
      <c r="B256" t="s">
        <v>4631</v>
      </c>
      <c r="C256" t="s">
        <v>656</v>
      </c>
      <c r="D256" t="s">
        <v>78</v>
      </c>
      <c r="E256">
        <f>HYPERLINK("https://www.britishcycling.org.uk/points?person_id=395528&amp;year=2019&amp;type=national&amp;d=6","Results")</f>
        <v/>
      </c>
    </row>
    <row r="257" spans="1:5">
      <c r="A257" t="s">
        <v>677</v>
      </c>
      <c r="B257" t="s">
        <v>4632</v>
      </c>
      <c r="C257" t="s">
        <v>2682</v>
      </c>
      <c r="D257" t="s">
        <v>75</v>
      </c>
      <c r="E257">
        <f>HYPERLINK("https://www.britishcycling.org.uk/points?person_id=321195&amp;year=2019&amp;type=national&amp;d=6","Results")</f>
        <v/>
      </c>
    </row>
    <row r="258" spans="1:5">
      <c r="A258" t="s">
        <v>679</v>
      </c>
      <c r="B258" t="s">
        <v>4633</v>
      </c>
      <c r="C258" t="s">
        <v>1706</v>
      </c>
      <c r="D258" t="s">
        <v>75</v>
      </c>
      <c r="E258">
        <f>HYPERLINK("https://www.britishcycling.org.uk/points?person_id=333911&amp;year=2019&amp;type=national&amp;d=6","Results")</f>
        <v/>
      </c>
    </row>
    <row r="259" spans="1:5">
      <c r="A259" t="s">
        <v>140</v>
      </c>
      <c r="B259" t="s">
        <v>4634</v>
      </c>
      <c r="C259" t="s">
        <v>656</v>
      </c>
      <c r="D259" t="s">
        <v>75</v>
      </c>
      <c r="E259">
        <f>HYPERLINK("https://www.britishcycling.org.uk/points?person_id=342828&amp;year=2019&amp;type=national&amp;d=6","Results")</f>
        <v/>
      </c>
    </row>
    <row r="260" spans="1:5">
      <c r="A260" t="s">
        <v>682</v>
      </c>
      <c r="B260" t="s">
        <v>4635</v>
      </c>
      <c r="C260" t="s">
        <v>940</v>
      </c>
      <c r="D260" t="s">
        <v>75</v>
      </c>
      <c r="E260">
        <f>HYPERLINK("https://www.britishcycling.org.uk/points?person_id=331647&amp;year=2019&amp;type=national&amp;d=6","Results")</f>
        <v/>
      </c>
    </row>
    <row r="261" spans="1:5">
      <c r="A261" t="s">
        <v>136</v>
      </c>
      <c r="B261" t="s">
        <v>4636</v>
      </c>
      <c r="C261" t="s">
        <v>80</v>
      </c>
      <c r="D261" t="s">
        <v>75</v>
      </c>
      <c r="E261">
        <f>HYPERLINK("https://www.britishcycling.org.uk/points?person_id=385758&amp;year=2019&amp;type=national&amp;d=6","Results")</f>
        <v/>
      </c>
    </row>
    <row r="262" spans="1:5">
      <c r="A262" t="s">
        <v>685</v>
      </c>
      <c r="B262" t="s">
        <v>4637</v>
      </c>
      <c r="C262" t="s">
        <v>3301</v>
      </c>
      <c r="D262" t="s">
        <v>75</v>
      </c>
      <c r="E262">
        <f>HYPERLINK("https://www.britishcycling.org.uk/points?person_id=253328&amp;year=2019&amp;type=national&amp;d=6","Results")</f>
        <v/>
      </c>
    </row>
    <row r="263" spans="1:5">
      <c r="A263" t="s">
        <v>687</v>
      </c>
      <c r="B263" t="s">
        <v>4638</v>
      </c>
      <c r="C263" t="s">
        <v>3769</v>
      </c>
      <c r="D263" t="s">
        <v>71</v>
      </c>
      <c r="E263">
        <f>HYPERLINK("https://www.britishcycling.org.uk/points?person_id=823847&amp;year=2019&amp;type=national&amp;d=6","Results")</f>
        <v/>
      </c>
    </row>
    <row r="264" spans="1:5">
      <c r="A264" t="s">
        <v>689</v>
      </c>
      <c r="B264" t="s">
        <v>4366</v>
      </c>
      <c r="C264" t="s">
        <v>1160</v>
      </c>
      <c r="D264" t="s">
        <v>71</v>
      </c>
      <c r="E264">
        <f>HYPERLINK("https://www.britishcycling.org.uk/points?person_id=539186&amp;year=2019&amp;type=national&amp;d=6","Results")</f>
        <v/>
      </c>
    </row>
    <row r="265" spans="1:5">
      <c r="A265" t="s">
        <v>132</v>
      </c>
      <c r="B265" t="s">
        <v>4639</v>
      </c>
      <c r="C265" t="s">
        <v>899</v>
      </c>
      <c r="D265" t="s">
        <v>71</v>
      </c>
      <c r="E265">
        <f>HYPERLINK("https://www.britishcycling.org.uk/points?person_id=60414&amp;year=2019&amp;type=national&amp;d=6","Results")</f>
        <v/>
      </c>
    </row>
    <row r="266" spans="1:5">
      <c r="A266" t="s">
        <v>694</v>
      </c>
      <c r="B266" t="s">
        <v>4640</v>
      </c>
      <c r="C266" t="s">
        <v>1863</v>
      </c>
      <c r="D266" t="s">
        <v>71</v>
      </c>
      <c r="E266">
        <f>HYPERLINK("https://www.britishcycling.org.uk/points?person_id=79422&amp;year=2019&amp;type=national&amp;d=6","Results")</f>
        <v/>
      </c>
    </row>
    <row r="267" spans="1:5">
      <c r="A267" t="s">
        <v>697</v>
      </c>
      <c r="B267" t="s">
        <v>4641</v>
      </c>
      <c r="C267" t="s">
        <v>429</v>
      </c>
      <c r="D267" t="s">
        <v>67</v>
      </c>
      <c r="E267">
        <f>HYPERLINK("https://www.britishcycling.org.uk/points?person_id=457807&amp;year=2019&amp;type=national&amp;d=6","Results")</f>
        <v/>
      </c>
    </row>
    <row r="268" spans="1:5">
      <c r="A268" t="s">
        <v>699</v>
      </c>
      <c r="B268" t="s">
        <v>4642</v>
      </c>
      <c r="C268" t="s">
        <v>4643</v>
      </c>
      <c r="D268" t="s">
        <v>67</v>
      </c>
      <c r="E268">
        <f>HYPERLINK("https://www.britishcycling.org.uk/points?person_id=666459&amp;year=2019&amp;type=national&amp;d=6","Results")</f>
        <v/>
      </c>
    </row>
    <row r="269" spans="1:5">
      <c r="A269" t="s">
        <v>701</v>
      </c>
      <c r="B269" t="s">
        <v>4359</v>
      </c>
      <c r="C269" t="s">
        <v>61</v>
      </c>
      <c r="D269" t="s">
        <v>67</v>
      </c>
      <c r="E269">
        <f>HYPERLINK("https://www.britishcycling.org.uk/points?person_id=430080&amp;year=2019&amp;type=national&amp;d=6","Results")</f>
        <v/>
      </c>
    </row>
    <row r="270" spans="1:5">
      <c r="A270" t="s">
        <v>703</v>
      </c>
      <c r="B270" t="s">
        <v>4644</v>
      </c>
      <c r="C270" t="s">
        <v>45</v>
      </c>
      <c r="D270" t="s">
        <v>67</v>
      </c>
      <c r="E270">
        <f>HYPERLINK("https://www.britishcycling.org.uk/points?person_id=5522&amp;year=2019&amp;type=national&amp;d=6","Results")</f>
        <v/>
      </c>
    </row>
    <row r="271" spans="1:5">
      <c r="A271" t="s">
        <v>705</v>
      </c>
      <c r="B271" t="s">
        <v>4348</v>
      </c>
      <c r="C271" t="s">
        <v>1253</v>
      </c>
      <c r="D271" t="s">
        <v>67</v>
      </c>
      <c r="E271">
        <f>HYPERLINK("https://www.britishcycling.org.uk/points?person_id=540568&amp;year=2019&amp;type=national&amp;d=6","Results")</f>
        <v/>
      </c>
    </row>
    <row r="272" spans="1:5">
      <c r="A272" t="s">
        <v>707</v>
      </c>
      <c r="B272" t="s">
        <v>4645</v>
      </c>
      <c r="C272" t="s">
        <v>2947</v>
      </c>
      <c r="D272" t="s">
        <v>67</v>
      </c>
      <c r="E272">
        <f>HYPERLINK("https://www.britishcycling.org.uk/points?person_id=34477&amp;year=2019&amp;type=national&amp;d=6","Results")</f>
        <v/>
      </c>
    </row>
    <row r="273" spans="1:5">
      <c r="A273" t="s">
        <v>710</v>
      </c>
      <c r="B273" t="s">
        <v>4646</v>
      </c>
      <c r="C273" t="s">
        <v>961</v>
      </c>
      <c r="D273" t="s">
        <v>67</v>
      </c>
      <c r="E273">
        <f>HYPERLINK("https://www.britishcycling.org.uk/points?person_id=286615&amp;year=2019&amp;type=national&amp;d=6","Results")</f>
        <v/>
      </c>
    </row>
    <row r="274" spans="1:5">
      <c r="A274" t="s">
        <v>712</v>
      </c>
      <c r="B274" t="s">
        <v>4647</v>
      </c>
      <c r="C274" t="s">
        <v>1292</v>
      </c>
      <c r="D274" t="s">
        <v>63</v>
      </c>
      <c r="E274">
        <f>HYPERLINK("https://www.britishcycling.org.uk/points?person_id=497466&amp;year=2019&amp;type=national&amp;d=6","Results")</f>
        <v/>
      </c>
    </row>
    <row r="275" spans="1:5">
      <c r="A275" t="s">
        <v>714</v>
      </c>
      <c r="B275" t="s">
        <v>4648</v>
      </c>
      <c r="C275" t="s">
        <v>4649</v>
      </c>
      <c r="D275" t="s">
        <v>63</v>
      </c>
      <c r="E275">
        <f>HYPERLINK("https://www.britishcycling.org.uk/points?person_id=106264&amp;year=2019&amp;type=national&amp;d=6","Results")</f>
        <v/>
      </c>
    </row>
    <row r="276" spans="1:5">
      <c r="A276" t="s">
        <v>716</v>
      </c>
      <c r="B276" t="s">
        <v>4650</v>
      </c>
      <c r="C276" t="s">
        <v>1865</v>
      </c>
      <c r="D276" t="s">
        <v>63</v>
      </c>
      <c r="E276">
        <f>HYPERLINK("https://www.britishcycling.org.uk/points?person_id=558944&amp;year=2019&amp;type=national&amp;d=6","Results")</f>
        <v/>
      </c>
    </row>
    <row r="277" spans="1:5">
      <c r="A277" t="s">
        <v>129</v>
      </c>
      <c r="B277" t="s">
        <v>4651</v>
      </c>
      <c r="C277" t="s">
        <v>771</v>
      </c>
      <c r="D277" t="s">
        <v>63</v>
      </c>
      <c r="E277">
        <f>HYPERLINK("https://www.britishcycling.org.uk/points?person_id=308583&amp;year=2019&amp;type=national&amp;d=6","Results")</f>
        <v/>
      </c>
    </row>
    <row r="278" spans="1:5">
      <c r="A278" t="s">
        <v>719</v>
      </c>
      <c r="B278" t="s">
        <v>4652</v>
      </c>
      <c r="C278" t="s"/>
      <c r="D278" t="s">
        <v>63</v>
      </c>
      <c r="E278">
        <f>HYPERLINK("https://www.britishcycling.org.uk/points?person_id=261883&amp;year=2019&amp;type=national&amp;d=6","Results")</f>
        <v/>
      </c>
    </row>
    <row r="279" spans="1:5">
      <c r="A279" t="s">
        <v>721</v>
      </c>
      <c r="B279" t="s">
        <v>4653</v>
      </c>
      <c r="C279" t="s">
        <v>1397</v>
      </c>
      <c r="D279" t="s">
        <v>63</v>
      </c>
      <c r="E279">
        <f>HYPERLINK("https://www.britishcycling.org.uk/points?person_id=179243&amp;year=2019&amp;type=national&amp;d=6","Results")</f>
        <v/>
      </c>
    </row>
    <row r="280" spans="1:5">
      <c r="A280" t="s">
        <v>724</v>
      </c>
      <c r="B280" t="s">
        <v>4654</v>
      </c>
      <c r="C280" t="s">
        <v>312</v>
      </c>
      <c r="D280" t="s">
        <v>63</v>
      </c>
      <c r="E280">
        <f>HYPERLINK("https://www.britishcycling.org.uk/points?person_id=178491&amp;year=2019&amp;type=national&amp;d=6","Results")</f>
        <v/>
      </c>
    </row>
    <row r="281" spans="1:5">
      <c r="A281" t="s">
        <v>726</v>
      </c>
      <c r="B281" t="s">
        <v>4349</v>
      </c>
      <c r="C281" t="s">
        <v>379</v>
      </c>
      <c r="D281" t="s">
        <v>63</v>
      </c>
      <c r="E281">
        <f>HYPERLINK("https://www.britishcycling.org.uk/points?person_id=528846&amp;year=2019&amp;type=national&amp;d=6","Results")</f>
        <v/>
      </c>
    </row>
    <row r="282" spans="1:5">
      <c r="A282" t="s">
        <v>729</v>
      </c>
      <c r="B282" t="s">
        <v>4655</v>
      </c>
      <c r="C282" t="s">
        <v>335</v>
      </c>
      <c r="D282" t="s">
        <v>59</v>
      </c>
      <c r="E282">
        <f>HYPERLINK("https://www.britishcycling.org.uk/points?person_id=189726&amp;year=2019&amp;type=national&amp;d=6","Results")</f>
        <v/>
      </c>
    </row>
    <row r="283" spans="1:5">
      <c r="A283" t="s">
        <v>732</v>
      </c>
      <c r="B283" t="s">
        <v>4656</v>
      </c>
      <c r="C283" t="s">
        <v>3928</v>
      </c>
      <c r="D283" t="s">
        <v>59</v>
      </c>
      <c r="E283">
        <f>HYPERLINK("https://www.britishcycling.org.uk/points?person_id=79398&amp;year=2019&amp;type=national&amp;d=6","Results")</f>
        <v/>
      </c>
    </row>
    <row r="284" spans="1:5">
      <c r="A284" t="s">
        <v>735</v>
      </c>
      <c r="B284" t="s">
        <v>4657</v>
      </c>
      <c r="C284" t="s">
        <v>4658</v>
      </c>
      <c r="D284" t="s">
        <v>59</v>
      </c>
      <c r="E284">
        <f>HYPERLINK("https://www.britishcycling.org.uk/points?person_id=104952&amp;year=2019&amp;type=national&amp;d=6","Results")</f>
        <v/>
      </c>
    </row>
    <row r="285" spans="1:5">
      <c r="A285" t="s">
        <v>737</v>
      </c>
      <c r="B285" t="s">
        <v>4659</v>
      </c>
      <c r="C285" t="s">
        <v>1874</v>
      </c>
      <c r="D285" t="s">
        <v>59</v>
      </c>
      <c r="E285">
        <f>HYPERLINK("https://www.britishcycling.org.uk/points?person_id=545782&amp;year=2019&amp;type=national&amp;d=6","Results")</f>
        <v/>
      </c>
    </row>
    <row r="286" spans="1:5">
      <c r="A286" t="s">
        <v>739</v>
      </c>
      <c r="B286" t="s">
        <v>4660</v>
      </c>
      <c r="C286" t="s">
        <v>1823</v>
      </c>
      <c r="D286" t="s">
        <v>59</v>
      </c>
      <c r="E286">
        <f>HYPERLINK("https://www.britishcycling.org.uk/points?person_id=736992&amp;year=2019&amp;type=national&amp;d=6","Results")</f>
        <v/>
      </c>
    </row>
    <row r="287" spans="1:5">
      <c r="A287" t="s">
        <v>741</v>
      </c>
      <c r="B287" t="s">
        <v>4661</v>
      </c>
      <c r="C287" t="s">
        <v>363</v>
      </c>
      <c r="D287" t="s">
        <v>55</v>
      </c>
      <c r="E287">
        <f>HYPERLINK("https://www.britishcycling.org.uk/points?person_id=333624&amp;year=2019&amp;type=national&amp;d=6","Results")</f>
        <v/>
      </c>
    </row>
    <row r="288" spans="1:5">
      <c r="A288" t="s">
        <v>744</v>
      </c>
      <c r="B288" t="s">
        <v>4662</v>
      </c>
      <c r="C288" t="s">
        <v>2392</v>
      </c>
      <c r="D288" t="s">
        <v>55</v>
      </c>
      <c r="E288">
        <f>HYPERLINK("https://www.britishcycling.org.uk/points?person_id=761357&amp;year=2019&amp;type=national&amp;d=6","Results")</f>
        <v/>
      </c>
    </row>
    <row r="289" spans="1:5">
      <c r="A289" t="s">
        <v>747</v>
      </c>
      <c r="B289" t="s">
        <v>4663</v>
      </c>
      <c r="C289" t="s">
        <v>392</v>
      </c>
      <c r="D289" t="s">
        <v>55</v>
      </c>
      <c r="E289">
        <f>HYPERLINK("https://www.britishcycling.org.uk/points?person_id=612667&amp;year=2019&amp;type=national&amp;d=6","Results")</f>
        <v/>
      </c>
    </row>
    <row r="290" spans="1:5">
      <c r="A290" t="s">
        <v>749</v>
      </c>
      <c r="B290" t="s">
        <v>4664</v>
      </c>
      <c r="C290" t="s">
        <v>4665</v>
      </c>
      <c r="D290" t="s">
        <v>55</v>
      </c>
      <c r="E290">
        <f>HYPERLINK("https://www.britishcycling.org.uk/points?person_id=853096&amp;year=2019&amp;type=national&amp;d=6","Results")</f>
        <v/>
      </c>
    </row>
    <row r="291" spans="1:5">
      <c r="A291" t="s">
        <v>751</v>
      </c>
      <c r="B291" t="s">
        <v>4666</v>
      </c>
      <c r="C291" t="s">
        <v>2438</v>
      </c>
      <c r="D291" t="s">
        <v>55</v>
      </c>
      <c r="E291">
        <f>HYPERLINK("https://www.britishcycling.org.uk/points?person_id=849814&amp;year=2019&amp;type=national&amp;d=6","Results")</f>
        <v/>
      </c>
    </row>
    <row r="292" spans="1:5">
      <c r="A292" t="s">
        <v>126</v>
      </c>
      <c r="B292" t="s">
        <v>4322</v>
      </c>
      <c r="C292" t="s">
        <v>287</v>
      </c>
      <c r="D292" t="s">
        <v>55</v>
      </c>
      <c r="E292">
        <f>HYPERLINK("https://www.britishcycling.org.uk/points?person_id=198319&amp;year=2019&amp;type=national&amp;d=6","Results")</f>
        <v/>
      </c>
    </row>
    <row r="293" spans="1:5">
      <c r="A293" t="s">
        <v>754</v>
      </c>
      <c r="B293" t="s">
        <v>4667</v>
      </c>
      <c r="C293" t="s">
        <v>4522</v>
      </c>
      <c r="D293" t="s">
        <v>55</v>
      </c>
      <c r="E293">
        <f>HYPERLINK("https://www.britishcycling.org.uk/points?person_id=426372&amp;year=2019&amp;type=national&amp;d=6","Results")</f>
        <v/>
      </c>
    </row>
    <row r="294" spans="1:5">
      <c r="A294" t="s">
        <v>756</v>
      </c>
      <c r="B294" t="s">
        <v>4354</v>
      </c>
      <c r="C294" t="s">
        <v>1160</v>
      </c>
      <c r="D294" t="s">
        <v>55</v>
      </c>
      <c r="E294">
        <f>HYPERLINK("https://www.britishcycling.org.uk/points?person_id=684963&amp;year=2019&amp;type=national&amp;d=6","Results")</f>
        <v/>
      </c>
    </row>
    <row r="295" spans="1:5">
      <c r="A295" t="s">
        <v>758</v>
      </c>
      <c r="B295" t="s">
        <v>4668</v>
      </c>
      <c r="C295" t="s">
        <v>3892</v>
      </c>
      <c r="D295" t="s">
        <v>55</v>
      </c>
      <c r="E295">
        <f>HYPERLINK("https://www.britishcycling.org.uk/points?person_id=20608&amp;year=2019&amp;type=national&amp;d=6","Results")</f>
        <v/>
      </c>
    </row>
    <row r="296" spans="1:5">
      <c r="A296" t="s">
        <v>122</v>
      </c>
      <c r="B296" t="s">
        <v>4337</v>
      </c>
      <c r="C296" t="s">
        <v>3019</v>
      </c>
      <c r="D296" t="s">
        <v>55</v>
      </c>
      <c r="E296">
        <f>HYPERLINK("https://www.britishcycling.org.uk/points?person_id=178440&amp;year=2019&amp;type=national&amp;d=6","Results")</f>
        <v/>
      </c>
    </row>
    <row r="297" spans="1:5">
      <c r="A297" t="s">
        <v>118</v>
      </c>
      <c r="B297" t="s">
        <v>4669</v>
      </c>
      <c r="C297" t="s">
        <v>4670</v>
      </c>
      <c r="D297" t="s">
        <v>51</v>
      </c>
      <c r="E297">
        <f>HYPERLINK("https://www.britishcycling.org.uk/points?person_id=513163&amp;year=2019&amp;type=national&amp;d=6","Results")</f>
        <v/>
      </c>
    </row>
    <row r="298" spans="1:5">
      <c r="A298" t="s">
        <v>762</v>
      </c>
      <c r="B298" t="s">
        <v>4671</v>
      </c>
      <c r="C298" t="s"/>
      <c r="D298" t="s">
        <v>51</v>
      </c>
      <c r="E298">
        <f>HYPERLINK("https://www.britishcycling.org.uk/points?person_id=589103&amp;year=2019&amp;type=national&amp;d=6","Results")</f>
        <v/>
      </c>
    </row>
    <row r="299" spans="1:5">
      <c r="A299" t="s">
        <v>114</v>
      </c>
      <c r="B299" t="s">
        <v>4672</v>
      </c>
      <c r="C299" t="s">
        <v>2132</v>
      </c>
      <c r="D299" t="s">
        <v>51</v>
      </c>
      <c r="E299">
        <f>HYPERLINK("https://www.britishcycling.org.uk/points?person_id=53480&amp;year=2019&amp;type=national&amp;d=6","Results")</f>
        <v/>
      </c>
    </row>
    <row r="300" spans="1:5">
      <c r="A300" t="s">
        <v>765</v>
      </c>
      <c r="B300" t="s">
        <v>4673</v>
      </c>
      <c r="C300" t="s">
        <v>3978</v>
      </c>
      <c r="D300" t="s">
        <v>51</v>
      </c>
      <c r="E300">
        <f>HYPERLINK("https://www.britishcycling.org.uk/points?person_id=768060&amp;year=2019&amp;type=national&amp;d=6","Results")</f>
        <v/>
      </c>
    </row>
    <row r="301" spans="1:5">
      <c r="A301" t="s">
        <v>767</v>
      </c>
      <c r="B301" t="s">
        <v>4674</v>
      </c>
      <c r="C301" t="s">
        <v>299</v>
      </c>
      <c r="D301" t="s">
        <v>51</v>
      </c>
      <c r="E301">
        <f>HYPERLINK("https://www.britishcycling.org.uk/points?person_id=385103&amp;year=2019&amp;type=national&amp;d=6","Results")</f>
        <v/>
      </c>
    </row>
    <row r="302" spans="1:5">
      <c r="A302" t="s">
        <v>769</v>
      </c>
      <c r="B302" t="s">
        <v>4675</v>
      </c>
      <c r="C302" t="s">
        <v>4676</v>
      </c>
      <c r="D302" t="s">
        <v>51</v>
      </c>
      <c r="E302">
        <f>HYPERLINK("https://www.britishcycling.org.uk/points?person_id=108088&amp;year=2019&amp;type=national&amp;d=6","Results")</f>
        <v/>
      </c>
    </row>
    <row r="303" spans="1:5">
      <c r="A303" t="s">
        <v>772</v>
      </c>
      <c r="B303" t="s">
        <v>4677</v>
      </c>
      <c r="C303" t="s">
        <v>1810</v>
      </c>
      <c r="D303" t="s">
        <v>47</v>
      </c>
      <c r="E303">
        <f>HYPERLINK("https://www.britishcycling.org.uk/points?person_id=26258&amp;year=2019&amp;type=national&amp;d=6","Results")</f>
        <v/>
      </c>
    </row>
    <row r="304" spans="1:5">
      <c r="A304" t="s">
        <v>775</v>
      </c>
      <c r="B304" t="s">
        <v>4678</v>
      </c>
      <c r="C304" t="s">
        <v>212</v>
      </c>
      <c r="D304" t="s">
        <v>47</v>
      </c>
      <c r="E304">
        <f>HYPERLINK("https://www.britishcycling.org.uk/points?person_id=612656&amp;year=2019&amp;type=national&amp;d=6","Results")</f>
        <v/>
      </c>
    </row>
    <row r="305" spans="1:5">
      <c r="A305" t="s">
        <v>777</v>
      </c>
      <c r="B305" t="s">
        <v>4679</v>
      </c>
      <c r="C305" t="s">
        <v>1106</v>
      </c>
      <c r="D305" t="s">
        <v>47</v>
      </c>
      <c r="E305">
        <f>HYPERLINK("https://www.britishcycling.org.uk/points?person_id=439140&amp;year=2019&amp;type=national&amp;d=6","Results")</f>
        <v/>
      </c>
    </row>
    <row r="306" spans="1:5">
      <c r="A306" t="s">
        <v>779</v>
      </c>
      <c r="B306" t="s">
        <v>4680</v>
      </c>
      <c r="C306" t="s">
        <v>3311</v>
      </c>
      <c r="D306" t="s">
        <v>47</v>
      </c>
      <c r="E306">
        <f>HYPERLINK("https://www.britishcycling.org.uk/points?person_id=766830&amp;year=2019&amp;type=national&amp;d=6","Results")</f>
        <v/>
      </c>
    </row>
    <row r="307" spans="1:5">
      <c r="A307" t="s">
        <v>782</v>
      </c>
      <c r="B307" t="s">
        <v>4681</v>
      </c>
      <c r="C307" t="s">
        <v>4682</v>
      </c>
      <c r="D307" t="s">
        <v>47</v>
      </c>
      <c r="E307">
        <f>HYPERLINK("https://www.britishcycling.org.uk/points?person_id=448259&amp;year=2019&amp;type=national&amp;d=6","Results")</f>
        <v/>
      </c>
    </row>
    <row r="308" spans="1:5">
      <c r="A308" t="s">
        <v>784</v>
      </c>
      <c r="B308" t="s">
        <v>4683</v>
      </c>
      <c r="C308" t="s">
        <v>4684</v>
      </c>
      <c r="D308" t="s">
        <v>47</v>
      </c>
      <c r="E308">
        <f>HYPERLINK("https://www.britishcycling.org.uk/points?person_id=228457&amp;year=2019&amp;type=national&amp;d=6","Results")</f>
        <v/>
      </c>
    </row>
    <row r="309" spans="1:5">
      <c r="A309" t="s">
        <v>786</v>
      </c>
      <c r="B309" t="s">
        <v>4685</v>
      </c>
      <c r="C309" t="s">
        <v>4686</v>
      </c>
      <c r="D309" t="s">
        <v>47</v>
      </c>
      <c r="E309">
        <f>HYPERLINK("https://www.britishcycling.org.uk/points?person_id=341191&amp;year=2019&amp;type=national&amp;d=6","Results")</f>
        <v/>
      </c>
    </row>
    <row r="310" spans="1:5">
      <c r="A310" t="s">
        <v>788</v>
      </c>
      <c r="B310" t="s">
        <v>4357</v>
      </c>
      <c r="C310" t="s">
        <v>1082</v>
      </c>
      <c r="D310" t="s">
        <v>47</v>
      </c>
      <c r="E310">
        <f>HYPERLINK("https://www.britishcycling.org.uk/points?person_id=654948&amp;year=2019&amp;type=national&amp;d=6","Results")</f>
        <v/>
      </c>
    </row>
    <row r="311" spans="1:5">
      <c r="A311" t="s">
        <v>790</v>
      </c>
      <c r="B311" t="s">
        <v>4687</v>
      </c>
      <c r="C311" t="s">
        <v>1113</v>
      </c>
      <c r="D311" t="s">
        <v>43</v>
      </c>
      <c r="E311">
        <f>HYPERLINK("https://www.britishcycling.org.uk/points?person_id=478788&amp;year=2019&amp;type=national&amp;d=6","Results")</f>
        <v/>
      </c>
    </row>
    <row r="312" spans="1:5">
      <c r="A312" t="s">
        <v>792</v>
      </c>
      <c r="B312" t="s">
        <v>4688</v>
      </c>
      <c r="C312" t="s">
        <v>973</v>
      </c>
      <c r="D312" t="s">
        <v>43</v>
      </c>
      <c r="E312">
        <f>HYPERLINK("https://www.britishcycling.org.uk/points?person_id=56752&amp;year=2019&amp;type=national&amp;d=6","Results")</f>
        <v/>
      </c>
    </row>
    <row r="313" spans="1:5">
      <c r="A313" t="s">
        <v>794</v>
      </c>
      <c r="B313" t="s">
        <v>4689</v>
      </c>
      <c r="C313" t="s">
        <v>2934</v>
      </c>
      <c r="D313" t="s">
        <v>43</v>
      </c>
      <c r="E313">
        <f>HYPERLINK("https://www.britishcycling.org.uk/points?person_id=391594&amp;year=2019&amp;type=national&amp;d=6","Results")</f>
        <v/>
      </c>
    </row>
    <row r="314" spans="1:5">
      <c r="A314" t="s">
        <v>797</v>
      </c>
      <c r="B314" t="s">
        <v>4690</v>
      </c>
      <c r="C314" t="s">
        <v>1322</v>
      </c>
      <c r="D314" t="s">
        <v>39</v>
      </c>
      <c r="E314">
        <f>HYPERLINK("https://www.britishcycling.org.uk/points?person_id=66502&amp;year=2019&amp;type=national&amp;d=6","Results")</f>
        <v/>
      </c>
    </row>
    <row r="315" spans="1:5">
      <c r="A315" t="s">
        <v>799</v>
      </c>
      <c r="B315" t="s">
        <v>4691</v>
      </c>
      <c r="C315" t="s">
        <v>15</v>
      </c>
      <c r="D315" t="s">
        <v>39</v>
      </c>
      <c r="E315">
        <f>HYPERLINK("https://www.britishcycling.org.uk/points?person_id=327361&amp;year=2019&amp;type=national&amp;d=6","Results")</f>
        <v/>
      </c>
    </row>
    <row r="316" spans="1:5">
      <c r="A316" t="s">
        <v>801</v>
      </c>
      <c r="B316" t="s">
        <v>4369</v>
      </c>
      <c r="C316" t="s">
        <v>1160</v>
      </c>
      <c r="D316" t="s">
        <v>39</v>
      </c>
      <c r="E316">
        <f>HYPERLINK("https://www.britishcycling.org.uk/points?person_id=265301&amp;year=2019&amp;type=national&amp;d=6","Results")</f>
        <v/>
      </c>
    </row>
    <row r="317" spans="1:5">
      <c r="A317" t="s">
        <v>803</v>
      </c>
      <c r="B317" t="s">
        <v>4692</v>
      </c>
      <c r="C317" t="s">
        <v>1113</v>
      </c>
      <c r="D317" t="s">
        <v>39</v>
      </c>
      <c r="E317">
        <f>HYPERLINK("https://www.britishcycling.org.uk/points?person_id=117417&amp;year=2019&amp;type=national&amp;d=6","Results")</f>
        <v/>
      </c>
    </row>
    <row r="318" spans="1:5">
      <c r="A318" t="s">
        <v>110</v>
      </c>
      <c r="B318" t="s">
        <v>4693</v>
      </c>
      <c r="C318" t="s">
        <v>381</v>
      </c>
      <c r="D318" t="s">
        <v>39</v>
      </c>
      <c r="E318">
        <f>HYPERLINK("https://www.britishcycling.org.uk/points?person_id=920767&amp;year=2019&amp;type=national&amp;d=6","Results")</f>
        <v/>
      </c>
    </row>
    <row r="319" spans="1:5">
      <c r="A319" t="s">
        <v>806</v>
      </c>
      <c r="B319" t="s">
        <v>4694</v>
      </c>
      <c r="C319" t="s">
        <v>4695</v>
      </c>
      <c r="D319" t="s">
        <v>39</v>
      </c>
      <c r="E319">
        <f>HYPERLINK("https://www.britishcycling.org.uk/points?person_id=431082&amp;year=2019&amp;type=national&amp;d=6","Results")</f>
        <v/>
      </c>
    </row>
    <row r="320" spans="1:5">
      <c r="A320" t="s">
        <v>808</v>
      </c>
      <c r="B320" t="s">
        <v>4696</v>
      </c>
      <c r="C320" t="s">
        <v>312</v>
      </c>
      <c r="D320" t="s">
        <v>35</v>
      </c>
      <c r="E320">
        <f>HYPERLINK("https://www.britishcycling.org.uk/points?person_id=34455&amp;year=2019&amp;type=national&amp;d=6","Results")</f>
        <v/>
      </c>
    </row>
    <row r="321" spans="1:5">
      <c r="A321" t="s">
        <v>810</v>
      </c>
      <c r="B321" t="s">
        <v>4697</v>
      </c>
      <c r="C321" t="s">
        <v>4698</v>
      </c>
      <c r="D321" t="s">
        <v>35</v>
      </c>
      <c r="E321">
        <f>HYPERLINK("https://www.britishcycling.org.uk/points?person_id=738319&amp;year=2019&amp;type=national&amp;d=6","Results")</f>
        <v/>
      </c>
    </row>
    <row r="322" spans="1:5">
      <c r="A322" t="s">
        <v>812</v>
      </c>
      <c r="B322" t="s">
        <v>4347</v>
      </c>
      <c r="C322" t="s">
        <v>101</v>
      </c>
      <c r="D322" t="s">
        <v>35</v>
      </c>
      <c r="E322">
        <f>HYPERLINK("https://www.britishcycling.org.uk/points?person_id=701665&amp;year=2019&amp;type=national&amp;d=6","Results")</f>
        <v/>
      </c>
    </row>
    <row r="323" spans="1:5">
      <c r="A323" t="s">
        <v>815</v>
      </c>
      <c r="B323" t="s">
        <v>4699</v>
      </c>
      <c r="C323" t="s">
        <v>4700</v>
      </c>
      <c r="D323" t="s">
        <v>35</v>
      </c>
      <c r="E323">
        <f>HYPERLINK("https://www.britishcycling.org.uk/points?person_id=821532&amp;year=2019&amp;type=national&amp;d=6","Results")</f>
        <v/>
      </c>
    </row>
    <row r="324" spans="1:5">
      <c r="A324" t="s">
        <v>818</v>
      </c>
      <c r="B324" t="s">
        <v>4701</v>
      </c>
      <c r="C324" t="s">
        <v>3997</v>
      </c>
      <c r="D324" t="s">
        <v>35</v>
      </c>
      <c r="E324">
        <f>HYPERLINK("https://www.britishcycling.org.uk/points?person_id=316827&amp;year=2019&amp;type=national&amp;d=6","Results")</f>
        <v/>
      </c>
    </row>
    <row r="325" spans="1:5">
      <c r="A325" t="s">
        <v>820</v>
      </c>
      <c r="B325" t="s">
        <v>4702</v>
      </c>
      <c r="C325" t="s">
        <v>4703</v>
      </c>
      <c r="D325" t="s">
        <v>35</v>
      </c>
      <c r="E325">
        <f>HYPERLINK("https://www.britishcycling.org.uk/points?person_id=102896&amp;year=2019&amp;type=national&amp;d=6","Results")</f>
        <v/>
      </c>
    </row>
    <row r="326" spans="1:5">
      <c r="A326" t="s">
        <v>823</v>
      </c>
      <c r="B326" t="s">
        <v>4368</v>
      </c>
      <c r="C326" t="s">
        <v>1317</v>
      </c>
      <c r="D326" t="s">
        <v>35</v>
      </c>
      <c r="E326">
        <f>HYPERLINK("https://www.britishcycling.org.uk/points?person_id=100515&amp;year=2019&amp;type=national&amp;d=6","Results")</f>
        <v/>
      </c>
    </row>
    <row r="327" spans="1:5">
      <c r="A327" t="s">
        <v>825</v>
      </c>
      <c r="B327" t="s">
        <v>4704</v>
      </c>
      <c r="C327" t="s">
        <v>2104</v>
      </c>
      <c r="D327" t="s">
        <v>35</v>
      </c>
      <c r="E327">
        <f>HYPERLINK("https://www.britishcycling.org.uk/points?person_id=274008&amp;year=2019&amp;type=national&amp;d=6","Results")</f>
        <v/>
      </c>
    </row>
    <row r="328" spans="1:5">
      <c r="A328" t="s">
        <v>828</v>
      </c>
      <c r="B328" t="s">
        <v>4705</v>
      </c>
      <c r="C328" t="s">
        <v>403</v>
      </c>
      <c r="D328" t="s">
        <v>35</v>
      </c>
      <c r="E328">
        <f>HYPERLINK("https://www.britishcycling.org.uk/points?person_id=105484&amp;year=2019&amp;type=national&amp;d=6","Results")</f>
        <v/>
      </c>
    </row>
    <row r="329" spans="1:5">
      <c r="A329" t="s">
        <v>106</v>
      </c>
      <c r="B329" t="s">
        <v>4706</v>
      </c>
      <c r="C329" t="s"/>
      <c r="D329" t="s">
        <v>35</v>
      </c>
      <c r="E329">
        <f>HYPERLINK("https://www.britishcycling.org.uk/points?person_id=171145&amp;year=2019&amp;type=national&amp;d=6","Results")</f>
        <v/>
      </c>
    </row>
    <row r="330" spans="1:5">
      <c r="A330" t="s">
        <v>832</v>
      </c>
      <c r="B330" t="s">
        <v>4707</v>
      </c>
      <c r="C330" t="s">
        <v>472</v>
      </c>
      <c r="D330" t="s">
        <v>35</v>
      </c>
      <c r="E330">
        <f>HYPERLINK("https://www.britishcycling.org.uk/points?person_id=767288&amp;year=2019&amp;type=national&amp;d=6","Results")</f>
        <v/>
      </c>
    </row>
    <row r="331" spans="1:5">
      <c r="A331" t="s">
        <v>835</v>
      </c>
      <c r="B331" t="s">
        <v>4708</v>
      </c>
      <c r="C331" t="s">
        <v>1113</v>
      </c>
      <c r="D331" t="s">
        <v>31</v>
      </c>
      <c r="E331">
        <f>HYPERLINK("https://www.britishcycling.org.uk/points?person_id=42696&amp;year=2019&amp;type=national&amp;d=6","Results")</f>
        <v/>
      </c>
    </row>
    <row r="332" spans="1:5">
      <c r="A332" t="s">
        <v>838</v>
      </c>
      <c r="B332" t="s">
        <v>4709</v>
      </c>
      <c r="C332" t="s">
        <v>2104</v>
      </c>
      <c r="D332" t="s">
        <v>31</v>
      </c>
      <c r="E332">
        <f>HYPERLINK("https://www.britishcycling.org.uk/points?person_id=732383&amp;year=2019&amp;type=national&amp;d=6","Results")</f>
        <v/>
      </c>
    </row>
    <row r="333" spans="1:5">
      <c r="A333" t="s">
        <v>840</v>
      </c>
      <c r="B333" t="s">
        <v>4710</v>
      </c>
      <c r="C333" t="s">
        <v>216</v>
      </c>
      <c r="D333" t="s">
        <v>31</v>
      </c>
      <c r="E333">
        <f>HYPERLINK("https://www.britishcycling.org.uk/points?person_id=25383&amp;year=2019&amp;type=national&amp;d=6","Results")</f>
        <v/>
      </c>
    </row>
    <row r="334" spans="1:5">
      <c r="A334" t="s">
        <v>842</v>
      </c>
      <c r="B334" t="s">
        <v>4711</v>
      </c>
      <c r="C334" t="s">
        <v>511</v>
      </c>
      <c r="D334" t="s">
        <v>31</v>
      </c>
      <c r="E334">
        <f>HYPERLINK("https://www.britishcycling.org.uk/points?person_id=34328&amp;year=2019&amp;type=national&amp;d=6","Results")</f>
        <v/>
      </c>
    </row>
    <row r="335" spans="1:5">
      <c r="A335" t="s">
        <v>845</v>
      </c>
      <c r="B335" t="s">
        <v>4712</v>
      </c>
      <c r="C335" t="s">
        <v>1715</v>
      </c>
      <c r="D335" t="s">
        <v>31</v>
      </c>
      <c r="E335">
        <f>HYPERLINK("https://www.britishcycling.org.uk/points?person_id=418414&amp;year=2019&amp;type=national&amp;d=6","Results")</f>
        <v/>
      </c>
    </row>
    <row r="336" spans="1:5">
      <c r="A336" t="s">
        <v>848</v>
      </c>
      <c r="B336" t="s">
        <v>4713</v>
      </c>
      <c r="C336" t="s">
        <v>1993</v>
      </c>
      <c r="D336" t="s">
        <v>31</v>
      </c>
      <c r="E336">
        <f>HYPERLINK("https://www.britishcycling.org.uk/points?person_id=401374&amp;year=2019&amp;type=national&amp;d=6","Results")</f>
        <v/>
      </c>
    </row>
    <row r="337" spans="1:5">
      <c r="A337" t="s">
        <v>102</v>
      </c>
      <c r="B337" t="s">
        <v>4714</v>
      </c>
      <c r="C337" t="s">
        <v>3615</v>
      </c>
      <c r="D337" t="s">
        <v>31</v>
      </c>
      <c r="E337">
        <f>HYPERLINK("https://www.britishcycling.org.uk/points?person_id=753301&amp;year=2019&amp;type=national&amp;d=6","Results")</f>
        <v/>
      </c>
    </row>
    <row r="338" spans="1:5">
      <c r="A338" t="s">
        <v>851</v>
      </c>
      <c r="B338" t="s">
        <v>4715</v>
      </c>
      <c r="C338" t="s">
        <v>11</v>
      </c>
      <c r="D338" t="s">
        <v>31</v>
      </c>
      <c r="E338">
        <f>HYPERLINK("https://www.britishcycling.org.uk/points?person_id=74990&amp;year=2019&amp;type=national&amp;d=6","Results")</f>
        <v/>
      </c>
    </row>
    <row r="339" spans="1:5">
      <c r="A339" t="s">
        <v>854</v>
      </c>
      <c r="B339" t="s">
        <v>4716</v>
      </c>
      <c r="C339" t="s">
        <v>1494</v>
      </c>
      <c r="D339" t="s">
        <v>31</v>
      </c>
      <c r="E339">
        <f>HYPERLINK("https://www.britishcycling.org.uk/points?person_id=676225&amp;year=2019&amp;type=national&amp;d=6","Results")</f>
        <v/>
      </c>
    </row>
    <row r="340" spans="1:5">
      <c r="A340" t="s">
        <v>857</v>
      </c>
      <c r="B340" t="s">
        <v>4717</v>
      </c>
      <c r="C340" t="s">
        <v>1819</v>
      </c>
      <c r="D340" t="s">
        <v>28</v>
      </c>
      <c r="E340">
        <f>HYPERLINK("https://www.britishcycling.org.uk/points?person_id=624157&amp;year=2019&amp;type=national&amp;d=6","Results")</f>
        <v/>
      </c>
    </row>
    <row r="341" spans="1:5">
      <c r="A341" t="s">
        <v>98</v>
      </c>
      <c r="B341" t="s">
        <v>4718</v>
      </c>
      <c r="C341" t="s">
        <v>190</v>
      </c>
      <c r="D341" t="s">
        <v>28</v>
      </c>
      <c r="E341">
        <f>HYPERLINK("https://www.britishcycling.org.uk/points?person_id=61307&amp;year=2019&amp;type=national&amp;d=6","Results")</f>
        <v/>
      </c>
    </row>
    <row r="342" spans="1:5">
      <c r="A342" t="s">
        <v>860</v>
      </c>
      <c r="B342" t="s">
        <v>4719</v>
      </c>
      <c r="C342" t="s"/>
      <c r="D342" t="s">
        <v>28</v>
      </c>
      <c r="E342">
        <f>HYPERLINK("https://www.britishcycling.org.uk/points?person_id=42517&amp;year=2019&amp;type=national&amp;d=6","Results")</f>
        <v/>
      </c>
    </row>
    <row r="343" spans="1:5">
      <c r="A343" t="s">
        <v>862</v>
      </c>
      <c r="B343" t="s">
        <v>4720</v>
      </c>
      <c r="C343" t="s">
        <v>2874</v>
      </c>
      <c r="D343" t="s">
        <v>28</v>
      </c>
      <c r="E343">
        <f>HYPERLINK("https://www.britishcycling.org.uk/points?person_id=98818&amp;year=2019&amp;type=national&amp;d=6","Results")</f>
        <v/>
      </c>
    </row>
    <row r="344" spans="1:5">
      <c r="A344" t="s">
        <v>864</v>
      </c>
      <c r="B344" t="s">
        <v>4721</v>
      </c>
      <c r="C344" t="s">
        <v>2101</v>
      </c>
      <c r="D344" t="s">
        <v>28</v>
      </c>
      <c r="E344">
        <f>HYPERLINK("https://www.britishcycling.org.uk/points?person_id=556669&amp;year=2019&amp;type=national&amp;d=6","Results")</f>
        <v/>
      </c>
    </row>
    <row r="345" spans="1:5">
      <c r="A345" t="s">
        <v>867</v>
      </c>
      <c r="B345" t="s">
        <v>4722</v>
      </c>
      <c r="C345" t="s">
        <v>4723</v>
      </c>
      <c r="D345" t="s">
        <v>28</v>
      </c>
      <c r="E345">
        <f>HYPERLINK("https://www.britishcycling.org.uk/points?person_id=138357&amp;year=2019&amp;type=national&amp;d=6","Results")</f>
        <v/>
      </c>
    </row>
    <row r="346" spans="1:5">
      <c r="A346" t="s">
        <v>869</v>
      </c>
      <c r="B346" t="s">
        <v>4724</v>
      </c>
      <c r="C346" t="s">
        <v>4619</v>
      </c>
      <c r="D346" t="s">
        <v>28</v>
      </c>
      <c r="E346">
        <f>HYPERLINK("https://www.britishcycling.org.uk/points?person_id=652064&amp;year=2019&amp;type=national&amp;d=6","Results")</f>
        <v/>
      </c>
    </row>
    <row r="347" spans="1:5">
      <c r="A347" t="s">
        <v>871</v>
      </c>
      <c r="B347" t="s">
        <v>4725</v>
      </c>
      <c r="C347" t="s">
        <v>2947</v>
      </c>
      <c r="D347" t="s">
        <v>28</v>
      </c>
      <c r="E347">
        <f>HYPERLINK("https://www.britishcycling.org.uk/points?person_id=43271&amp;year=2019&amp;type=national&amp;d=6","Results")</f>
        <v/>
      </c>
    </row>
    <row r="348" spans="1:5">
      <c r="A348" t="s">
        <v>873</v>
      </c>
      <c r="B348" t="s">
        <v>4365</v>
      </c>
      <c r="C348" t="s">
        <v>1133</v>
      </c>
      <c r="D348" t="s">
        <v>25</v>
      </c>
      <c r="E348">
        <f>HYPERLINK("https://www.britishcycling.org.uk/points?person_id=410187&amp;year=2019&amp;type=national&amp;d=6","Results")</f>
        <v/>
      </c>
    </row>
    <row r="349" spans="1:5">
      <c r="A349" t="s">
        <v>875</v>
      </c>
      <c r="B349" t="s">
        <v>4726</v>
      </c>
      <c r="C349" t="s"/>
      <c r="D349" t="s">
        <v>25</v>
      </c>
      <c r="E349">
        <f>HYPERLINK("https://www.britishcycling.org.uk/points?person_id=818423&amp;year=2019&amp;type=national&amp;d=6","Results")</f>
        <v/>
      </c>
    </row>
    <row r="350" spans="1:5">
      <c r="A350" t="s">
        <v>877</v>
      </c>
      <c r="B350" t="s">
        <v>4727</v>
      </c>
      <c r="C350" t="s">
        <v>1461</v>
      </c>
      <c r="D350" t="s">
        <v>25</v>
      </c>
      <c r="E350">
        <f>HYPERLINK("https://www.britishcycling.org.uk/points?person_id=568700&amp;year=2019&amp;type=national&amp;d=6","Results")</f>
        <v/>
      </c>
    </row>
    <row r="351" spans="1:5">
      <c r="A351" t="s">
        <v>880</v>
      </c>
      <c r="B351" t="s">
        <v>4728</v>
      </c>
      <c r="C351" t="s">
        <v>1635</v>
      </c>
      <c r="D351" t="s">
        <v>25</v>
      </c>
      <c r="E351">
        <f>HYPERLINK("https://www.britishcycling.org.uk/points?person_id=29840&amp;year=2019&amp;type=national&amp;d=6","Results")</f>
        <v/>
      </c>
    </row>
    <row r="352" spans="1:5">
      <c r="A352" t="s">
        <v>882</v>
      </c>
      <c r="B352" t="s">
        <v>4729</v>
      </c>
      <c r="C352" t="s">
        <v>1699</v>
      </c>
      <c r="D352" t="s">
        <v>25</v>
      </c>
      <c r="E352">
        <f>HYPERLINK("https://www.britishcycling.org.uk/points?person_id=268107&amp;year=2019&amp;type=national&amp;d=6","Results")</f>
        <v/>
      </c>
    </row>
    <row r="353" spans="1:5">
      <c r="A353" t="s">
        <v>885</v>
      </c>
      <c r="B353" t="s">
        <v>4730</v>
      </c>
      <c r="C353" t="s">
        <v>1795</v>
      </c>
      <c r="D353" t="s">
        <v>25</v>
      </c>
      <c r="E353">
        <f>HYPERLINK("https://www.britishcycling.org.uk/points?person_id=730488&amp;year=2019&amp;type=national&amp;d=6","Results")</f>
        <v/>
      </c>
    </row>
    <row r="354" spans="1:5">
      <c r="A354" t="s">
        <v>888</v>
      </c>
      <c r="B354" t="s">
        <v>4731</v>
      </c>
      <c r="C354" t="s">
        <v>1832</v>
      </c>
      <c r="D354" t="s">
        <v>25</v>
      </c>
      <c r="E354">
        <f>HYPERLINK("https://www.britishcycling.org.uk/points?person_id=881268&amp;year=2019&amp;type=national&amp;d=6","Results")</f>
        <v/>
      </c>
    </row>
    <row r="355" spans="1:5">
      <c r="A355" t="s">
        <v>890</v>
      </c>
      <c r="B355" t="s">
        <v>4732</v>
      </c>
      <c r="C355" t="s">
        <v>4733</v>
      </c>
      <c r="D355" t="s">
        <v>25</v>
      </c>
      <c r="E355">
        <f>HYPERLINK("https://www.britishcycling.org.uk/points?person_id=880510&amp;year=2019&amp;type=national&amp;d=6","Results")</f>
        <v/>
      </c>
    </row>
    <row r="356" spans="1:5">
      <c r="A356" t="s">
        <v>892</v>
      </c>
      <c r="B356" t="s">
        <v>4734</v>
      </c>
      <c r="C356" t="s">
        <v>4735</v>
      </c>
      <c r="D356" t="s">
        <v>21</v>
      </c>
      <c r="E356">
        <f>HYPERLINK("https://www.britishcycling.org.uk/points?person_id=613199&amp;year=2019&amp;type=national&amp;d=6","Results")</f>
        <v/>
      </c>
    </row>
    <row r="357" spans="1:5">
      <c r="A357" t="s">
        <v>894</v>
      </c>
      <c r="B357" t="s">
        <v>4736</v>
      </c>
      <c r="C357" t="s">
        <v>4572</v>
      </c>
      <c r="D357" t="s">
        <v>21</v>
      </c>
      <c r="E357">
        <f>HYPERLINK("https://www.britishcycling.org.uk/points?person_id=330751&amp;year=2019&amp;type=national&amp;d=6","Results")</f>
        <v/>
      </c>
    </row>
    <row r="358" spans="1:5">
      <c r="A358" t="s">
        <v>897</v>
      </c>
      <c r="B358" t="s">
        <v>4737</v>
      </c>
      <c r="C358" t="s">
        <v>1317</v>
      </c>
      <c r="D358" t="s">
        <v>21</v>
      </c>
      <c r="E358">
        <f>HYPERLINK("https://www.britishcycling.org.uk/points?person_id=104854&amp;year=2019&amp;type=national&amp;d=6","Results")</f>
        <v/>
      </c>
    </row>
    <row r="359" spans="1:5">
      <c r="A359" t="s">
        <v>95</v>
      </c>
      <c r="B359" t="s">
        <v>4738</v>
      </c>
      <c r="C359" t="s"/>
      <c r="D359" t="s">
        <v>21</v>
      </c>
      <c r="E359">
        <f>HYPERLINK("https://www.britishcycling.org.uk/points?person_id=13402&amp;year=2019&amp;type=national&amp;d=6","Results")</f>
        <v/>
      </c>
    </row>
    <row r="360" spans="1:5">
      <c r="A360" t="s">
        <v>901</v>
      </c>
      <c r="B360" t="s">
        <v>4335</v>
      </c>
      <c r="C360" t="s">
        <v>472</v>
      </c>
      <c r="D360" t="s">
        <v>21</v>
      </c>
      <c r="E360">
        <f>HYPERLINK("https://www.britishcycling.org.uk/points?person_id=744784&amp;year=2019&amp;type=national&amp;d=6","Results")</f>
        <v/>
      </c>
    </row>
    <row r="361" spans="1:5">
      <c r="A361" t="s">
        <v>904</v>
      </c>
      <c r="B361" t="s">
        <v>4739</v>
      </c>
      <c r="C361" t="s">
        <v>4231</v>
      </c>
      <c r="D361" t="s">
        <v>21</v>
      </c>
      <c r="E361">
        <f>HYPERLINK("https://www.britishcycling.org.uk/points?person_id=222360&amp;year=2019&amp;type=national&amp;d=6","Results")</f>
        <v/>
      </c>
    </row>
    <row r="362" spans="1:5">
      <c r="A362" t="s">
        <v>906</v>
      </c>
      <c r="B362" t="s">
        <v>4740</v>
      </c>
      <c r="C362" t="s">
        <v>4741</v>
      </c>
      <c r="D362" t="s">
        <v>21</v>
      </c>
      <c r="E362">
        <f>HYPERLINK("https://www.britishcycling.org.uk/points?person_id=758779&amp;year=2019&amp;type=national&amp;d=6","Results")</f>
        <v/>
      </c>
    </row>
    <row r="363" spans="1:5">
      <c r="A363" t="s">
        <v>2083</v>
      </c>
      <c r="B363" t="s">
        <v>4742</v>
      </c>
      <c r="C363" t="s">
        <v>4184</v>
      </c>
      <c r="D363" t="s">
        <v>21</v>
      </c>
      <c r="E363">
        <f>HYPERLINK("https://www.britishcycling.org.uk/points?person_id=270690&amp;year=2019&amp;type=national&amp;d=6","Results")</f>
        <v/>
      </c>
    </row>
    <row r="364" spans="1:5">
      <c r="A364" t="s">
        <v>2086</v>
      </c>
      <c r="B364" t="s">
        <v>4743</v>
      </c>
      <c r="C364" t="s">
        <v>392</v>
      </c>
      <c r="D364" t="s">
        <v>21</v>
      </c>
      <c r="E364">
        <f>HYPERLINK("https://www.britishcycling.org.uk/points?person_id=509414&amp;year=2019&amp;type=national&amp;d=6","Results")</f>
        <v/>
      </c>
    </row>
    <row r="365" spans="1:5">
      <c r="A365" t="s">
        <v>941</v>
      </c>
      <c r="B365" t="s">
        <v>4744</v>
      </c>
      <c r="C365" t="s"/>
      <c r="D365" t="s">
        <v>21</v>
      </c>
      <c r="E365">
        <f>HYPERLINK("https://www.britishcycling.org.uk/points?person_id=943864&amp;year=2019&amp;type=national&amp;d=6","Results")</f>
        <v/>
      </c>
    </row>
    <row r="366" spans="1:5">
      <c r="A366" t="s">
        <v>2088</v>
      </c>
      <c r="B366" t="s">
        <v>4745</v>
      </c>
      <c r="C366" t="s">
        <v>361</v>
      </c>
      <c r="D366" t="s">
        <v>21</v>
      </c>
      <c r="E366">
        <f>HYPERLINK("https://www.britishcycling.org.uk/points?person_id=15656&amp;year=2019&amp;type=national&amp;d=6","Results")</f>
        <v/>
      </c>
    </row>
    <row r="367" spans="1:5">
      <c r="A367" t="s">
        <v>91</v>
      </c>
      <c r="B367" t="s">
        <v>4746</v>
      </c>
      <c r="C367" t="s">
        <v>1874</v>
      </c>
      <c r="D367" t="s">
        <v>21</v>
      </c>
      <c r="E367">
        <f>HYPERLINK("https://www.britishcycling.org.uk/points?person_id=49532&amp;year=2019&amp;type=national&amp;d=6","Results")</f>
        <v/>
      </c>
    </row>
    <row r="368" spans="1:5">
      <c r="A368" t="s">
        <v>2092</v>
      </c>
      <c r="B368" t="s">
        <v>4747</v>
      </c>
      <c r="C368" t="s">
        <v>2921</v>
      </c>
      <c r="D368" t="s">
        <v>17</v>
      </c>
      <c r="E368">
        <f>HYPERLINK("https://www.britishcycling.org.uk/points?person_id=194606&amp;year=2019&amp;type=national&amp;d=6","Results")</f>
        <v/>
      </c>
    </row>
    <row r="369" spans="1:5">
      <c r="A369" t="s">
        <v>1649</v>
      </c>
      <c r="B369" t="s">
        <v>4330</v>
      </c>
      <c r="C369" t="s">
        <v>174</v>
      </c>
      <c r="D369" t="s">
        <v>17</v>
      </c>
      <c r="E369">
        <f>HYPERLINK("https://www.britishcycling.org.uk/points?person_id=64818&amp;year=2019&amp;type=national&amp;d=6","Results")</f>
        <v/>
      </c>
    </row>
    <row r="370" spans="1:5">
      <c r="A370" t="s">
        <v>2094</v>
      </c>
      <c r="B370" t="s">
        <v>4748</v>
      </c>
      <c r="C370" t="s">
        <v>817</v>
      </c>
      <c r="D370" t="s">
        <v>17</v>
      </c>
      <c r="E370">
        <f>HYPERLINK("https://www.britishcycling.org.uk/points?person_id=404364&amp;year=2019&amp;type=national&amp;d=6","Results")</f>
        <v/>
      </c>
    </row>
    <row r="371" spans="1:5">
      <c r="A371" t="s">
        <v>2097</v>
      </c>
      <c r="B371" t="s">
        <v>4749</v>
      </c>
      <c r="C371" t="s">
        <v>212</v>
      </c>
      <c r="D371" t="s">
        <v>17</v>
      </c>
      <c r="E371">
        <f>HYPERLINK("https://www.britishcycling.org.uk/points?person_id=573198&amp;year=2019&amp;type=national&amp;d=6","Results")</f>
        <v/>
      </c>
    </row>
    <row r="372" spans="1:5">
      <c r="A372" t="s">
        <v>88</v>
      </c>
      <c r="B372" t="s">
        <v>4750</v>
      </c>
      <c r="C372" t="s">
        <v>3309</v>
      </c>
      <c r="D372" t="s">
        <v>17</v>
      </c>
      <c r="E372">
        <f>HYPERLINK("https://www.britishcycling.org.uk/points?person_id=319023&amp;year=2019&amp;type=national&amp;d=6","Results")</f>
        <v/>
      </c>
    </row>
    <row r="373" spans="1:5">
      <c r="A373" t="s">
        <v>2102</v>
      </c>
      <c r="B373" t="s">
        <v>4751</v>
      </c>
      <c r="C373" t="s">
        <v>4752</v>
      </c>
      <c r="D373" t="s">
        <v>17</v>
      </c>
      <c r="E373">
        <f>HYPERLINK("https://www.britishcycling.org.uk/points?person_id=519743&amp;year=2019&amp;type=national&amp;d=6","Results")</f>
        <v/>
      </c>
    </row>
    <row r="374" spans="1:5">
      <c r="A374" t="s">
        <v>2105</v>
      </c>
      <c r="B374" t="s">
        <v>4375</v>
      </c>
      <c r="C374" t="s">
        <v>299</v>
      </c>
      <c r="D374" t="s">
        <v>17</v>
      </c>
      <c r="E374">
        <f>HYPERLINK("https://www.britishcycling.org.uk/points?person_id=276892&amp;year=2019&amp;type=national&amp;d=6","Results")</f>
        <v/>
      </c>
    </row>
    <row r="375" spans="1:5">
      <c r="A375" t="s">
        <v>2107</v>
      </c>
      <c r="B375" t="s">
        <v>4753</v>
      </c>
      <c r="C375" t="s">
        <v>4695</v>
      </c>
      <c r="D375" t="s">
        <v>17</v>
      </c>
      <c r="E375">
        <f>HYPERLINK("https://www.britishcycling.org.uk/points?person_id=31407&amp;year=2019&amp;type=national&amp;d=6","Results")</f>
        <v/>
      </c>
    </row>
    <row r="376" spans="1:5">
      <c r="A376" t="s">
        <v>2110</v>
      </c>
      <c r="B376" t="s">
        <v>4754</v>
      </c>
      <c r="C376" t="s">
        <v>1344</v>
      </c>
      <c r="D376" t="s">
        <v>17</v>
      </c>
      <c r="E376">
        <f>HYPERLINK("https://www.britishcycling.org.uk/points?person_id=307594&amp;year=2019&amp;type=national&amp;d=6","Results")</f>
        <v/>
      </c>
    </row>
    <row r="377" spans="1:5">
      <c r="A377" t="s">
        <v>84</v>
      </c>
      <c r="B377" t="s">
        <v>4755</v>
      </c>
      <c r="C377" t="s"/>
      <c r="D377" t="s">
        <v>17</v>
      </c>
      <c r="E377">
        <f>HYPERLINK("https://www.britishcycling.org.uk/points?person_id=904995&amp;year=2019&amp;type=national&amp;d=6","Results")</f>
        <v/>
      </c>
    </row>
    <row r="378" spans="1:5">
      <c r="A378" t="s">
        <v>2113</v>
      </c>
      <c r="B378" t="s">
        <v>4756</v>
      </c>
      <c r="C378" t="s">
        <v>771</v>
      </c>
      <c r="D378" t="s">
        <v>17</v>
      </c>
      <c r="E378">
        <f>HYPERLINK("https://www.britishcycling.org.uk/points?person_id=255001&amp;year=2019&amp;type=national&amp;d=6","Results")</f>
        <v/>
      </c>
    </row>
    <row r="379" spans="1:5">
      <c r="A379" t="s">
        <v>2116</v>
      </c>
      <c r="B379" t="s">
        <v>4372</v>
      </c>
      <c r="C379" t="s">
        <v>3613</v>
      </c>
      <c r="D379" t="s">
        <v>13</v>
      </c>
      <c r="E379">
        <f>HYPERLINK("https://www.britishcycling.org.uk/points?person_id=219769&amp;year=2019&amp;type=national&amp;d=6","Results")</f>
        <v/>
      </c>
    </row>
    <row r="380" spans="1:5">
      <c r="A380" t="s">
        <v>2119</v>
      </c>
      <c r="B380" t="s">
        <v>4352</v>
      </c>
      <c r="C380" t="s">
        <v>578</v>
      </c>
      <c r="D380" t="s">
        <v>13</v>
      </c>
      <c r="E380">
        <f>HYPERLINK("https://www.britishcycling.org.uk/points?person_id=272711&amp;year=2019&amp;type=national&amp;d=6","Results")</f>
        <v/>
      </c>
    </row>
    <row r="381" spans="1:5">
      <c r="A381" t="s">
        <v>2121</v>
      </c>
      <c r="B381" t="s">
        <v>4757</v>
      </c>
      <c r="C381" t="s">
        <v>3193</v>
      </c>
      <c r="D381" t="s">
        <v>13</v>
      </c>
      <c r="E381">
        <f>HYPERLINK("https://www.britishcycling.org.uk/points?person_id=390752&amp;year=2019&amp;type=national&amp;d=6","Results")</f>
        <v/>
      </c>
    </row>
    <row r="382" spans="1:5">
      <c r="A382" t="s">
        <v>2124</v>
      </c>
      <c r="B382" t="s">
        <v>4758</v>
      </c>
      <c r="C382" t="s">
        <v>358</v>
      </c>
      <c r="D382" t="s">
        <v>13</v>
      </c>
      <c r="E382">
        <f>HYPERLINK("https://www.britishcycling.org.uk/points?person_id=17734&amp;year=2019&amp;type=national&amp;d=6","Results")</f>
        <v/>
      </c>
    </row>
    <row r="383" spans="1:5">
      <c r="A383" t="s">
        <v>2127</v>
      </c>
      <c r="B383" t="s">
        <v>4759</v>
      </c>
      <c r="C383" t="s">
        <v>4326</v>
      </c>
      <c r="D383" t="s">
        <v>13</v>
      </c>
      <c r="E383">
        <f>HYPERLINK("https://www.britishcycling.org.uk/points?person_id=236224&amp;year=2019&amp;type=national&amp;d=6","Results")</f>
        <v/>
      </c>
    </row>
    <row r="384" spans="1:5">
      <c r="A384" t="s">
        <v>2130</v>
      </c>
      <c r="B384" t="s">
        <v>4370</v>
      </c>
      <c r="C384" t="s">
        <v>1082</v>
      </c>
      <c r="D384" t="s">
        <v>13</v>
      </c>
      <c r="E384">
        <f>HYPERLINK("https://www.britishcycling.org.uk/points?person_id=544976&amp;year=2019&amp;type=national&amp;d=6","Results")</f>
        <v/>
      </c>
    </row>
    <row r="385" spans="1:5">
      <c r="A385" t="s">
        <v>81</v>
      </c>
      <c r="B385" t="s">
        <v>4760</v>
      </c>
      <c r="C385" t="s"/>
      <c r="D385" t="s">
        <v>13</v>
      </c>
      <c r="E385">
        <f>HYPERLINK("https://www.britishcycling.org.uk/points?person_id=941834&amp;year=2019&amp;type=national&amp;d=6","Results")</f>
        <v/>
      </c>
    </row>
    <row r="386" spans="1:5">
      <c r="A386" t="s">
        <v>2135</v>
      </c>
      <c r="B386" t="s">
        <v>4761</v>
      </c>
      <c r="C386" t="s">
        <v>4762</v>
      </c>
      <c r="D386" t="s">
        <v>9</v>
      </c>
      <c r="E386">
        <f>HYPERLINK("https://www.britishcycling.org.uk/points?person_id=63739&amp;year=2019&amp;type=national&amp;d=6","Results")</f>
        <v/>
      </c>
    </row>
    <row r="387" spans="1:5">
      <c r="A387" t="s">
        <v>2137</v>
      </c>
      <c r="B387" t="s">
        <v>4763</v>
      </c>
      <c r="C387" t="s">
        <v>4764</v>
      </c>
      <c r="D387" t="s">
        <v>9</v>
      </c>
      <c r="E387">
        <f>HYPERLINK("https://www.britishcycling.org.uk/points?person_id=416871&amp;year=2019&amp;type=national&amp;d=6","Results")</f>
        <v/>
      </c>
    </row>
    <row r="388" spans="1:5">
      <c r="A388" t="s">
        <v>2140</v>
      </c>
      <c r="B388" t="s">
        <v>4765</v>
      </c>
      <c r="C388" t="s">
        <v>2438</v>
      </c>
      <c r="D388" t="s">
        <v>9</v>
      </c>
      <c r="E388">
        <f>HYPERLINK("https://www.britishcycling.org.uk/points?person_id=261788&amp;year=2019&amp;type=national&amp;d=6","Results")</f>
        <v/>
      </c>
    </row>
    <row r="389" spans="1:5">
      <c r="A389" t="s">
        <v>1646</v>
      </c>
      <c r="B389" t="s">
        <v>4766</v>
      </c>
      <c r="C389" t="s">
        <v>2041</v>
      </c>
      <c r="D389" t="s">
        <v>9</v>
      </c>
      <c r="E389">
        <f>HYPERLINK("https://www.britishcycling.org.uk/points?person_id=347735&amp;year=2019&amp;type=national&amp;d=6","Results")</f>
        <v/>
      </c>
    </row>
    <row r="390" spans="1:5">
      <c r="A390" t="s">
        <v>2144</v>
      </c>
      <c r="B390" t="s">
        <v>4767</v>
      </c>
      <c r="C390" t="s">
        <v>1694</v>
      </c>
      <c r="D390" t="s">
        <v>9</v>
      </c>
      <c r="E390">
        <f>HYPERLINK("https://www.britishcycling.org.uk/points?person_id=392335&amp;year=2019&amp;type=national&amp;d=6","Results")</f>
        <v/>
      </c>
    </row>
    <row r="391" spans="1:5">
      <c r="A391" t="s">
        <v>1341</v>
      </c>
      <c r="B391" t="s">
        <v>4768</v>
      </c>
      <c r="C391" t="s">
        <v>1694</v>
      </c>
      <c r="D391" t="s">
        <v>9</v>
      </c>
      <c r="E391">
        <f>HYPERLINK("https://www.britishcycling.org.uk/points?person_id=580690&amp;year=2019&amp;type=national&amp;d=6","Results")</f>
        <v/>
      </c>
    </row>
    <row r="392" spans="1:5">
      <c r="A392" t="s">
        <v>2147</v>
      </c>
      <c r="B392" t="s">
        <v>4769</v>
      </c>
      <c r="C392" t="s">
        <v>814</v>
      </c>
      <c r="D392" t="s">
        <v>9</v>
      </c>
      <c r="E392">
        <f>HYPERLINK("https://www.britishcycling.org.uk/points?person_id=409698&amp;year=2019&amp;type=national&amp;d=6","Results")</f>
        <v/>
      </c>
    </row>
    <row r="393" spans="1:5">
      <c r="A393" t="s">
        <v>1338</v>
      </c>
      <c r="B393" t="s">
        <v>4770</v>
      </c>
      <c r="C393" t="s">
        <v>262</v>
      </c>
      <c r="D393" t="s">
        <v>9</v>
      </c>
      <c r="E393">
        <f>HYPERLINK("https://www.britishcycling.org.uk/points?person_id=269079&amp;year=2019&amp;type=national&amp;d=6","Results")</f>
        <v/>
      </c>
    </row>
    <row r="394" spans="1:5">
      <c r="A394" t="s">
        <v>2150</v>
      </c>
      <c r="B394" t="s">
        <v>4771</v>
      </c>
      <c r="C394" t="s">
        <v>331</v>
      </c>
      <c r="D394" t="s">
        <v>9</v>
      </c>
      <c r="E394">
        <f>HYPERLINK("https://www.britishcycling.org.uk/points?person_id=291868&amp;year=2019&amp;type=national&amp;d=6","Results")</f>
        <v/>
      </c>
    </row>
    <row r="395" spans="1:5">
      <c r="A395" t="s">
        <v>938</v>
      </c>
      <c r="B395" t="s">
        <v>4772</v>
      </c>
      <c r="C395" t="s">
        <v>4222</v>
      </c>
      <c r="D395" t="s">
        <v>9</v>
      </c>
      <c r="E395">
        <f>HYPERLINK("https://www.britishcycling.org.uk/points?person_id=868237&amp;year=2019&amp;type=national&amp;d=6","Results")</f>
        <v/>
      </c>
    </row>
    <row r="396" spans="1:5">
      <c r="A396" t="s">
        <v>2153</v>
      </c>
      <c r="B396" t="s">
        <v>4773</v>
      </c>
      <c r="C396" t="s">
        <v>1006</v>
      </c>
      <c r="D396" t="s">
        <v>9</v>
      </c>
      <c r="E396">
        <f>HYPERLINK("https://www.britishcycling.org.uk/points?person_id=560726&amp;year=2019&amp;type=national&amp;d=6","Results")</f>
        <v/>
      </c>
    </row>
    <row r="397" spans="1:5">
      <c r="A397" t="s">
        <v>1643</v>
      </c>
      <c r="B397" t="s">
        <v>4774</v>
      </c>
      <c r="C397" t="s">
        <v>4775</v>
      </c>
      <c r="D397" t="s">
        <v>5</v>
      </c>
      <c r="E397">
        <f>HYPERLINK("https://www.britishcycling.org.uk/points?person_id=69655&amp;year=2019&amp;type=national&amp;d=6","Results")</f>
        <v/>
      </c>
    </row>
    <row r="398" spans="1:5">
      <c r="A398" t="s">
        <v>2157</v>
      </c>
      <c r="B398" t="s">
        <v>4776</v>
      </c>
      <c r="C398" t="s">
        <v>1317</v>
      </c>
      <c r="D398" t="s">
        <v>5</v>
      </c>
      <c r="E398">
        <f>HYPERLINK("https://www.britishcycling.org.uk/points?person_id=199326&amp;year=2019&amp;type=national&amp;d=6","Results")</f>
        <v/>
      </c>
    </row>
    <row r="399" spans="1:5">
      <c r="A399" t="s">
        <v>1336</v>
      </c>
      <c r="B399" t="s">
        <v>4777</v>
      </c>
      <c r="C399" t="s">
        <v>4741</v>
      </c>
      <c r="D399" t="s">
        <v>5</v>
      </c>
      <c r="E399">
        <f>HYPERLINK("https://www.britishcycling.org.uk/points?person_id=617985&amp;year=2019&amp;type=national&amp;d=6","Results")</f>
        <v/>
      </c>
    </row>
    <row r="400" spans="1:5">
      <c r="A400" t="s">
        <v>77</v>
      </c>
      <c r="B400" t="s">
        <v>4778</v>
      </c>
      <c r="C400" t="s">
        <v>3193</v>
      </c>
      <c r="D400" t="s">
        <v>5</v>
      </c>
      <c r="E400">
        <f>HYPERLINK("https://www.britishcycling.org.uk/points?person_id=402369&amp;year=2019&amp;type=national&amp;d=6","Results")</f>
        <v/>
      </c>
    </row>
    <row r="401" spans="1:5">
      <c r="A401" t="s">
        <v>2163</v>
      </c>
      <c r="B401" t="s">
        <v>4779</v>
      </c>
      <c r="C401" t="s">
        <v>961</v>
      </c>
      <c r="D401" t="s">
        <v>5</v>
      </c>
      <c r="E401">
        <f>HYPERLINK("https://www.britishcycling.org.uk/points?person_id=498608&amp;year=2019&amp;type=national&amp;d=6","Results")</f>
        <v/>
      </c>
    </row>
    <row r="402" spans="1:5">
      <c r="A402" t="s">
        <v>2166</v>
      </c>
      <c r="B402" t="s">
        <v>4780</v>
      </c>
      <c r="C402" t="s">
        <v>1461</v>
      </c>
      <c r="D402" t="s">
        <v>5</v>
      </c>
      <c r="E402">
        <f>HYPERLINK("https://www.britishcycling.org.uk/points?person_id=125276&amp;year=2019&amp;type=national&amp;d=6","Results")</f>
        <v/>
      </c>
    </row>
    <row r="403" spans="1:5">
      <c r="A403" t="s">
        <v>2168</v>
      </c>
      <c r="B403" t="s">
        <v>4781</v>
      </c>
      <c r="C403" t="s">
        <v>1478</v>
      </c>
      <c r="D403" t="s">
        <v>5</v>
      </c>
      <c r="E403">
        <f>HYPERLINK("https://www.britishcycling.org.uk/points?person_id=454815&amp;year=2019&amp;type=national&amp;d=6","Results")</f>
        <v/>
      </c>
    </row>
    <row r="404" spans="1:5">
      <c r="A404" t="s">
        <v>2171</v>
      </c>
      <c r="B404" t="s">
        <v>4782</v>
      </c>
      <c r="C404" t="s">
        <v>4522</v>
      </c>
      <c r="D404" t="s">
        <v>5</v>
      </c>
      <c r="E404">
        <f>HYPERLINK("https://www.britishcycling.org.uk/points?person_id=346099&amp;year=2019&amp;type=national&amp;d=6","Results")</f>
        <v/>
      </c>
    </row>
    <row r="405" spans="1:5">
      <c r="A405" t="s">
        <v>2173</v>
      </c>
      <c r="B405" t="s">
        <v>4783</v>
      </c>
      <c r="C405" t="s">
        <v>4326</v>
      </c>
      <c r="D405" t="s">
        <v>5</v>
      </c>
      <c r="E405">
        <f>HYPERLINK("https://www.britishcycling.org.uk/points?person_id=217811&amp;year=2019&amp;type=national&amp;d=6","Results")</f>
        <v/>
      </c>
    </row>
    <row r="406" spans="1:5">
      <c r="A406" t="s">
        <v>2175</v>
      </c>
      <c r="B406" t="s">
        <v>4784</v>
      </c>
      <c r="C406" t="s">
        <v>212</v>
      </c>
      <c r="D406" t="s">
        <v>5</v>
      </c>
      <c r="E406">
        <f>HYPERLINK("https://www.britishcycling.org.uk/points?person_id=515702&amp;year=2019&amp;type=national&amp;d=6","Results")</f>
        <v/>
      </c>
    </row>
    <row r="407" spans="1:5">
      <c r="A407" t="s">
        <v>74</v>
      </c>
      <c r="B407" t="s">
        <v>4785</v>
      </c>
      <c r="C407" t="s">
        <v>1645</v>
      </c>
      <c r="D407" t="s">
        <v>5</v>
      </c>
      <c r="E407">
        <f>HYPERLINK("https://www.britishcycling.org.uk/points?person_id=5167&amp;year=2019&amp;type=national&amp;d=6","Results")</f>
        <v/>
      </c>
    </row>
    <row r="408" spans="1:5">
      <c r="A408" t="s">
        <v>70</v>
      </c>
      <c r="B408" t="s">
        <v>4786</v>
      </c>
      <c r="C408" t="s">
        <v>1694</v>
      </c>
      <c r="D408" t="s">
        <v>5</v>
      </c>
      <c r="E408">
        <f>HYPERLINK("https://www.britishcycling.org.uk/points?person_id=510110&amp;year=2019&amp;type=national&amp;d=6","Results")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37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4391</v>
      </c>
      <c r="C2" t="s">
        <v>1354</v>
      </c>
      <c r="D2" t="s">
        <v>4787</v>
      </c>
      <c r="E2">
        <f>HYPERLINK("https://www.britishcycling.org.uk/points?person_id=23987&amp;year=2019&amp;type=national&amp;d=6","Results")</f>
        <v/>
      </c>
    </row>
    <row r="3" spans="1:5">
      <c r="A3" t="s">
        <v>9</v>
      </c>
      <c r="B3" t="s">
        <v>4399</v>
      </c>
      <c r="C3" t="s">
        <v>1344</v>
      </c>
      <c r="D3" t="s">
        <v>2669</v>
      </c>
      <c r="E3">
        <f>HYPERLINK("https://www.britishcycling.org.uk/points?person_id=240019&amp;year=2019&amp;type=national&amp;d=6","Results")</f>
        <v/>
      </c>
    </row>
    <row r="4" spans="1:5">
      <c r="A4" t="s">
        <v>13</v>
      </c>
      <c r="B4" t="s">
        <v>4441</v>
      </c>
      <c r="C4" t="s">
        <v>2874</v>
      </c>
      <c r="D4" t="s">
        <v>2415</v>
      </c>
      <c r="E4">
        <f>HYPERLINK("https://www.britishcycling.org.uk/points?person_id=400718&amp;year=2019&amp;type=national&amp;d=6","Results")</f>
        <v/>
      </c>
    </row>
    <row r="5" spans="1:5">
      <c r="A5" t="s">
        <v>17</v>
      </c>
      <c r="B5" t="s">
        <v>4382</v>
      </c>
      <c r="C5" t="s">
        <v>1699</v>
      </c>
      <c r="D5" t="s">
        <v>2387</v>
      </c>
      <c r="E5">
        <f>HYPERLINK("https://www.britishcycling.org.uk/points?person_id=387547&amp;year=2019&amp;type=national&amp;d=6","Results")</f>
        <v/>
      </c>
    </row>
    <row r="6" spans="1:5">
      <c r="A6" t="s">
        <v>21</v>
      </c>
      <c r="B6" t="s">
        <v>4438</v>
      </c>
      <c r="C6" t="s">
        <v>1819</v>
      </c>
      <c r="D6" t="s">
        <v>2318</v>
      </c>
      <c r="E6">
        <f>HYPERLINK("https://www.britishcycling.org.uk/points?person_id=58880&amp;year=2019&amp;type=national&amp;d=6","Results")</f>
        <v/>
      </c>
    </row>
    <row r="7" spans="1:5">
      <c r="A7" t="s">
        <v>25</v>
      </c>
      <c r="B7" t="s">
        <v>4459</v>
      </c>
      <c r="C7" t="s">
        <v>914</v>
      </c>
      <c r="D7" t="s">
        <v>2197</v>
      </c>
      <c r="E7">
        <f>HYPERLINK("https://www.britishcycling.org.uk/points?person_id=139207&amp;year=2019&amp;type=national&amp;d=6","Results")</f>
        <v/>
      </c>
    </row>
    <row r="8" spans="1:5">
      <c r="A8" t="s">
        <v>28</v>
      </c>
      <c r="B8" t="s">
        <v>4429</v>
      </c>
      <c r="C8" t="s">
        <v>1923</v>
      </c>
      <c r="D8" t="s">
        <v>1643</v>
      </c>
      <c r="E8">
        <f>HYPERLINK("https://www.britishcycling.org.uk/points?person_id=116361&amp;year=2019&amp;type=national&amp;d=6","Results")</f>
        <v/>
      </c>
    </row>
    <row r="9" spans="1:5">
      <c r="A9" t="s">
        <v>31</v>
      </c>
      <c r="B9" t="s">
        <v>4457</v>
      </c>
      <c r="C9" t="s">
        <v>1354</v>
      </c>
      <c r="D9" t="s">
        <v>2150</v>
      </c>
      <c r="E9">
        <f>HYPERLINK("https://www.britishcycling.org.uk/points?person_id=497812&amp;year=2019&amp;type=national&amp;d=6","Results")</f>
        <v/>
      </c>
    </row>
    <row r="10" spans="1:5">
      <c r="A10" t="s">
        <v>35</v>
      </c>
      <c r="B10" t="s">
        <v>4396</v>
      </c>
      <c r="C10" t="s">
        <v>1765</v>
      </c>
      <c r="D10" t="s">
        <v>2127</v>
      </c>
      <c r="E10">
        <f>HYPERLINK("https://www.britishcycling.org.uk/points?person_id=31228&amp;year=2019&amp;type=national&amp;d=6","Results")</f>
        <v/>
      </c>
    </row>
    <row r="11" spans="1:5">
      <c r="A11" t="s">
        <v>39</v>
      </c>
      <c r="B11" t="s">
        <v>4419</v>
      </c>
      <c r="C11" t="s">
        <v>1373</v>
      </c>
      <c r="D11" t="s">
        <v>2105</v>
      </c>
      <c r="E11">
        <f>HYPERLINK("https://www.britishcycling.org.uk/points?person_id=262068&amp;year=2019&amp;type=national&amp;d=6","Results")</f>
        <v/>
      </c>
    </row>
    <row r="12" spans="1:5">
      <c r="A12" t="s">
        <v>43</v>
      </c>
      <c r="B12" t="s">
        <v>4410</v>
      </c>
      <c r="C12" t="s">
        <v>511</v>
      </c>
      <c r="D12" t="s">
        <v>851</v>
      </c>
      <c r="E12">
        <f>HYPERLINK("https://www.britishcycling.org.uk/points?person_id=614714&amp;year=2019&amp;type=national&amp;d=6","Results")</f>
        <v/>
      </c>
    </row>
    <row r="13" spans="1:5">
      <c r="A13" t="s">
        <v>47</v>
      </c>
      <c r="B13" t="s">
        <v>4465</v>
      </c>
      <c r="C13" t="s">
        <v>1133</v>
      </c>
      <c r="D13" t="s">
        <v>794</v>
      </c>
      <c r="E13">
        <f>HYPERLINK("https://www.britishcycling.org.uk/points?person_id=416032&amp;year=2019&amp;type=national&amp;d=6","Results")</f>
        <v/>
      </c>
    </row>
    <row r="14" spans="1:5">
      <c r="A14" t="s">
        <v>51</v>
      </c>
      <c r="B14" t="s">
        <v>4439</v>
      </c>
      <c r="C14" t="s">
        <v>403</v>
      </c>
      <c r="D14" t="s">
        <v>782</v>
      </c>
      <c r="E14">
        <f>HYPERLINK("https://www.britishcycling.org.uk/points?person_id=508653&amp;year=2019&amp;type=national&amp;d=6","Results")</f>
        <v/>
      </c>
    </row>
    <row r="15" spans="1:5">
      <c r="A15" t="s">
        <v>55</v>
      </c>
      <c r="B15" t="s">
        <v>4442</v>
      </c>
      <c r="C15" t="s">
        <v>511</v>
      </c>
      <c r="D15" t="s">
        <v>126</v>
      </c>
      <c r="E15">
        <f>HYPERLINK("https://www.britishcycling.org.uk/points?person_id=336093&amp;year=2019&amp;type=national&amp;d=6","Results")</f>
        <v/>
      </c>
    </row>
    <row r="16" spans="1:5">
      <c r="A16" t="s">
        <v>59</v>
      </c>
      <c r="B16" t="s">
        <v>4424</v>
      </c>
      <c r="C16" t="s">
        <v>1819</v>
      </c>
      <c r="D16" t="s">
        <v>749</v>
      </c>
      <c r="E16">
        <f>HYPERLINK("https://www.britishcycling.org.uk/points?person_id=253661&amp;year=2019&amp;type=national&amp;d=6","Results")</f>
        <v/>
      </c>
    </row>
    <row r="17" spans="1:5">
      <c r="A17" t="s">
        <v>63</v>
      </c>
      <c r="B17" t="s">
        <v>4480</v>
      </c>
      <c r="C17" t="s">
        <v>358</v>
      </c>
      <c r="D17" t="s">
        <v>661</v>
      </c>
      <c r="E17">
        <f>HYPERLINK("https://www.britishcycling.org.uk/points?person_id=534833&amp;year=2019&amp;type=national&amp;d=6","Results")</f>
        <v/>
      </c>
    </row>
    <row r="18" spans="1:5">
      <c r="A18" t="s">
        <v>67</v>
      </c>
      <c r="B18" t="s">
        <v>4476</v>
      </c>
      <c r="C18" t="s">
        <v>4477</v>
      </c>
      <c r="D18" t="s">
        <v>634</v>
      </c>
      <c r="E18">
        <f>HYPERLINK("https://www.britishcycling.org.uk/points?person_id=72717&amp;year=2019&amp;type=national&amp;d=6","Results")</f>
        <v/>
      </c>
    </row>
    <row r="19" spans="1:5">
      <c r="A19" t="s">
        <v>71</v>
      </c>
      <c r="B19" t="s">
        <v>4524</v>
      </c>
      <c r="C19" t="s">
        <v>1335</v>
      </c>
      <c r="D19" t="s">
        <v>616</v>
      </c>
      <c r="E19">
        <f>HYPERLINK("https://www.britishcycling.org.uk/points?person_id=74701&amp;year=2019&amp;type=national&amp;d=6","Results")</f>
        <v/>
      </c>
    </row>
    <row r="20" spans="1:5">
      <c r="A20" t="s">
        <v>75</v>
      </c>
      <c r="B20" t="s">
        <v>4452</v>
      </c>
      <c r="C20" t="s">
        <v>413</v>
      </c>
      <c r="D20" t="s">
        <v>604</v>
      </c>
      <c r="E20">
        <f>HYPERLINK("https://www.britishcycling.org.uk/points?person_id=200360&amp;year=2019&amp;type=national&amp;d=6","Results")</f>
        <v/>
      </c>
    </row>
    <row r="21" spans="1:5">
      <c r="A21" t="s">
        <v>78</v>
      </c>
      <c r="B21" t="s">
        <v>4446</v>
      </c>
      <c r="C21" t="s">
        <v>2947</v>
      </c>
      <c r="D21" t="s">
        <v>582</v>
      </c>
      <c r="E21">
        <f>HYPERLINK("https://www.britishcycling.org.uk/points?person_id=74479&amp;year=2019&amp;type=national&amp;d=6","Results")</f>
        <v/>
      </c>
    </row>
    <row r="22" spans="1:5">
      <c r="A22" t="s">
        <v>82</v>
      </c>
      <c r="B22" t="s">
        <v>4536</v>
      </c>
      <c r="C22" t="s">
        <v>2380</v>
      </c>
      <c r="D22" t="s">
        <v>560</v>
      </c>
      <c r="E22">
        <f>HYPERLINK("https://www.britishcycling.org.uk/points?person_id=35533&amp;year=2019&amp;type=national&amp;d=6","Results")</f>
        <v/>
      </c>
    </row>
    <row r="23" spans="1:5">
      <c r="A23" t="s">
        <v>85</v>
      </c>
      <c r="B23" t="s">
        <v>4472</v>
      </c>
      <c r="C23" t="s">
        <v>2874</v>
      </c>
      <c r="D23" t="s">
        <v>521</v>
      </c>
      <c r="E23">
        <f>HYPERLINK("https://www.britishcycling.org.uk/points?person_id=527440&amp;year=2019&amp;type=national&amp;d=6","Results")</f>
        <v/>
      </c>
    </row>
    <row r="24" spans="1:5">
      <c r="A24" t="s">
        <v>89</v>
      </c>
      <c r="B24" t="s">
        <v>4566</v>
      </c>
      <c r="C24" t="s">
        <v>312</v>
      </c>
      <c r="D24" t="s">
        <v>227</v>
      </c>
      <c r="E24">
        <f>HYPERLINK("https://www.britishcycling.org.uk/points?person_id=294391&amp;year=2019&amp;type=national&amp;d=6","Results")</f>
        <v/>
      </c>
    </row>
    <row r="25" spans="1:5">
      <c r="A25" t="s">
        <v>92</v>
      </c>
      <c r="B25" t="s">
        <v>4513</v>
      </c>
      <c r="C25" t="s">
        <v>1699</v>
      </c>
      <c r="D25" t="s">
        <v>493</v>
      </c>
      <c r="E25">
        <f>HYPERLINK("https://www.britishcycling.org.uk/points?person_id=854563&amp;year=2019&amp;type=national&amp;d=6","Results")</f>
        <v/>
      </c>
    </row>
    <row r="26" spans="1:5">
      <c r="A26" t="s">
        <v>96</v>
      </c>
      <c r="B26" t="s">
        <v>4490</v>
      </c>
      <c r="C26" t="s">
        <v>49</v>
      </c>
      <c r="D26" t="s">
        <v>231</v>
      </c>
      <c r="E26">
        <f>HYPERLINK("https://www.britishcycling.org.uk/points?person_id=425868&amp;year=2019&amp;type=national&amp;d=6","Results")</f>
        <v/>
      </c>
    </row>
    <row r="27" spans="1:5">
      <c r="A27" t="s">
        <v>99</v>
      </c>
      <c r="B27" t="s">
        <v>4546</v>
      </c>
      <c r="C27" t="s">
        <v>1370</v>
      </c>
      <c r="D27" t="s">
        <v>246</v>
      </c>
      <c r="E27">
        <f>HYPERLINK("https://www.britishcycling.org.uk/points?person_id=377653&amp;year=2019&amp;type=national&amp;d=6","Results")</f>
        <v/>
      </c>
    </row>
    <row r="28" spans="1:5">
      <c r="A28" t="s">
        <v>103</v>
      </c>
      <c r="B28" t="s">
        <v>4478</v>
      </c>
      <c r="C28" t="s">
        <v>3421</v>
      </c>
      <c r="D28" t="s">
        <v>473</v>
      </c>
      <c r="E28">
        <f>HYPERLINK("https://www.britishcycling.org.uk/points?person_id=334954&amp;year=2019&amp;type=national&amp;d=6","Results")</f>
        <v/>
      </c>
    </row>
    <row r="29" spans="1:5">
      <c r="A29" t="s">
        <v>107</v>
      </c>
      <c r="B29" t="s">
        <v>4594</v>
      </c>
      <c r="C29" t="s">
        <v>1364</v>
      </c>
      <c r="D29" t="s">
        <v>470</v>
      </c>
      <c r="E29">
        <f>HYPERLINK("https://www.britishcycling.org.uk/points?person_id=500978&amp;year=2019&amp;type=national&amp;d=6","Results")</f>
        <v/>
      </c>
    </row>
    <row r="30" spans="1:5">
      <c r="A30" t="s">
        <v>111</v>
      </c>
      <c r="B30" t="s">
        <v>4539</v>
      </c>
      <c r="C30" t="s">
        <v>15</v>
      </c>
      <c r="D30" t="s">
        <v>465</v>
      </c>
      <c r="E30">
        <f>HYPERLINK("https://www.britishcycling.org.uk/points?person_id=180763&amp;year=2019&amp;type=national&amp;d=6","Results")</f>
        <v/>
      </c>
    </row>
    <row r="31" spans="1:5">
      <c r="A31" t="s">
        <v>115</v>
      </c>
      <c r="B31" t="s">
        <v>4464</v>
      </c>
      <c r="C31" t="s">
        <v>3584</v>
      </c>
      <c r="D31" t="s">
        <v>463</v>
      </c>
      <c r="E31">
        <f>HYPERLINK("https://www.britishcycling.org.uk/points?person_id=63101&amp;year=2019&amp;type=national&amp;d=6","Results")</f>
        <v/>
      </c>
    </row>
    <row r="32" spans="1:5">
      <c r="A32" t="s">
        <v>119</v>
      </c>
      <c r="B32" t="s">
        <v>4569</v>
      </c>
      <c r="C32" t="s">
        <v>1354</v>
      </c>
      <c r="D32" t="s">
        <v>432</v>
      </c>
      <c r="E32">
        <f>HYPERLINK("https://www.britishcycling.org.uk/points?person_id=464080&amp;year=2019&amp;type=national&amp;d=6","Results")</f>
        <v/>
      </c>
    </row>
    <row r="33" spans="1:5">
      <c r="A33" t="s">
        <v>123</v>
      </c>
      <c r="B33" t="s">
        <v>4496</v>
      </c>
      <c r="C33" t="s">
        <v>392</v>
      </c>
      <c r="D33" t="s">
        <v>300</v>
      </c>
      <c r="E33">
        <f>HYPERLINK("https://www.britishcycling.org.uk/points?person_id=98988&amp;year=2019&amp;type=national&amp;d=6","Results")</f>
        <v/>
      </c>
    </row>
    <row r="34" spans="1:5">
      <c r="A34" t="s">
        <v>127</v>
      </c>
      <c r="B34" t="s">
        <v>4599</v>
      </c>
      <c r="C34" t="s">
        <v>4600</v>
      </c>
      <c r="D34" t="s">
        <v>303</v>
      </c>
      <c r="E34">
        <f>HYPERLINK("https://www.britishcycling.org.uk/points?person_id=169275&amp;year=2019&amp;type=national&amp;d=6","Results")</f>
        <v/>
      </c>
    </row>
    <row r="35" spans="1:5">
      <c r="A35" t="s">
        <v>130</v>
      </c>
      <c r="B35" t="s">
        <v>4567</v>
      </c>
      <c r="C35" t="s">
        <v>358</v>
      </c>
      <c r="D35" t="s">
        <v>306</v>
      </c>
      <c r="E35">
        <f>HYPERLINK("https://www.britishcycling.org.uk/points?person_id=439182&amp;year=2019&amp;type=national&amp;d=6","Results")</f>
        <v/>
      </c>
    </row>
    <row r="36" spans="1:5">
      <c r="A36" t="s">
        <v>133</v>
      </c>
      <c r="B36" t="s">
        <v>4624</v>
      </c>
      <c r="C36" t="s">
        <v>973</v>
      </c>
      <c r="D36" t="s">
        <v>306</v>
      </c>
      <c r="E36">
        <f>HYPERLINK("https://www.britishcycling.org.uk/points?person_id=70779&amp;year=2019&amp;type=national&amp;d=6","Results")</f>
        <v/>
      </c>
    </row>
    <row r="37" spans="1:5">
      <c r="A37" t="s">
        <v>137</v>
      </c>
      <c r="B37" t="s">
        <v>4488</v>
      </c>
      <c r="C37" t="s">
        <v>1968</v>
      </c>
      <c r="D37" t="s">
        <v>325</v>
      </c>
      <c r="E37">
        <f>HYPERLINK("https://www.britishcycling.org.uk/points?person_id=685922&amp;year=2019&amp;type=national&amp;d=6","Results")</f>
        <v/>
      </c>
    </row>
    <row r="38" spans="1:5">
      <c r="A38" t="s">
        <v>141</v>
      </c>
      <c r="B38" t="s">
        <v>4579</v>
      </c>
      <c r="C38" t="s">
        <v>771</v>
      </c>
      <c r="D38" t="s">
        <v>370</v>
      </c>
      <c r="E38">
        <f>HYPERLINK("https://www.britishcycling.org.uk/points?person_id=372829&amp;year=2019&amp;type=national&amp;d=6","Results")</f>
        <v/>
      </c>
    </row>
    <row r="39" spans="1:5">
      <c r="A39" t="s">
        <v>145</v>
      </c>
      <c r="B39" t="s">
        <v>4653</v>
      </c>
      <c r="C39" t="s">
        <v>1397</v>
      </c>
      <c r="D39" t="s">
        <v>368</v>
      </c>
      <c r="E39">
        <f>HYPERLINK("https://www.britishcycling.org.uk/points?person_id=179243&amp;year=2019&amp;type=national&amp;d=6","Results")</f>
        <v/>
      </c>
    </row>
    <row r="40" spans="1:5">
      <c r="A40" t="s">
        <v>148</v>
      </c>
      <c r="B40" t="s">
        <v>4551</v>
      </c>
      <c r="C40" t="s">
        <v>2682</v>
      </c>
      <c r="D40" t="s">
        <v>359</v>
      </c>
      <c r="E40">
        <f>HYPERLINK("https://www.britishcycling.org.uk/points?person_id=139134&amp;year=2019&amp;type=national&amp;d=6","Results")</f>
        <v/>
      </c>
    </row>
    <row r="41" spans="1:5">
      <c r="A41" t="s">
        <v>151</v>
      </c>
      <c r="B41" t="s">
        <v>4466</v>
      </c>
      <c r="C41" t="s">
        <v>2532</v>
      </c>
      <c r="D41" t="s">
        <v>349</v>
      </c>
      <c r="E41">
        <f>HYPERLINK("https://www.britishcycling.org.uk/points?person_id=430826&amp;year=2019&amp;type=national&amp;d=6","Results")</f>
        <v/>
      </c>
    </row>
    <row r="42" spans="1:5">
      <c r="A42" t="s">
        <v>155</v>
      </c>
      <c r="B42" t="s">
        <v>4520</v>
      </c>
      <c r="C42" t="s">
        <v>3427</v>
      </c>
      <c r="D42" t="s">
        <v>350</v>
      </c>
      <c r="E42">
        <f>HYPERLINK("https://www.britishcycling.org.uk/points?person_id=41795&amp;year=2019&amp;type=national&amp;d=6","Results")</f>
        <v/>
      </c>
    </row>
    <row r="43" spans="1:5">
      <c r="A43" t="s">
        <v>158</v>
      </c>
      <c r="B43" t="s">
        <v>4615</v>
      </c>
      <c r="C43" t="s">
        <v>1023</v>
      </c>
      <c r="D43" t="s">
        <v>347</v>
      </c>
      <c r="E43">
        <f>HYPERLINK("https://www.britishcycling.org.uk/points?person_id=359776&amp;year=2019&amp;type=national&amp;d=6","Results")</f>
        <v/>
      </c>
    </row>
    <row r="44" spans="1:5">
      <c r="A44" t="s">
        <v>161</v>
      </c>
      <c r="B44" t="s">
        <v>4548</v>
      </c>
      <c r="C44" t="s">
        <v>4549</v>
      </c>
      <c r="D44" t="s">
        <v>347</v>
      </c>
      <c r="E44">
        <f>HYPERLINK("https://www.britishcycling.org.uk/points?person_id=98016&amp;year=2019&amp;type=national&amp;d=6","Results")</f>
        <v/>
      </c>
    </row>
    <row r="45" spans="1:5">
      <c r="A45" t="s">
        <v>165</v>
      </c>
      <c r="B45" t="s">
        <v>4463</v>
      </c>
      <c r="C45" t="s">
        <v>3774</v>
      </c>
      <c r="D45" t="s">
        <v>326</v>
      </c>
      <c r="E45">
        <f>HYPERLINK("https://www.britishcycling.org.uk/points?person_id=671611&amp;year=2019&amp;type=national&amp;d=6","Results")</f>
        <v/>
      </c>
    </row>
    <row r="46" spans="1:5">
      <c r="A46" t="s">
        <v>168</v>
      </c>
      <c r="B46" t="s">
        <v>4651</v>
      </c>
      <c r="C46" t="s">
        <v>771</v>
      </c>
      <c r="D46" t="s">
        <v>322</v>
      </c>
      <c r="E46">
        <f>HYPERLINK("https://www.britishcycling.org.uk/points?person_id=308583&amp;year=2019&amp;type=national&amp;d=6","Results")</f>
        <v/>
      </c>
    </row>
    <row r="47" spans="1:5">
      <c r="A47" t="s">
        <v>172</v>
      </c>
      <c r="B47" t="s">
        <v>4498</v>
      </c>
      <c r="C47" t="s">
        <v>4499</v>
      </c>
      <c r="D47" t="s">
        <v>307</v>
      </c>
      <c r="E47">
        <f>HYPERLINK("https://www.britishcycling.org.uk/points?person_id=556296&amp;year=2019&amp;type=national&amp;d=6","Results")</f>
        <v/>
      </c>
    </row>
    <row r="48" spans="1:5">
      <c r="A48" t="s">
        <v>176</v>
      </c>
      <c r="B48" t="s">
        <v>4492</v>
      </c>
      <c r="C48" t="s">
        <v>676</v>
      </c>
      <c r="D48" t="s">
        <v>270</v>
      </c>
      <c r="E48">
        <f>HYPERLINK("https://www.britishcycling.org.uk/points?person_id=4656&amp;year=2019&amp;type=national&amp;d=6","Results")</f>
        <v/>
      </c>
    </row>
    <row r="49" spans="1:5">
      <c r="A49" t="s">
        <v>180</v>
      </c>
      <c r="B49" t="s">
        <v>4495</v>
      </c>
      <c r="C49" t="s">
        <v>2297</v>
      </c>
      <c r="D49" t="s">
        <v>264</v>
      </c>
      <c r="E49">
        <f>HYPERLINK("https://www.britishcycling.org.uk/points?person_id=372751&amp;year=2019&amp;type=national&amp;d=6","Results")</f>
        <v/>
      </c>
    </row>
    <row r="50" spans="1:5">
      <c r="A50" t="s">
        <v>184</v>
      </c>
      <c r="B50" t="s">
        <v>4483</v>
      </c>
      <c r="C50" t="s">
        <v>3206</v>
      </c>
      <c r="D50" t="s">
        <v>264</v>
      </c>
      <c r="E50">
        <f>HYPERLINK("https://www.britishcycling.org.uk/points?person_id=487749&amp;year=2019&amp;type=national&amp;d=6","Results")</f>
        <v/>
      </c>
    </row>
    <row r="51" spans="1:5">
      <c r="A51" t="s">
        <v>188</v>
      </c>
      <c r="B51" t="s">
        <v>4788</v>
      </c>
      <c r="C51" t="s">
        <v>1373</v>
      </c>
      <c r="D51" t="s">
        <v>257</v>
      </c>
      <c r="E51">
        <f>HYPERLINK("https://www.britishcycling.org.uk/points?person_id=737066&amp;year=2019&amp;type=national&amp;d=6","Results")</f>
        <v/>
      </c>
    </row>
    <row r="52" spans="1:5">
      <c r="A52" t="s">
        <v>192</v>
      </c>
      <c r="B52" t="s">
        <v>4544</v>
      </c>
      <c r="C52" t="s">
        <v>1968</v>
      </c>
      <c r="D52" t="s">
        <v>254</v>
      </c>
      <c r="E52">
        <f>HYPERLINK("https://www.britishcycling.org.uk/points?person_id=527263&amp;year=2019&amp;type=national&amp;d=6","Results")</f>
        <v/>
      </c>
    </row>
    <row r="53" spans="1:5">
      <c r="A53" t="s">
        <v>196</v>
      </c>
      <c r="B53" t="s">
        <v>4552</v>
      </c>
      <c r="C53" t="s">
        <v>33</v>
      </c>
      <c r="D53" t="s">
        <v>247</v>
      </c>
      <c r="E53">
        <f>HYPERLINK("https://www.britishcycling.org.uk/points?person_id=751391&amp;year=2019&amp;type=national&amp;d=6","Results")</f>
        <v/>
      </c>
    </row>
    <row r="54" spans="1:5">
      <c r="A54" t="s">
        <v>199</v>
      </c>
      <c r="B54" t="s">
        <v>4573</v>
      </c>
      <c r="C54" t="s">
        <v>2857</v>
      </c>
      <c r="D54" t="s">
        <v>247</v>
      </c>
      <c r="E54">
        <f>HYPERLINK("https://www.britishcycling.org.uk/points?person_id=411912&amp;year=2019&amp;type=national&amp;d=6","Results")</f>
        <v/>
      </c>
    </row>
    <row r="55" spans="1:5">
      <c r="A55" t="s">
        <v>203</v>
      </c>
      <c r="B55" t="s">
        <v>4564</v>
      </c>
      <c r="C55" t="s">
        <v>2702</v>
      </c>
      <c r="D55" t="s">
        <v>244</v>
      </c>
      <c r="E55">
        <f>HYPERLINK("https://www.britishcycling.org.uk/points?person_id=545693&amp;year=2019&amp;type=national&amp;d=6","Results")</f>
        <v/>
      </c>
    </row>
    <row r="56" spans="1:5">
      <c r="A56" t="s">
        <v>207</v>
      </c>
      <c r="B56" t="s">
        <v>4550</v>
      </c>
      <c r="C56" t="s">
        <v>1373</v>
      </c>
      <c r="D56" t="s">
        <v>239</v>
      </c>
      <c r="E56">
        <f>HYPERLINK("https://www.britishcycling.org.uk/points?person_id=130359&amp;year=2019&amp;type=national&amp;d=6","Results")</f>
        <v/>
      </c>
    </row>
    <row r="57" spans="1:5">
      <c r="A57" t="s">
        <v>210</v>
      </c>
      <c r="B57" t="s">
        <v>4719</v>
      </c>
      <c r="C57" t="s"/>
      <c r="D57" t="s">
        <v>218</v>
      </c>
      <c r="E57">
        <f>HYPERLINK("https://www.britishcycling.org.uk/points?person_id=42517&amp;year=2019&amp;type=national&amp;d=6","Results")</f>
        <v/>
      </c>
    </row>
    <row r="58" spans="1:5">
      <c r="A58" t="s">
        <v>214</v>
      </c>
      <c r="B58" t="s">
        <v>4517</v>
      </c>
      <c r="C58" t="s">
        <v>3774</v>
      </c>
      <c r="D58" t="s">
        <v>218</v>
      </c>
      <c r="E58">
        <f>HYPERLINK("https://www.britishcycling.org.uk/points?person_id=646606&amp;year=2019&amp;type=national&amp;d=6","Results")</f>
        <v/>
      </c>
    </row>
    <row r="59" spans="1:5">
      <c r="A59" t="s">
        <v>218</v>
      </c>
      <c r="B59" t="s">
        <v>4556</v>
      </c>
      <c r="C59" t="s">
        <v>4477</v>
      </c>
      <c r="D59" t="s">
        <v>207</v>
      </c>
      <c r="E59">
        <f>HYPERLINK("https://www.britishcycling.org.uk/points?person_id=256005&amp;year=2019&amp;type=national&amp;d=6","Results")</f>
        <v/>
      </c>
    </row>
    <row r="60" spans="1:5">
      <c r="A60" t="s">
        <v>221</v>
      </c>
      <c r="B60" t="s">
        <v>4562</v>
      </c>
      <c r="C60" t="s">
        <v>1056</v>
      </c>
      <c r="D60" t="s">
        <v>199</v>
      </c>
      <c r="E60">
        <f>HYPERLINK("https://www.britishcycling.org.uk/points?person_id=611435&amp;year=2019&amp;type=national&amp;d=6","Results")</f>
        <v/>
      </c>
    </row>
    <row r="61" spans="1:5">
      <c r="A61" t="s">
        <v>225</v>
      </c>
      <c r="B61" t="s">
        <v>4505</v>
      </c>
      <c r="C61" t="s">
        <v>615</v>
      </c>
      <c r="D61" t="s">
        <v>196</v>
      </c>
      <c r="E61">
        <f>HYPERLINK("https://www.britishcycling.org.uk/points?person_id=48888&amp;year=2019&amp;type=national&amp;d=6","Results")</f>
        <v/>
      </c>
    </row>
    <row r="62" spans="1:5">
      <c r="A62" t="s">
        <v>228</v>
      </c>
      <c r="B62" t="s">
        <v>4559</v>
      </c>
      <c r="C62" t="s">
        <v>4560</v>
      </c>
      <c r="D62" t="s">
        <v>196</v>
      </c>
      <c r="E62">
        <f>HYPERLINK("https://www.britishcycling.org.uk/points?person_id=126154&amp;year=2019&amp;type=national&amp;d=6","Results")</f>
        <v/>
      </c>
    </row>
    <row r="63" spans="1:5">
      <c r="A63" t="s">
        <v>232</v>
      </c>
      <c r="B63" t="s">
        <v>4669</v>
      </c>
      <c r="C63" t="s">
        <v>4670</v>
      </c>
      <c r="D63" t="s">
        <v>188</v>
      </c>
      <c r="E63">
        <f>HYPERLINK("https://www.britishcycling.org.uk/points?person_id=513163&amp;year=2019&amp;type=national&amp;d=6","Results")</f>
        <v/>
      </c>
    </row>
    <row r="64" spans="1:5">
      <c r="A64" t="s">
        <v>236</v>
      </c>
      <c r="B64" t="s">
        <v>4518</v>
      </c>
      <c r="C64" t="s">
        <v>1704</v>
      </c>
      <c r="D64" t="s">
        <v>180</v>
      </c>
      <c r="E64">
        <f>HYPERLINK("https://www.britishcycling.org.uk/points?person_id=192458&amp;year=2019&amp;type=national&amp;d=6","Results")</f>
        <v/>
      </c>
    </row>
    <row r="65" spans="1:5">
      <c r="A65" t="s">
        <v>239</v>
      </c>
      <c r="B65" t="s">
        <v>4557</v>
      </c>
      <c r="C65" t="s">
        <v>3427</v>
      </c>
      <c r="D65" t="s">
        <v>161</v>
      </c>
      <c r="E65">
        <f>HYPERLINK("https://www.britishcycling.org.uk/points?person_id=41520&amp;year=2019&amp;type=national&amp;d=6","Results")</f>
        <v/>
      </c>
    </row>
    <row r="66" spans="1:5">
      <c r="A66" t="s">
        <v>241</v>
      </c>
      <c r="B66" t="s">
        <v>4663</v>
      </c>
      <c r="C66" t="s">
        <v>392</v>
      </c>
      <c r="D66" t="s">
        <v>161</v>
      </c>
      <c r="E66">
        <f>HYPERLINK("https://www.britishcycling.org.uk/points?person_id=612667&amp;year=2019&amp;type=national&amp;d=6","Results")</f>
        <v/>
      </c>
    </row>
    <row r="67" spans="1:5">
      <c r="A67" t="s">
        <v>244</v>
      </c>
      <c r="B67" t="s">
        <v>4597</v>
      </c>
      <c r="C67" t="s">
        <v>2060</v>
      </c>
      <c r="D67" t="s">
        <v>158</v>
      </c>
      <c r="E67">
        <f>HYPERLINK("https://www.britishcycling.org.uk/points?person_id=406992&amp;year=2019&amp;type=national&amp;d=6","Results")</f>
        <v/>
      </c>
    </row>
    <row r="68" spans="1:5">
      <c r="A68" t="s">
        <v>247</v>
      </c>
      <c r="B68" t="s">
        <v>4789</v>
      </c>
      <c r="C68" t="s">
        <v>4319</v>
      </c>
      <c r="D68" t="s">
        <v>151</v>
      </c>
      <c r="E68">
        <f>HYPERLINK("https://www.britishcycling.org.uk/points?person_id=643247&amp;year=2019&amp;type=national&amp;d=6","Results")</f>
        <v/>
      </c>
    </row>
    <row r="69" spans="1:5">
      <c r="A69" t="s">
        <v>250</v>
      </c>
      <c r="B69" t="s">
        <v>4632</v>
      </c>
      <c r="C69" t="s">
        <v>2682</v>
      </c>
      <c r="D69" t="s">
        <v>148</v>
      </c>
      <c r="E69">
        <f>HYPERLINK("https://www.britishcycling.org.uk/points?person_id=321195&amp;year=2019&amp;type=national&amp;d=6","Results")</f>
        <v/>
      </c>
    </row>
    <row r="70" spans="1:5">
      <c r="A70" t="s">
        <v>254</v>
      </c>
      <c r="B70" t="s">
        <v>4715</v>
      </c>
      <c r="C70" t="s">
        <v>11</v>
      </c>
      <c r="D70" t="s">
        <v>145</v>
      </c>
      <c r="E70">
        <f>HYPERLINK("https://www.britishcycling.org.uk/points?person_id=74990&amp;year=2019&amp;type=national&amp;d=6","Results")</f>
        <v/>
      </c>
    </row>
    <row r="71" spans="1:5">
      <c r="A71" t="s">
        <v>257</v>
      </c>
      <c r="B71" t="s">
        <v>4745</v>
      </c>
      <c r="C71" t="s">
        <v>361</v>
      </c>
      <c r="D71" t="s">
        <v>145</v>
      </c>
      <c r="E71">
        <f>HYPERLINK("https://www.britishcycling.org.uk/points?person_id=15656&amp;year=2019&amp;type=national&amp;d=6","Results")</f>
        <v/>
      </c>
    </row>
    <row r="72" spans="1:5">
      <c r="A72" t="s">
        <v>260</v>
      </c>
      <c r="B72" t="s">
        <v>4681</v>
      </c>
      <c r="C72" t="s">
        <v>4682</v>
      </c>
      <c r="D72" t="s">
        <v>141</v>
      </c>
      <c r="E72">
        <f>HYPERLINK("https://www.britishcycling.org.uk/points?person_id=448259&amp;year=2019&amp;type=national&amp;d=6","Results")</f>
        <v/>
      </c>
    </row>
    <row r="73" spans="1:5">
      <c r="A73" t="s">
        <v>264</v>
      </c>
      <c r="B73" t="s">
        <v>4625</v>
      </c>
      <c r="C73" t="s">
        <v>2438</v>
      </c>
      <c r="D73" t="s">
        <v>141</v>
      </c>
      <c r="E73">
        <f>HYPERLINK("https://www.britishcycling.org.uk/points?person_id=206821&amp;year=2019&amp;type=national&amp;d=6","Results")</f>
        <v/>
      </c>
    </row>
    <row r="74" spans="1:5">
      <c r="A74" t="s">
        <v>267</v>
      </c>
      <c r="B74" t="s">
        <v>4790</v>
      </c>
      <c r="C74" t="s"/>
      <c r="D74" t="s">
        <v>137</v>
      </c>
      <c r="E74">
        <f>HYPERLINK("https://www.britishcycling.org.uk/points?person_id=224129&amp;year=2019&amp;type=national&amp;d=6","Results")</f>
        <v/>
      </c>
    </row>
    <row r="75" spans="1:5">
      <c r="A75" t="s">
        <v>270</v>
      </c>
      <c r="B75" t="s">
        <v>4585</v>
      </c>
      <c r="C75" t="s">
        <v>1694</v>
      </c>
      <c r="D75" t="s">
        <v>133</v>
      </c>
      <c r="E75">
        <f>HYPERLINK("https://www.britishcycling.org.uk/points?person_id=737533&amp;year=2019&amp;type=national&amp;d=6","Results")</f>
        <v/>
      </c>
    </row>
    <row r="76" spans="1:5">
      <c r="A76" t="s">
        <v>274</v>
      </c>
      <c r="B76" t="s">
        <v>4791</v>
      </c>
      <c r="C76" t="s">
        <v>65</v>
      </c>
      <c r="D76" t="s">
        <v>123</v>
      </c>
      <c r="E76">
        <f>HYPERLINK("https://www.britishcycling.org.uk/points?person_id=607451&amp;year=2019&amp;type=national&amp;d=6","Results")</f>
        <v/>
      </c>
    </row>
    <row r="77" spans="1:5">
      <c r="A77" t="s">
        <v>277</v>
      </c>
      <c r="B77" t="s">
        <v>4655</v>
      </c>
      <c r="C77" t="s">
        <v>335</v>
      </c>
      <c r="D77" t="s">
        <v>111</v>
      </c>
      <c r="E77">
        <f>HYPERLINK("https://www.britishcycling.org.uk/points?person_id=189726&amp;year=2019&amp;type=national&amp;d=6","Results")</f>
        <v/>
      </c>
    </row>
    <row r="78" spans="1:5">
      <c r="A78" t="s">
        <v>281</v>
      </c>
      <c r="B78" t="s">
        <v>4668</v>
      </c>
      <c r="C78" t="s">
        <v>3892</v>
      </c>
      <c r="D78" t="s">
        <v>103</v>
      </c>
      <c r="E78">
        <f>HYPERLINK("https://www.britishcycling.org.uk/points?person_id=20608&amp;year=2019&amp;type=national&amp;d=6","Results")</f>
        <v/>
      </c>
    </row>
    <row r="79" spans="1:5">
      <c r="A79" t="s">
        <v>285</v>
      </c>
      <c r="B79" t="s">
        <v>4565</v>
      </c>
      <c r="C79" t="s">
        <v>1971</v>
      </c>
      <c r="D79" t="s">
        <v>99</v>
      </c>
      <c r="E79">
        <f>HYPERLINK("https://www.britishcycling.org.uk/points?person_id=846241&amp;year=2019&amp;type=national&amp;d=6","Results")</f>
        <v/>
      </c>
    </row>
    <row r="80" spans="1:5">
      <c r="A80" t="s">
        <v>289</v>
      </c>
      <c r="B80" t="s">
        <v>4792</v>
      </c>
      <c r="C80" t="s">
        <v>346</v>
      </c>
      <c r="D80" t="s">
        <v>99</v>
      </c>
      <c r="E80">
        <f>HYPERLINK("https://www.britishcycling.org.uk/points?person_id=75525&amp;year=2019&amp;type=national&amp;d=6","Results")</f>
        <v/>
      </c>
    </row>
    <row r="81" spans="1:5">
      <c r="A81" t="s">
        <v>293</v>
      </c>
      <c r="B81" t="s">
        <v>4612</v>
      </c>
      <c r="C81" t="s">
        <v>1709</v>
      </c>
      <c r="D81" t="s">
        <v>99</v>
      </c>
      <c r="E81">
        <f>HYPERLINK("https://www.britishcycling.org.uk/points?person_id=2933&amp;year=2019&amp;type=national&amp;d=6","Results")</f>
        <v/>
      </c>
    </row>
    <row r="82" spans="1:5">
      <c r="A82" t="s">
        <v>297</v>
      </c>
      <c r="B82" t="s">
        <v>4606</v>
      </c>
      <c r="C82" t="s">
        <v>407</v>
      </c>
      <c r="D82" t="s">
        <v>96</v>
      </c>
      <c r="E82">
        <f>HYPERLINK("https://www.britishcycling.org.uk/points?person_id=524269&amp;year=2019&amp;type=national&amp;d=6","Results")</f>
        <v/>
      </c>
    </row>
    <row r="83" spans="1:5">
      <c r="A83" t="s">
        <v>301</v>
      </c>
      <c r="B83" t="s">
        <v>4588</v>
      </c>
      <c r="C83" t="s">
        <v>1947</v>
      </c>
      <c r="D83" t="s">
        <v>92</v>
      </c>
      <c r="E83">
        <f>HYPERLINK("https://www.britishcycling.org.uk/points?person_id=423791&amp;year=2019&amp;type=national&amp;d=6","Results")</f>
        <v/>
      </c>
    </row>
    <row r="84" spans="1:5">
      <c r="A84" t="s">
        <v>304</v>
      </c>
      <c r="B84" t="s">
        <v>4793</v>
      </c>
      <c r="C84" t="s">
        <v>312</v>
      </c>
      <c r="D84" t="s">
        <v>92</v>
      </c>
      <c r="E84">
        <f>HYPERLINK("https://www.britishcycling.org.uk/points?person_id=134122&amp;year=2019&amp;type=national&amp;d=6","Results")</f>
        <v/>
      </c>
    </row>
    <row r="85" spans="1:5">
      <c r="A85" t="s">
        <v>307</v>
      </c>
      <c r="B85" t="s">
        <v>4602</v>
      </c>
      <c r="C85" t="s">
        <v>3119</v>
      </c>
      <c r="D85" t="s">
        <v>89</v>
      </c>
      <c r="E85">
        <f>HYPERLINK("https://www.britishcycling.org.uk/points?person_id=69699&amp;year=2019&amp;type=national&amp;d=6","Results")</f>
        <v/>
      </c>
    </row>
    <row r="86" spans="1:5">
      <c r="A86" t="s">
        <v>310</v>
      </c>
      <c r="B86" t="s">
        <v>4583</v>
      </c>
      <c r="C86" t="s">
        <v>4584</v>
      </c>
      <c r="D86" t="s">
        <v>85</v>
      </c>
      <c r="E86">
        <f>HYPERLINK("https://www.britishcycling.org.uk/points?person_id=277779&amp;year=2019&amp;type=national&amp;d=6","Results")</f>
        <v/>
      </c>
    </row>
    <row r="87" spans="1:5">
      <c r="A87" t="s">
        <v>313</v>
      </c>
      <c r="B87" t="s">
        <v>4531</v>
      </c>
      <c r="C87" t="s">
        <v>1863</v>
      </c>
      <c r="D87" t="s">
        <v>85</v>
      </c>
      <c r="E87">
        <f>HYPERLINK("https://www.britishcycling.org.uk/points?person_id=105889&amp;year=2019&amp;type=national&amp;d=6","Results")</f>
        <v/>
      </c>
    </row>
    <row r="88" spans="1:5">
      <c r="A88" t="s">
        <v>317</v>
      </c>
      <c r="B88" t="s">
        <v>4794</v>
      </c>
      <c r="C88" t="s">
        <v>796</v>
      </c>
      <c r="D88" t="s">
        <v>82</v>
      </c>
      <c r="E88">
        <f>HYPERLINK("https://www.britishcycling.org.uk/points?person_id=340718&amp;year=2019&amp;type=national&amp;d=6","Results")</f>
        <v/>
      </c>
    </row>
    <row r="89" spans="1:5">
      <c r="A89" t="s">
        <v>319</v>
      </c>
      <c r="B89" t="s">
        <v>4701</v>
      </c>
      <c r="C89" t="s">
        <v>3997</v>
      </c>
      <c r="D89" t="s">
        <v>75</v>
      </c>
      <c r="E89">
        <f>HYPERLINK("https://www.britishcycling.org.uk/points?person_id=316827&amp;year=2019&amp;type=national&amp;d=6","Results")</f>
        <v/>
      </c>
    </row>
    <row r="90" spans="1:5">
      <c r="A90" t="s">
        <v>322</v>
      </c>
      <c r="B90" t="s">
        <v>4692</v>
      </c>
      <c r="C90" t="s">
        <v>1113</v>
      </c>
      <c r="D90" t="s">
        <v>67</v>
      </c>
      <c r="E90">
        <f>HYPERLINK("https://www.britishcycling.org.uk/points?person_id=117417&amp;year=2019&amp;type=national&amp;d=6","Results")</f>
        <v/>
      </c>
    </row>
    <row r="91" spans="1:5">
      <c r="A91" t="s">
        <v>326</v>
      </c>
      <c r="B91" t="s">
        <v>4795</v>
      </c>
      <c r="C91" t="s">
        <v>1354</v>
      </c>
      <c r="D91" t="s">
        <v>63</v>
      </c>
      <c r="E91">
        <f>HYPERLINK("https://www.britishcycling.org.uk/points?person_id=936742&amp;year=2019&amp;type=national&amp;d=6","Results")</f>
        <v/>
      </c>
    </row>
    <row r="92" spans="1:5">
      <c r="A92" t="s">
        <v>329</v>
      </c>
      <c r="B92" t="s">
        <v>4796</v>
      </c>
      <c r="C92" t="s">
        <v>312</v>
      </c>
      <c r="D92" t="s">
        <v>59</v>
      </c>
      <c r="E92">
        <f>HYPERLINK("https://www.britishcycling.org.uk/points?person_id=201337&amp;year=2019&amp;type=national&amp;d=6","Results")</f>
        <v/>
      </c>
    </row>
    <row r="93" spans="1:5">
      <c r="A93" t="s">
        <v>333</v>
      </c>
      <c r="B93" t="s">
        <v>4748</v>
      </c>
      <c r="C93" t="s">
        <v>817</v>
      </c>
      <c r="D93" t="s">
        <v>59</v>
      </c>
      <c r="E93">
        <f>HYPERLINK("https://www.britishcycling.org.uk/points?person_id=404364&amp;year=2019&amp;type=national&amp;d=6","Results")</f>
        <v/>
      </c>
    </row>
    <row r="94" spans="1:5">
      <c r="A94" t="s">
        <v>337</v>
      </c>
      <c r="B94" t="s">
        <v>4746</v>
      </c>
      <c r="C94" t="s">
        <v>1874</v>
      </c>
      <c r="D94" t="s">
        <v>59</v>
      </c>
      <c r="E94">
        <f>HYPERLINK("https://www.britishcycling.org.uk/points?person_id=49532&amp;year=2019&amp;type=national&amp;d=6","Results")</f>
        <v/>
      </c>
    </row>
    <row r="95" spans="1:5">
      <c r="A95" t="s">
        <v>341</v>
      </c>
      <c r="B95" t="s">
        <v>4645</v>
      </c>
      <c r="C95" t="s">
        <v>2947</v>
      </c>
      <c r="D95" t="s">
        <v>55</v>
      </c>
      <c r="E95">
        <f>HYPERLINK("https://www.britishcycling.org.uk/points?person_id=34477&amp;year=2019&amp;type=national&amp;d=6","Results")</f>
        <v/>
      </c>
    </row>
    <row r="96" spans="1:5">
      <c r="A96" t="s">
        <v>344</v>
      </c>
      <c r="B96" t="s">
        <v>4675</v>
      </c>
      <c r="C96" t="s">
        <v>4676</v>
      </c>
      <c r="D96" t="s">
        <v>55</v>
      </c>
      <c r="E96">
        <f>HYPERLINK("https://www.britishcycling.org.uk/points?person_id=108088&amp;year=2019&amp;type=national&amp;d=6","Results")</f>
        <v/>
      </c>
    </row>
    <row r="97" spans="1:5">
      <c r="A97" t="s">
        <v>347</v>
      </c>
      <c r="B97" t="s">
        <v>4614</v>
      </c>
      <c r="C97" t="s">
        <v>3121</v>
      </c>
      <c r="D97" t="s">
        <v>47</v>
      </c>
      <c r="E97">
        <f>HYPERLINK("https://www.britishcycling.org.uk/points?person_id=326080&amp;year=2019&amp;type=national&amp;d=6","Results")</f>
        <v/>
      </c>
    </row>
    <row r="98" spans="1:5">
      <c r="A98" t="s">
        <v>350</v>
      </c>
      <c r="B98" t="s">
        <v>4797</v>
      </c>
      <c r="C98" t="s">
        <v>230</v>
      </c>
      <c r="D98" t="s">
        <v>47</v>
      </c>
      <c r="E98">
        <f>HYPERLINK("https://www.britishcycling.org.uk/points?person_id=463031&amp;year=2019&amp;type=national&amp;d=6","Results")</f>
        <v/>
      </c>
    </row>
    <row r="99" spans="1:5">
      <c r="A99" t="s">
        <v>352</v>
      </c>
      <c r="B99" t="s">
        <v>4720</v>
      </c>
      <c r="C99" t="s">
        <v>2874</v>
      </c>
      <c r="D99" t="s">
        <v>47</v>
      </c>
      <c r="E99">
        <f>HYPERLINK("https://www.britishcycling.org.uk/points?person_id=98818&amp;year=2019&amp;type=national&amp;d=6","Results")</f>
        <v/>
      </c>
    </row>
    <row r="100" spans="1:5">
      <c r="A100" t="s">
        <v>349</v>
      </c>
      <c r="B100" t="s">
        <v>4595</v>
      </c>
      <c r="C100" t="s">
        <v>995</v>
      </c>
      <c r="D100" t="s">
        <v>47</v>
      </c>
      <c r="E100">
        <f>HYPERLINK("https://www.britishcycling.org.uk/points?person_id=579433&amp;year=2019&amp;type=national&amp;d=6","Results")</f>
        <v/>
      </c>
    </row>
    <row r="101" spans="1:5">
      <c r="A101" t="s">
        <v>356</v>
      </c>
      <c r="B101" t="s">
        <v>4798</v>
      </c>
      <c r="C101" t="s">
        <v>45</v>
      </c>
      <c r="D101" t="s">
        <v>43</v>
      </c>
      <c r="E101">
        <f>HYPERLINK("https://www.britishcycling.org.uk/points?person_id=211841&amp;year=2019&amp;type=national&amp;d=6","Results")</f>
        <v/>
      </c>
    </row>
    <row r="102" spans="1:5">
      <c r="A102" t="s">
        <v>359</v>
      </c>
      <c r="B102" t="s">
        <v>4799</v>
      </c>
      <c r="C102" t="s">
        <v>929</v>
      </c>
      <c r="D102" t="s">
        <v>43</v>
      </c>
      <c r="E102">
        <f>HYPERLINK("https://www.britishcycling.org.uk/points?person_id=192199&amp;year=2019&amp;type=national&amp;d=6","Results")</f>
        <v/>
      </c>
    </row>
    <row r="103" spans="1:5">
      <c r="A103" t="s">
        <v>343</v>
      </c>
      <c r="B103" t="s">
        <v>4636</v>
      </c>
      <c r="C103" t="s">
        <v>80</v>
      </c>
      <c r="D103" t="s">
        <v>43</v>
      </c>
      <c r="E103">
        <f>HYPERLINK("https://www.britishcycling.org.uk/points?person_id=385758&amp;year=2019&amp;type=national&amp;d=6","Results")</f>
        <v/>
      </c>
    </row>
    <row r="104" spans="1:5">
      <c r="A104" t="s">
        <v>364</v>
      </c>
      <c r="B104" t="s">
        <v>4800</v>
      </c>
      <c r="C104" t="s">
        <v>113</v>
      </c>
      <c r="D104" t="s">
        <v>39</v>
      </c>
      <c r="E104">
        <f>HYPERLINK("https://www.britishcycling.org.uk/points?person_id=359772&amp;year=2019&amp;type=national&amp;d=6","Results")</f>
        <v/>
      </c>
    </row>
    <row r="105" spans="1:5">
      <c r="A105" t="s">
        <v>340</v>
      </c>
      <c r="B105" t="s">
        <v>4628</v>
      </c>
      <c r="C105" t="s">
        <v>595</v>
      </c>
      <c r="D105" t="s">
        <v>35</v>
      </c>
      <c r="E105">
        <f>HYPERLINK("https://www.britishcycling.org.uk/points?person_id=44339&amp;year=2019&amp;type=national&amp;d=6","Results")</f>
        <v/>
      </c>
    </row>
    <row r="106" spans="1:5">
      <c r="A106" t="s">
        <v>368</v>
      </c>
      <c r="B106" t="s">
        <v>4801</v>
      </c>
      <c r="C106" t="s">
        <v>1364</v>
      </c>
      <c r="D106" t="s">
        <v>35</v>
      </c>
      <c r="E106">
        <f>HYPERLINK("https://www.britishcycling.org.uk/points?person_id=531029&amp;year=2019&amp;type=national&amp;d=6","Results")</f>
        <v/>
      </c>
    </row>
    <row r="107" spans="1:5">
      <c r="A107" t="s">
        <v>370</v>
      </c>
      <c r="B107" t="s">
        <v>4716</v>
      </c>
      <c r="C107" t="s">
        <v>1494</v>
      </c>
      <c r="D107" t="s">
        <v>35</v>
      </c>
      <c r="E107">
        <f>HYPERLINK("https://www.britishcycling.org.uk/points?person_id=676225&amp;year=2019&amp;type=national&amp;d=6","Results")</f>
        <v/>
      </c>
    </row>
    <row r="108" spans="1:5">
      <c r="A108" t="s">
        <v>372</v>
      </c>
      <c r="B108" t="s">
        <v>4802</v>
      </c>
      <c r="C108" t="s">
        <v>2675</v>
      </c>
      <c r="D108" t="s">
        <v>35</v>
      </c>
      <c r="E108">
        <f>HYPERLINK("https://www.britishcycling.org.uk/points?person_id=706154&amp;year=2019&amp;type=national&amp;d=6","Results")</f>
        <v/>
      </c>
    </row>
    <row r="109" spans="1:5">
      <c r="A109" t="s">
        <v>374</v>
      </c>
      <c r="B109" t="s">
        <v>4749</v>
      </c>
      <c r="C109" t="s">
        <v>212</v>
      </c>
      <c r="D109" t="s">
        <v>31</v>
      </c>
      <c r="E109">
        <f>HYPERLINK("https://www.britishcycling.org.uk/points?person_id=573198&amp;year=2019&amp;type=national&amp;d=6","Results")</f>
        <v/>
      </c>
    </row>
    <row r="110" spans="1:5">
      <c r="A110" t="s">
        <v>377</v>
      </c>
      <c r="B110" t="s">
        <v>4803</v>
      </c>
      <c r="C110" t="s">
        <v>361</v>
      </c>
      <c r="D110" t="s">
        <v>31</v>
      </c>
      <c r="E110">
        <f>HYPERLINK("https://www.britishcycling.org.uk/points?person_id=231991&amp;year=2019&amp;type=national&amp;d=6","Results")</f>
        <v/>
      </c>
    </row>
    <row r="111" spans="1:5">
      <c r="A111" t="s">
        <v>336</v>
      </c>
      <c r="B111" t="s">
        <v>4743</v>
      </c>
      <c r="C111" t="s">
        <v>392</v>
      </c>
      <c r="D111" t="s">
        <v>31</v>
      </c>
      <c r="E111">
        <f>HYPERLINK("https://www.britishcycling.org.uk/points?person_id=509414&amp;year=2019&amp;type=national&amp;d=6","Results")</f>
        <v/>
      </c>
    </row>
    <row r="112" spans="1:5">
      <c r="A112" t="s">
        <v>332</v>
      </c>
      <c r="B112" t="s">
        <v>4650</v>
      </c>
      <c r="C112" t="s">
        <v>1865</v>
      </c>
      <c r="D112" t="s">
        <v>28</v>
      </c>
      <c r="E112">
        <f>HYPERLINK("https://www.britishcycling.org.uk/points?person_id=558944&amp;year=2019&amp;type=national&amp;d=6","Results")</f>
        <v/>
      </c>
    </row>
    <row r="113" spans="1:5">
      <c r="A113" t="s">
        <v>384</v>
      </c>
      <c r="B113" t="s">
        <v>4704</v>
      </c>
      <c r="C113" t="s">
        <v>2104</v>
      </c>
      <c r="D113" t="s">
        <v>28</v>
      </c>
      <c r="E113">
        <f>HYPERLINK("https://www.britishcycling.org.uk/points?person_id=274008&amp;year=2019&amp;type=national&amp;d=6","Results")</f>
        <v/>
      </c>
    </row>
    <row r="114" spans="1:5">
      <c r="A114" t="s">
        <v>387</v>
      </c>
      <c r="B114" t="s">
        <v>4694</v>
      </c>
      <c r="C114" t="s">
        <v>4695</v>
      </c>
      <c r="D114" t="s">
        <v>28</v>
      </c>
      <c r="E114">
        <f>HYPERLINK("https://www.britishcycling.org.uk/points?person_id=431082&amp;year=2019&amp;type=national&amp;d=6","Results")</f>
        <v/>
      </c>
    </row>
    <row r="115" spans="1:5">
      <c r="A115" t="s">
        <v>389</v>
      </c>
      <c r="B115" t="s">
        <v>4750</v>
      </c>
      <c r="C115" t="s">
        <v>3309</v>
      </c>
      <c r="D115" t="s">
        <v>25</v>
      </c>
      <c r="E115">
        <f>HYPERLINK("https://www.britishcycling.org.uk/points?person_id=319023&amp;year=2019&amp;type=national&amp;d=6","Results")</f>
        <v/>
      </c>
    </row>
    <row r="116" spans="1:5">
      <c r="A116" t="s">
        <v>325</v>
      </c>
      <c r="B116" t="s">
        <v>4804</v>
      </c>
      <c r="C116" t="s">
        <v>3679</v>
      </c>
      <c r="D116" t="s">
        <v>25</v>
      </c>
      <c r="E116">
        <f>HYPERLINK("https://www.britishcycling.org.uk/points?person_id=38759&amp;year=2019&amp;type=national&amp;d=6","Results")</f>
        <v/>
      </c>
    </row>
    <row r="117" spans="1:5">
      <c r="A117" t="s">
        <v>393</v>
      </c>
      <c r="B117" t="s">
        <v>4734</v>
      </c>
      <c r="C117" t="s">
        <v>4735</v>
      </c>
      <c r="D117" t="s">
        <v>21</v>
      </c>
      <c r="E117">
        <f>HYPERLINK("https://www.britishcycling.org.uk/points?person_id=613199&amp;year=2019&amp;type=national&amp;d=6","Results")</f>
        <v/>
      </c>
    </row>
    <row r="118" spans="1:5">
      <c r="A118" t="s">
        <v>321</v>
      </c>
      <c r="B118" t="s">
        <v>4805</v>
      </c>
      <c r="C118" t="s">
        <v>4806</v>
      </c>
      <c r="D118" t="s">
        <v>21</v>
      </c>
      <c r="E118">
        <f>HYPERLINK("https://www.britishcycling.org.uk/points?person_id=257991&amp;year=2019&amp;type=national&amp;d=6","Results")</f>
        <v/>
      </c>
    </row>
    <row r="119" spans="1:5">
      <c r="A119" t="s">
        <v>316</v>
      </c>
      <c r="B119" t="s">
        <v>4807</v>
      </c>
      <c r="C119" t="s">
        <v>3387</v>
      </c>
      <c r="D119" t="s">
        <v>21</v>
      </c>
      <c r="E119">
        <f>HYPERLINK("https://www.britishcycling.org.uk/points?person_id=60299&amp;year=2019&amp;type=national&amp;d=6","Results")</f>
        <v/>
      </c>
    </row>
    <row r="120" spans="1:5">
      <c r="A120" t="s">
        <v>399</v>
      </c>
      <c r="B120" t="s">
        <v>4711</v>
      </c>
      <c r="C120" t="s">
        <v>511</v>
      </c>
      <c r="D120" t="s">
        <v>21</v>
      </c>
      <c r="E120">
        <f>HYPERLINK("https://www.britishcycling.org.uk/points?person_id=34328&amp;year=2019&amp;type=national&amp;d=6","Results")</f>
        <v/>
      </c>
    </row>
    <row r="121" spans="1:5">
      <c r="A121" t="s">
        <v>309</v>
      </c>
      <c r="B121" t="s">
        <v>4782</v>
      </c>
      <c r="C121" t="s">
        <v>4522</v>
      </c>
      <c r="D121" t="s">
        <v>21</v>
      </c>
      <c r="E121">
        <f>HYPERLINK("https://www.britishcycling.org.uk/points?person_id=346099&amp;year=2019&amp;type=national&amp;d=6","Results")</f>
        <v/>
      </c>
    </row>
    <row r="122" spans="1:5">
      <c r="A122" t="s">
        <v>306</v>
      </c>
      <c r="B122" t="s">
        <v>4808</v>
      </c>
      <c r="C122" t="s">
        <v>1236</v>
      </c>
      <c r="D122" t="s">
        <v>17</v>
      </c>
      <c r="E122">
        <f>HYPERLINK("https://www.britishcycling.org.uk/points?person_id=382911&amp;year=2019&amp;type=national&amp;d=6","Results")</f>
        <v/>
      </c>
    </row>
    <row r="123" spans="1:5">
      <c r="A123" t="s">
        <v>405</v>
      </c>
      <c r="B123" t="s">
        <v>4809</v>
      </c>
      <c r="C123" t="s">
        <v>4572</v>
      </c>
      <c r="D123" t="s">
        <v>13</v>
      </c>
      <c r="E123">
        <f>HYPERLINK("https://www.britishcycling.org.uk/points?person_id=199058&amp;year=2019&amp;type=national&amp;d=6","Results")</f>
        <v/>
      </c>
    </row>
    <row r="124" spans="1:5">
      <c r="A124" t="s">
        <v>408</v>
      </c>
      <c r="B124" t="s">
        <v>4810</v>
      </c>
      <c r="C124" t="s">
        <v>2104</v>
      </c>
      <c r="D124" t="s">
        <v>13</v>
      </c>
      <c r="E124">
        <f>HYPERLINK("https://www.britishcycling.org.uk/points?person_id=308788&amp;year=2019&amp;type=national&amp;d=6","Results")</f>
        <v/>
      </c>
    </row>
    <row r="125" spans="1:5">
      <c r="A125" t="s">
        <v>410</v>
      </c>
      <c r="B125" t="s">
        <v>4779</v>
      </c>
      <c r="C125" t="s">
        <v>961</v>
      </c>
      <c r="D125" t="s">
        <v>13</v>
      </c>
      <c r="E125">
        <f>HYPERLINK("https://www.britishcycling.org.uk/points?person_id=498608&amp;year=2019&amp;type=national&amp;d=6","Results")</f>
        <v/>
      </c>
    </row>
    <row r="126" spans="1:5">
      <c r="A126" t="s">
        <v>303</v>
      </c>
      <c r="B126" t="s">
        <v>4811</v>
      </c>
      <c r="C126" t="s">
        <v>2566</v>
      </c>
      <c r="D126" t="s">
        <v>13</v>
      </c>
      <c r="E126">
        <f>HYPERLINK("https://www.britishcycling.org.uk/points?person_id=603550&amp;year=2019&amp;type=national&amp;d=6","Results")</f>
        <v/>
      </c>
    </row>
    <row r="127" spans="1:5">
      <c r="A127" t="s">
        <v>414</v>
      </c>
      <c r="B127" t="s">
        <v>4732</v>
      </c>
      <c r="C127" t="s">
        <v>4733</v>
      </c>
      <c r="D127" t="s">
        <v>13</v>
      </c>
      <c r="E127">
        <f>HYPERLINK("https://www.britishcycling.org.uk/points?person_id=880510&amp;year=2019&amp;type=national&amp;d=6","Results")</f>
        <v/>
      </c>
    </row>
    <row r="128" spans="1:5">
      <c r="A128" t="s">
        <v>416</v>
      </c>
      <c r="B128" t="s">
        <v>4812</v>
      </c>
      <c r="C128" t="s">
        <v>1461</v>
      </c>
      <c r="D128" t="s">
        <v>9</v>
      </c>
      <c r="E128">
        <f>HYPERLINK("https://www.britishcycling.org.uk/points?person_id=559597&amp;year=2019&amp;type=national&amp;d=6","Results")</f>
        <v/>
      </c>
    </row>
    <row r="129" spans="1:5">
      <c r="A129" t="s">
        <v>418</v>
      </c>
      <c r="B129" t="s">
        <v>4813</v>
      </c>
      <c r="C129" t="s">
        <v>589</v>
      </c>
      <c r="D129" t="s">
        <v>9</v>
      </c>
      <c r="E129">
        <f>HYPERLINK("https://www.britishcycling.org.uk/points?person_id=268625&amp;year=2019&amp;type=national&amp;d=6","Results")</f>
        <v/>
      </c>
    </row>
    <row r="130" spans="1:5">
      <c r="A130" t="s">
        <v>300</v>
      </c>
      <c r="B130" t="s">
        <v>4814</v>
      </c>
      <c r="C130" t="s"/>
      <c r="D130" t="s">
        <v>5</v>
      </c>
      <c r="E130">
        <f>HYPERLINK("https://www.britishcycling.org.uk/points?person_id=245054&amp;year=2019&amp;type=national&amp;d=6","Results")</f>
        <v/>
      </c>
    </row>
    <row r="131" spans="1:5">
      <c r="A131" t="s">
        <v>296</v>
      </c>
      <c r="B131" t="s">
        <v>4696</v>
      </c>
      <c r="C131" t="s">
        <v>312</v>
      </c>
      <c r="D131" t="s">
        <v>5</v>
      </c>
      <c r="E131">
        <f>HYPERLINK("https://www.britishcycling.org.uk/points?person_id=34455&amp;year=2019&amp;type=national&amp;d=6","Results")</f>
        <v/>
      </c>
    </row>
    <row r="132" spans="1:5">
      <c r="A132" t="s">
        <v>292</v>
      </c>
      <c r="B132" t="s">
        <v>4815</v>
      </c>
      <c r="C132" t="s">
        <v>363</v>
      </c>
      <c r="D132" t="s">
        <v>5</v>
      </c>
      <c r="E132">
        <f>HYPERLINK("https://www.britishcycling.org.uk/points?person_id=321566&amp;year=2019&amp;type=national&amp;d=6","Results")</f>
        <v/>
      </c>
    </row>
    <row r="133" spans="1:5">
      <c r="A133" t="s">
        <v>288</v>
      </c>
      <c r="B133" t="s">
        <v>4781</v>
      </c>
      <c r="C133" t="s">
        <v>1478</v>
      </c>
      <c r="D133" t="s">
        <v>5</v>
      </c>
      <c r="E133">
        <f>HYPERLINK("https://www.britishcycling.org.uk/points?person_id=454815&amp;year=2019&amp;type=national&amp;d=6","Results")</f>
        <v/>
      </c>
    </row>
    <row r="134" spans="1:5">
      <c r="A134" t="s">
        <v>425</v>
      </c>
      <c r="B134" t="s">
        <v>4816</v>
      </c>
      <c r="C134" t="s">
        <v>1657</v>
      </c>
      <c r="D134" t="s">
        <v>5</v>
      </c>
      <c r="E134">
        <f>HYPERLINK("https://www.britishcycling.org.uk/points?person_id=266383&amp;year=2019&amp;type=national&amp;d=6","Results")</f>
        <v/>
      </c>
    </row>
    <row r="135" spans="1:5">
      <c r="A135" t="s">
        <v>284</v>
      </c>
      <c r="B135" t="s">
        <v>4817</v>
      </c>
      <c r="C135" t="s">
        <v>331</v>
      </c>
      <c r="D135" t="s">
        <v>5</v>
      </c>
      <c r="E135">
        <f>HYPERLINK("https://www.britishcycling.org.uk/points?person_id=507926&amp;year=2019&amp;type=national&amp;d=6","Results")</f>
        <v/>
      </c>
    </row>
    <row r="136" spans="1:5">
      <c r="A136" t="s">
        <v>430</v>
      </c>
      <c r="B136" t="s">
        <v>4818</v>
      </c>
      <c r="C136" t="s">
        <v>671</v>
      </c>
      <c r="D136" t="s">
        <v>5</v>
      </c>
      <c r="E136">
        <f>HYPERLINK("https://www.britishcycling.org.uk/points?person_id=791559&amp;year=2019&amp;type=national&amp;d=6","Results")</f>
        <v/>
      </c>
    </row>
    <row r="137" spans="1:5">
      <c r="A137" t="s">
        <v>432</v>
      </c>
      <c r="B137" t="s">
        <v>4819</v>
      </c>
      <c r="C137" t="s"/>
      <c r="D137" t="s">
        <v>5</v>
      </c>
      <c r="E137">
        <f>HYPERLINK("https://www.britishcycling.org.uk/points?person_id=745720&amp;year=2019&amp;type=national&amp;d=6","Results")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72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4486</v>
      </c>
      <c r="C2" t="s">
        <v>1397</v>
      </c>
      <c r="D2" t="s">
        <v>651</v>
      </c>
      <c r="E2">
        <f>HYPERLINK("https://www.britishcycling.org.uk/points?person_id=27758&amp;year=2019&amp;type=national&amp;d=6","Results")</f>
        <v/>
      </c>
    </row>
    <row r="3" spans="1:5">
      <c r="A3" t="s">
        <v>9</v>
      </c>
      <c r="B3" t="s">
        <v>4504</v>
      </c>
      <c r="C3" t="s">
        <v>656</v>
      </c>
      <c r="D3" t="s">
        <v>509</v>
      </c>
      <c r="E3">
        <f>HYPERLINK("https://www.britishcycling.org.uk/points?person_id=313214&amp;year=2019&amp;type=national&amp;d=6","Results")</f>
        <v/>
      </c>
    </row>
    <row r="4" spans="1:5">
      <c r="A4" t="s">
        <v>13</v>
      </c>
      <c r="B4" t="s">
        <v>4503</v>
      </c>
      <c r="C4" t="s"/>
      <c r="D4" t="s">
        <v>227</v>
      </c>
      <c r="E4">
        <f>HYPERLINK("https://www.britishcycling.org.uk/points?person_id=602957&amp;year=2019&amp;type=national&amp;d=6","Results")</f>
        <v/>
      </c>
    </row>
    <row r="5" spans="1:5">
      <c r="A5" t="s">
        <v>17</v>
      </c>
      <c r="B5" t="s">
        <v>4426</v>
      </c>
      <c r="C5" t="s">
        <v>4427</v>
      </c>
      <c r="D5" t="s">
        <v>243</v>
      </c>
      <c r="E5">
        <f>HYPERLINK("https://www.britishcycling.org.uk/points?person_id=863211&amp;year=2019&amp;type=national&amp;d=6","Results")</f>
        <v/>
      </c>
    </row>
    <row r="6" spans="1:5">
      <c r="A6" t="s">
        <v>21</v>
      </c>
      <c r="B6" t="s">
        <v>4820</v>
      </c>
      <c r="C6" t="s">
        <v>771</v>
      </c>
      <c r="D6" t="s">
        <v>480</v>
      </c>
      <c r="E6">
        <f>HYPERLINK("https://www.britishcycling.org.uk/points?person_id=107959&amp;year=2019&amp;type=national&amp;d=6","Results")</f>
        <v/>
      </c>
    </row>
    <row r="7" spans="1:5">
      <c r="A7" t="s">
        <v>25</v>
      </c>
      <c r="B7" t="s">
        <v>4415</v>
      </c>
      <c r="C7" t="s">
        <v>1762</v>
      </c>
      <c r="D7" t="s">
        <v>284</v>
      </c>
      <c r="E7">
        <f>HYPERLINK("https://www.britishcycling.org.uk/points?person_id=604772&amp;year=2019&amp;type=national&amp;d=6","Results")</f>
        <v/>
      </c>
    </row>
    <row r="8" spans="1:5">
      <c r="A8" t="s">
        <v>28</v>
      </c>
      <c r="B8" t="s">
        <v>4586</v>
      </c>
      <c r="C8" t="s">
        <v>335</v>
      </c>
      <c r="D8" t="s">
        <v>418</v>
      </c>
      <c r="E8">
        <f>HYPERLINK("https://www.britishcycling.org.uk/points?person_id=540393&amp;year=2019&amp;type=national&amp;d=6","Results")</f>
        <v/>
      </c>
    </row>
    <row r="9" spans="1:5">
      <c r="A9" t="s">
        <v>31</v>
      </c>
      <c r="B9" t="s">
        <v>4511</v>
      </c>
      <c r="C9" t="s">
        <v>3452</v>
      </c>
      <c r="D9" t="s">
        <v>414</v>
      </c>
      <c r="E9">
        <f>HYPERLINK("https://www.britishcycling.org.uk/points?person_id=47153&amp;year=2019&amp;type=national&amp;d=6","Results")</f>
        <v/>
      </c>
    </row>
    <row r="10" spans="1:5">
      <c r="A10" t="s">
        <v>35</v>
      </c>
      <c r="B10" t="s">
        <v>4456</v>
      </c>
      <c r="C10" t="s"/>
      <c r="D10" t="s">
        <v>410</v>
      </c>
      <c r="E10">
        <f>HYPERLINK("https://www.britishcycling.org.uk/points?person_id=36899&amp;year=2019&amp;type=national&amp;d=6","Results")</f>
        <v/>
      </c>
    </row>
    <row r="11" spans="1:5">
      <c r="A11" t="s">
        <v>39</v>
      </c>
      <c r="B11" t="s">
        <v>4677</v>
      </c>
      <c r="C11" t="s">
        <v>1810</v>
      </c>
      <c r="D11" t="s">
        <v>306</v>
      </c>
      <c r="E11">
        <f>HYPERLINK("https://www.britishcycling.org.uk/points?person_id=26258&amp;year=2019&amp;type=national&amp;d=6","Results")</f>
        <v/>
      </c>
    </row>
    <row r="12" spans="1:5">
      <c r="A12" t="s">
        <v>43</v>
      </c>
      <c r="B12" t="s">
        <v>4570</v>
      </c>
      <c r="C12" t="s">
        <v>1819</v>
      </c>
      <c r="D12" t="s">
        <v>321</v>
      </c>
      <c r="E12">
        <f>HYPERLINK("https://www.britishcycling.org.uk/points?person_id=175528&amp;year=2019&amp;type=national&amp;d=6","Results")</f>
        <v/>
      </c>
    </row>
    <row r="13" spans="1:5">
      <c r="A13" t="s">
        <v>47</v>
      </c>
      <c r="B13" t="s">
        <v>4471</v>
      </c>
      <c r="C13" t="s">
        <v>3577</v>
      </c>
      <c r="D13" t="s">
        <v>325</v>
      </c>
      <c r="E13">
        <f>HYPERLINK("https://www.britishcycling.org.uk/points?person_id=13888&amp;year=2019&amp;type=national&amp;d=6","Results")</f>
        <v/>
      </c>
    </row>
    <row r="14" spans="1:5">
      <c r="A14" t="s">
        <v>51</v>
      </c>
      <c r="B14" t="s">
        <v>4601</v>
      </c>
      <c r="C14" t="s">
        <v>1370</v>
      </c>
      <c r="D14" t="s">
        <v>364</v>
      </c>
      <c r="E14">
        <f>HYPERLINK("https://www.britishcycling.org.uk/points?person_id=137605&amp;year=2019&amp;type=national&amp;d=6","Results")</f>
        <v/>
      </c>
    </row>
    <row r="15" spans="1:5">
      <c r="A15" t="s">
        <v>55</v>
      </c>
      <c r="B15" t="s">
        <v>4592</v>
      </c>
      <c r="C15" t="s">
        <v>361</v>
      </c>
      <c r="D15" t="s">
        <v>333</v>
      </c>
      <c r="E15">
        <f>HYPERLINK("https://www.britishcycling.org.uk/points?person_id=228103&amp;year=2019&amp;type=national&amp;d=6","Results")</f>
        <v/>
      </c>
    </row>
    <row r="16" spans="1:5">
      <c r="A16" t="s">
        <v>59</v>
      </c>
      <c r="B16" t="s">
        <v>4664</v>
      </c>
      <c r="C16" t="s">
        <v>4665</v>
      </c>
      <c r="D16" t="s">
        <v>260</v>
      </c>
      <c r="E16">
        <f>HYPERLINK("https://www.britishcycling.org.uk/points?person_id=853096&amp;year=2019&amp;type=national&amp;d=6","Results")</f>
        <v/>
      </c>
    </row>
    <row r="17" spans="1:5">
      <c r="A17" t="s">
        <v>63</v>
      </c>
      <c r="B17" t="s">
        <v>4756</v>
      </c>
      <c r="C17" t="s">
        <v>771</v>
      </c>
      <c r="D17" t="s">
        <v>257</v>
      </c>
      <c r="E17">
        <f>HYPERLINK("https://www.britishcycling.org.uk/points?person_id=255001&amp;year=2019&amp;type=national&amp;d=6","Results")</f>
        <v/>
      </c>
    </row>
    <row r="18" spans="1:5">
      <c r="A18" t="s">
        <v>67</v>
      </c>
      <c r="B18" t="s">
        <v>4647</v>
      </c>
      <c r="C18" t="s">
        <v>1292</v>
      </c>
      <c r="D18" t="s">
        <v>250</v>
      </c>
      <c r="E18">
        <f>HYPERLINK("https://www.britishcycling.org.uk/points?person_id=497466&amp;year=2019&amp;type=national&amp;d=6","Results")</f>
        <v/>
      </c>
    </row>
    <row r="19" spans="1:5">
      <c r="A19" t="s">
        <v>71</v>
      </c>
      <c r="B19" t="s">
        <v>4687</v>
      </c>
      <c r="C19" t="s">
        <v>1113</v>
      </c>
      <c r="D19" t="s">
        <v>210</v>
      </c>
      <c r="E19">
        <f>HYPERLINK("https://www.britishcycling.org.uk/points?person_id=478788&amp;year=2019&amp;type=national&amp;d=6","Results")</f>
        <v/>
      </c>
    </row>
    <row r="20" spans="1:5">
      <c r="A20" t="s">
        <v>75</v>
      </c>
      <c r="B20" t="s">
        <v>4528</v>
      </c>
      <c r="C20" t="s">
        <v>3427</v>
      </c>
      <c r="D20" t="s">
        <v>188</v>
      </c>
      <c r="E20">
        <f>HYPERLINK("https://www.britishcycling.org.uk/points?person_id=47037&amp;year=2019&amp;type=national&amp;d=6","Results")</f>
        <v/>
      </c>
    </row>
    <row r="21" spans="1:5">
      <c r="A21" t="s">
        <v>78</v>
      </c>
      <c r="B21" t="s">
        <v>4631</v>
      </c>
      <c r="C21" t="s">
        <v>656</v>
      </c>
      <c r="D21" t="s">
        <v>188</v>
      </c>
      <c r="E21">
        <f>HYPERLINK("https://www.britishcycling.org.uk/points?person_id=395528&amp;year=2019&amp;type=national&amp;d=6","Results")</f>
        <v/>
      </c>
    </row>
    <row r="22" spans="1:5">
      <c r="A22" t="s">
        <v>82</v>
      </c>
      <c r="B22" t="s">
        <v>4607</v>
      </c>
      <c r="C22" t="s">
        <v>15</v>
      </c>
      <c r="D22" t="s">
        <v>180</v>
      </c>
      <c r="E22">
        <f>HYPERLINK("https://www.britishcycling.org.uk/points?person_id=24304&amp;year=2019&amp;type=national&amp;d=6","Results")</f>
        <v/>
      </c>
    </row>
    <row r="23" spans="1:5">
      <c r="A23" t="s">
        <v>85</v>
      </c>
      <c r="B23" t="s">
        <v>4561</v>
      </c>
      <c r="C23" t="s">
        <v>3774</v>
      </c>
      <c r="D23" t="s">
        <v>176</v>
      </c>
      <c r="E23">
        <f>HYPERLINK("https://www.britishcycling.org.uk/points?person_id=456474&amp;year=2019&amp;type=national&amp;d=6","Results")</f>
        <v/>
      </c>
    </row>
    <row r="24" spans="1:5">
      <c r="A24" t="s">
        <v>89</v>
      </c>
      <c r="B24" t="s">
        <v>4673</v>
      </c>
      <c r="C24" t="s">
        <v>3978</v>
      </c>
      <c r="D24" t="s">
        <v>165</v>
      </c>
      <c r="E24">
        <f>HYPERLINK("https://www.britishcycling.org.uk/points?person_id=768060&amp;year=2019&amp;type=national&amp;d=6","Results")</f>
        <v/>
      </c>
    </row>
    <row r="25" spans="1:5">
      <c r="A25" t="s">
        <v>92</v>
      </c>
      <c r="B25" t="s">
        <v>4690</v>
      </c>
      <c r="C25" t="s">
        <v>1322</v>
      </c>
      <c r="D25" t="s">
        <v>161</v>
      </c>
      <c r="E25">
        <f>HYPERLINK("https://www.britishcycling.org.uk/points?person_id=66502&amp;year=2019&amp;type=national&amp;d=6","Results")</f>
        <v/>
      </c>
    </row>
    <row r="26" spans="1:5">
      <c r="A26" t="s">
        <v>96</v>
      </c>
      <c r="B26" t="s">
        <v>4708</v>
      </c>
      <c r="C26" t="s">
        <v>1113</v>
      </c>
      <c r="D26" t="s">
        <v>151</v>
      </c>
      <c r="E26">
        <f>HYPERLINK("https://www.britishcycling.org.uk/points?person_id=42696&amp;year=2019&amp;type=national&amp;d=6","Results")</f>
        <v/>
      </c>
    </row>
    <row r="27" spans="1:5">
      <c r="A27" t="s">
        <v>99</v>
      </c>
      <c r="B27" t="s">
        <v>4532</v>
      </c>
      <c r="C27" t="s">
        <v>1736</v>
      </c>
      <c r="D27" t="s">
        <v>148</v>
      </c>
      <c r="E27">
        <f>HYPERLINK("https://www.britishcycling.org.uk/points?person_id=684240&amp;year=2019&amp;type=national&amp;d=6","Results")</f>
        <v/>
      </c>
    </row>
    <row r="28" spans="1:5">
      <c r="A28" t="s">
        <v>103</v>
      </c>
      <c r="B28" t="s">
        <v>4672</v>
      </c>
      <c r="C28" t="s">
        <v>2132</v>
      </c>
      <c r="D28" t="s">
        <v>148</v>
      </c>
      <c r="E28">
        <f>HYPERLINK("https://www.britishcycling.org.uk/points?person_id=53480&amp;year=2019&amp;type=national&amp;d=6","Results")</f>
        <v/>
      </c>
    </row>
    <row r="29" spans="1:5">
      <c r="A29" t="s">
        <v>107</v>
      </c>
      <c r="B29" t="s">
        <v>4432</v>
      </c>
      <c r="C29" t="s">
        <v>615</v>
      </c>
      <c r="D29" t="s">
        <v>145</v>
      </c>
      <c r="E29">
        <f>HYPERLINK("https://www.britishcycling.org.uk/points?person_id=64594&amp;year=2019&amp;type=national&amp;d=6","Results")</f>
        <v/>
      </c>
    </row>
    <row r="30" spans="1:5">
      <c r="A30" t="s">
        <v>111</v>
      </c>
      <c r="B30" t="s">
        <v>4821</v>
      </c>
      <c r="C30" t="s">
        <v>2723</v>
      </c>
      <c r="D30" t="s">
        <v>127</v>
      </c>
      <c r="E30">
        <f>HYPERLINK("https://www.britishcycling.org.uk/points?person_id=650656&amp;year=2019&amp;type=national&amp;d=6","Results")</f>
        <v/>
      </c>
    </row>
    <row r="31" spans="1:5">
      <c r="A31" t="s">
        <v>115</v>
      </c>
      <c r="B31" t="s">
        <v>4661</v>
      </c>
      <c r="C31" t="s">
        <v>363</v>
      </c>
      <c r="D31" t="s">
        <v>119</v>
      </c>
      <c r="E31">
        <f>HYPERLINK("https://www.britishcycling.org.uk/points?person_id=333624&amp;year=2019&amp;type=national&amp;d=6","Results")</f>
        <v/>
      </c>
    </row>
    <row r="32" spans="1:5">
      <c r="A32" t="s">
        <v>119</v>
      </c>
      <c r="B32" t="s">
        <v>4736</v>
      </c>
      <c r="C32" t="s">
        <v>4572</v>
      </c>
      <c r="D32" t="s">
        <v>119</v>
      </c>
      <c r="E32">
        <f>HYPERLINK("https://www.britishcycling.org.uk/points?person_id=330751&amp;year=2019&amp;type=national&amp;d=6","Results")</f>
        <v/>
      </c>
    </row>
    <row r="33" spans="1:5">
      <c r="A33" t="s">
        <v>123</v>
      </c>
      <c r="B33" t="s">
        <v>4639</v>
      </c>
      <c r="C33" t="s">
        <v>899</v>
      </c>
      <c r="D33" t="s">
        <v>119</v>
      </c>
      <c r="E33">
        <f>HYPERLINK("https://www.britishcycling.org.uk/points?person_id=60414&amp;year=2019&amp;type=national&amp;d=6","Results")</f>
        <v/>
      </c>
    </row>
    <row r="34" spans="1:5">
      <c r="A34" t="s">
        <v>127</v>
      </c>
      <c r="B34" t="s">
        <v>4590</v>
      </c>
      <c r="C34" t="s">
        <v>4591</v>
      </c>
      <c r="D34" t="s">
        <v>119</v>
      </c>
      <c r="E34">
        <f>HYPERLINK("https://www.britishcycling.org.uk/points?person_id=67170&amp;year=2019&amp;type=national&amp;d=6","Results")</f>
        <v/>
      </c>
    </row>
    <row r="35" spans="1:5">
      <c r="A35" t="s">
        <v>130</v>
      </c>
      <c r="B35" t="s">
        <v>4629</v>
      </c>
      <c r="C35" t="s">
        <v>4630</v>
      </c>
      <c r="D35" t="s">
        <v>103</v>
      </c>
      <c r="E35">
        <f>HYPERLINK("https://www.britishcycling.org.uk/points?person_id=228737&amp;year=2019&amp;type=national&amp;d=6","Results")</f>
        <v/>
      </c>
    </row>
    <row r="36" spans="1:5">
      <c r="A36" t="s">
        <v>133</v>
      </c>
      <c r="B36" t="s">
        <v>4654</v>
      </c>
      <c r="C36" t="s">
        <v>312</v>
      </c>
      <c r="D36" t="s">
        <v>96</v>
      </c>
      <c r="E36">
        <f>HYPERLINK("https://www.britishcycling.org.uk/points?person_id=178491&amp;year=2019&amp;type=national&amp;d=6","Results")</f>
        <v/>
      </c>
    </row>
    <row r="37" spans="1:5">
      <c r="A37" t="s">
        <v>137</v>
      </c>
      <c r="B37" t="s">
        <v>4598</v>
      </c>
      <c r="C37" t="s">
        <v>80</v>
      </c>
      <c r="D37" t="s">
        <v>92</v>
      </c>
      <c r="E37">
        <f>HYPERLINK("https://www.britishcycling.org.uk/points?person_id=49726&amp;year=2019&amp;type=national&amp;d=6","Results")</f>
        <v/>
      </c>
    </row>
    <row r="38" spans="1:5">
      <c r="A38" t="s">
        <v>141</v>
      </c>
      <c r="B38" t="s">
        <v>4580</v>
      </c>
      <c r="C38" t="s">
        <v>4581</v>
      </c>
      <c r="D38" t="s">
        <v>92</v>
      </c>
      <c r="E38">
        <f>HYPERLINK("https://www.britishcycling.org.uk/points?person_id=37490&amp;year=2019&amp;type=national&amp;d=6","Results")</f>
        <v/>
      </c>
    </row>
    <row r="39" spans="1:5">
      <c r="A39" t="s">
        <v>145</v>
      </c>
      <c r="B39" t="s">
        <v>4822</v>
      </c>
      <c r="C39" t="s">
        <v>2054</v>
      </c>
      <c r="D39" t="s">
        <v>92</v>
      </c>
      <c r="E39">
        <f>HYPERLINK("https://www.britishcycling.org.uk/points?person_id=271465&amp;year=2019&amp;type=national&amp;d=6","Results")</f>
        <v/>
      </c>
    </row>
    <row r="40" spans="1:5">
      <c r="A40" t="s">
        <v>148</v>
      </c>
      <c r="B40" t="s">
        <v>4823</v>
      </c>
      <c r="C40" t="s">
        <v>3323</v>
      </c>
      <c r="D40" t="s">
        <v>82</v>
      </c>
      <c r="E40">
        <f>HYPERLINK("https://www.britishcycling.org.uk/points?person_id=383459&amp;year=2019&amp;type=national&amp;d=6","Results")</f>
        <v/>
      </c>
    </row>
    <row r="41" spans="1:5">
      <c r="A41" t="s">
        <v>151</v>
      </c>
      <c r="B41" t="s">
        <v>4824</v>
      </c>
      <c r="C41" t="s">
        <v>771</v>
      </c>
      <c r="D41" t="s">
        <v>82</v>
      </c>
      <c r="E41">
        <f>HYPERLINK("https://www.britishcycling.org.uk/points?person_id=106307&amp;year=2019&amp;type=national&amp;d=6","Results")</f>
        <v/>
      </c>
    </row>
    <row r="42" spans="1:5">
      <c r="A42" t="s">
        <v>155</v>
      </c>
      <c r="B42" t="s">
        <v>4825</v>
      </c>
      <c r="C42" t="s">
        <v>4826</v>
      </c>
      <c r="D42" t="s">
        <v>78</v>
      </c>
      <c r="E42">
        <f>HYPERLINK("https://www.britishcycling.org.uk/points?person_id=167996&amp;year=2019&amp;type=national&amp;d=6","Results")</f>
        <v/>
      </c>
    </row>
    <row r="43" spans="1:5">
      <c r="A43" t="s">
        <v>158</v>
      </c>
      <c r="B43" t="s">
        <v>4827</v>
      </c>
      <c r="C43" t="s">
        <v>4826</v>
      </c>
      <c r="D43" t="s">
        <v>78</v>
      </c>
      <c r="E43">
        <f>HYPERLINK("https://www.britishcycling.org.uk/points?person_id=287683&amp;year=2019&amp;type=national&amp;d=6","Results")</f>
        <v/>
      </c>
    </row>
    <row r="44" spans="1:5">
      <c r="A44" t="s">
        <v>161</v>
      </c>
      <c r="B44" t="s">
        <v>4634</v>
      </c>
      <c r="C44" t="s">
        <v>656</v>
      </c>
      <c r="D44" t="s">
        <v>75</v>
      </c>
      <c r="E44">
        <f>HYPERLINK("https://www.britishcycling.org.uk/points?person_id=342828&amp;year=2019&amp;type=national&amp;d=6","Results")</f>
        <v/>
      </c>
    </row>
    <row r="45" spans="1:5">
      <c r="A45" t="s">
        <v>165</v>
      </c>
      <c r="B45" t="s">
        <v>4828</v>
      </c>
      <c r="C45" t="s">
        <v>1195</v>
      </c>
      <c r="D45" t="s">
        <v>67</v>
      </c>
      <c r="E45">
        <f>HYPERLINK("https://www.britishcycling.org.uk/points?person_id=487355&amp;year=2019&amp;type=national&amp;d=6","Results")</f>
        <v/>
      </c>
    </row>
    <row r="46" spans="1:5">
      <c r="A46" t="s">
        <v>168</v>
      </c>
      <c r="B46" t="s">
        <v>4541</v>
      </c>
      <c r="C46" t="s">
        <v>1738</v>
      </c>
      <c r="D46" t="s">
        <v>63</v>
      </c>
      <c r="E46">
        <f>HYPERLINK("https://www.britishcycling.org.uk/points?person_id=21208&amp;year=2019&amp;type=national&amp;d=6","Results")</f>
        <v/>
      </c>
    </row>
    <row r="47" spans="1:5">
      <c r="A47" t="s">
        <v>172</v>
      </c>
      <c r="B47" t="s">
        <v>4693</v>
      </c>
      <c r="C47" t="s">
        <v>381</v>
      </c>
      <c r="D47" t="s">
        <v>63</v>
      </c>
      <c r="E47">
        <f>HYPERLINK("https://www.britishcycling.org.uk/points?person_id=920767&amp;year=2019&amp;type=national&amp;d=6","Results")</f>
        <v/>
      </c>
    </row>
    <row r="48" spans="1:5">
      <c r="A48" t="s">
        <v>176</v>
      </c>
      <c r="B48" t="s">
        <v>4674</v>
      </c>
      <c r="C48" t="s">
        <v>299</v>
      </c>
      <c r="D48" t="s">
        <v>55</v>
      </c>
      <c r="E48">
        <f>HYPERLINK("https://www.britishcycling.org.uk/points?person_id=385103&amp;year=2019&amp;type=national&amp;d=6","Results")</f>
        <v/>
      </c>
    </row>
    <row r="49" spans="1:5">
      <c r="A49" t="s">
        <v>180</v>
      </c>
      <c r="B49" t="s">
        <v>4778</v>
      </c>
      <c r="C49" t="s">
        <v>3193</v>
      </c>
      <c r="D49" t="s">
        <v>51</v>
      </c>
      <c r="E49">
        <f>HYPERLINK("https://www.britishcycling.org.uk/points?person_id=402369&amp;year=2019&amp;type=national&amp;d=6","Results")</f>
        <v/>
      </c>
    </row>
    <row r="50" spans="1:5">
      <c r="A50" t="s">
        <v>184</v>
      </c>
      <c r="B50" t="s">
        <v>4659</v>
      </c>
      <c r="C50" t="s">
        <v>1874</v>
      </c>
      <c r="D50" t="s">
        <v>47</v>
      </c>
      <c r="E50">
        <f>HYPERLINK("https://www.britishcycling.org.uk/points?person_id=545782&amp;year=2019&amp;type=national&amp;d=6","Results")</f>
        <v/>
      </c>
    </row>
    <row r="51" spans="1:5">
      <c r="A51" t="s">
        <v>188</v>
      </c>
      <c r="B51" t="s">
        <v>4738</v>
      </c>
      <c r="C51" t="s"/>
      <c r="D51" t="s">
        <v>43</v>
      </c>
      <c r="E51">
        <f>HYPERLINK("https://www.britishcycling.org.uk/points?person_id=13402&amp;year=2019&amp;type=national&amp;d=6","Results")</f>
        <v/>
      </c>
    </row>
    <row r="52" spans="1:5">
      <c r="A52" t="s">
        <v>192</v>
      </c>
      <c r="B52" t="s">
        <v>4758</v>
      </c>
      <c r="C52" t="s">
        <v>358</v>
      </c>
      <c r="D52" t="s">
        <v>43</v>
      </c>
      <c r="E52">
        <f>HYPERLINK("https://www.britishcycling.org.uk/points?person_id=17734&amp;year=2019&amp;type=national&amp;d=6","Results")</f>
        <v/>
      </c>
    </row>
    <row r="53" spans="1:5">
      <c r="A53" t="s">
        <v>196</v>
      </c>
      <c r="B53" t="s">
        <v>4702</v>
      </c>
      <c r="C53" t="s">
        <v>4703</v>
      </c>
      <c r="D53" t="s">
        <v>43</v>
      </c>
      <c r="E53">
        <f>HYPERLINK("https://www.britishcycling.org.uk/points?person_id=102896&amp;year=2019&amp;type=national&amp;d=6","Results")</f>
        <v/>
      </c>
    </row>
    <row r="54" spans="1:5">
      <c r="A54" t="s">
        <v>199</v>
      </c>
      <c r="B54" t="s">
        <v>4829</v>
      </c>
      <c r="C54" t="s">
        <v>1370</v>
      </c>
      <c r="D54" t="s">
        <v>43</v>
      </c>
      <c r="E54">
        <f>HYPERLINK("https://www.britishcycling.org.uk/points?person_id=307638&amp;year=2019&amp;type=national&amp;d=6","Results")</f>
        <v/>
      </c>
    </row>
    <row r="55" spans="1:5">
      <c r="A55" t="s">
        <v>203</v>
      </c>
      <c r="B55" t="s">
        <v>4830</v>
      </c>
      <c r="C55" t="s"/>
      <c r="D55" t="s">
        <v>39</v>
      </c>
      <c r="E55">
        <f>HYPERLINK("https://www.britishcycling.org.uk/points?person_id=944713&amp;year=2019&amp;type=national&amp;d=6","Results")</f>
        <v/>
      </c>
    </row>
    <row r="56" spans="1:5">
      <c r="A56" t="s">
        <v>207</v>
      </c>
      <c r="B56" t="s">
        <v>4831</v>
      </c>
      <c r="C56" t="s">
        <v>1292</v>
      </c>
      <c r="D56" t="s">
        <v>35</v>
      </c>
      <c r="E56">
        <f>HYPERLINK("https://www.britishcycling.org.uk/points?person_id=412743&amp;year=2019&amp;type=national&amp;d=6","Results")</f>
        <v/>
      </c>
    </row>
    <row r="57" spans="1:5">
      <c r="A57" t="s">
        <v>210</v>
      </c>
      <c r="B57" t="s">
        <v>4727</v>
      </c>
      <c r="C57" t="s">
        <v>1461</v>
      </c>
      <c r="D57" t="s">
        <v>31</v>
      </c>
      <c r="E57">
        <f>HYPERLINK("https://www.britishcycling.org.uk/points?person_id=568700&amp;year=2019&amp;type=national&amp;d=6","Results")</f>
        <v/>
      </c>
    </row>
    <row r="58" spans="1:5">
      <c r="A58" t="s">
        <v>214</v>
      </c>
      <c r="B58" t="s">
        <v>4832</v>
      </c>
      <c r="C58" t="s">
        <v>592</v>
      </c>
      <c r="D58" t="s">
        <v>31</v>
      </c>
      <c r="E58">
        <f>HYPERLINK("https://www.britishcycling.org.uk/points?person_id=322677&amp;year=2019&amp;type=national&amp;d=6","Results")</f>
        <v/>
      </c>
    </row>
    <row r="59" spans="1:5">
      <c r="A59" t="s">
        <v>218</v>
      </c>
      <c r="B59" t="s">
        <v>4761</v>
      </c>
      <c r="C59" t="s">
        <v>4762</v>
      </c>
      <c r="D59" t="s">
        <v>21</v>
      </c>
      <c r="E59">
        <f>HYPERLINK("https://www.britishcycling.org.uk/points?person_id=63739&amp;year=2019&amp;type=national&amp;d=6","Results")</f>
        <v/>
      </c>
    </row>
    <row r="60" spans="1:5">
      <c r="A60" t="s">
        <v>221</v>
      </c>
      <c r="B60" t="s">
        <v>4757</v>
      </c>
      <c r="C60" t="s">
        <v>3193</v>
      </c>
      <c r="D60" t="s">
        <v>21</v>
      </c>
      <c r="E60">
        <f>HYPERLINK("https://www.britishcycling.org.uk/points?person_id=390752&amp;year=2019&amp;type=national&amp;d=6","Results")</f>
        <v/>
      </c>
    </row>
    <row r="61" spans="1:5">
      <c r="A61" t="s">
        <v>225</v>
      </c>
      <c r="B61" t="s">
        <v>4774</v>
      </c>
      <c r="C61" t="s">
        <v>4775</v>
      </c>
      <c r="D61" t="s">
        <v>17</v>
      </c>
      <c r="E61">
        <f>HYPERLINK("https://www.britishcycling.org.uk/points?person_id=69655&amp;year=2019&amp;type=national&amp;d=6","Results")</f>
        <v/>
      </c>
    </row>
    <row r="62" spans="1:5">
      <c r="A62" t="s">
        <v>228</v>
      </c>
      <c r="B62" t="s">
        <v>4763</v>
      </c>
      <c r="C62" t="s">
        <v>4764</v>
      </c>
      <c r="D62" t="s">
        <v>17</v>
      </c>
      <c r="E62">
        <f>HYPERLINK("https://www.britishcycling.org.uk/points?person_id=416871&amp;year=2019&amp;type=national&amp;d=6","Results")</f>
        <v/>
      </c>
    </row>
    <row r="63" spans="1:5">
      <c r="A63" t="s">
        <v>232</v>
      </c>
      <c r="B63" t="s">
        <v>4833</v>
      </c>
      <c r="C63" t="s"/>
      <c r="D63" t="s">
        <v>17</v>
      </c>
      <c r="E63">
        <f>HYPERLINK("https://www.britishcycling.org.uk/points?person_id=674226&amp;year=2019&amp;type=national&amp;d=6","Results")</f>
        <v/>
      </c>
    </row>
    <row r="64" spans="1:5">
      <c r="A64" t="s">
        <v>236</v>
      </c>
      <c r="B64" t="s">
        <v>4834</v>
      </c>
      <c r="C64" t="s">
        <v>4622</v>
      </c>
      <c r="D64" t="s">
        <v>17</v>
      </c>
      <c r="E64">
        <f>HYPERLINK("https://www.britishcycling.org.uk/points?person_id=304067&amp;year=2019&amp;type=national&amp;d=6","Results")</f>
        <v/>
      </c>
    </row>
    <row r="65" spans="1:5">
      <c r="A65" t="s">
        <v>239</v>
      </c>
      <c r="B65" t="s">
        <v>4835</v>
      </c>
      <c r="C65" t="s">
        <v>615</v>
      </c>
      <c r="D65" t="s">
        <v>17</v>
      </c>
      <c r="E65">
        <f>HYPERLINK("https://www.britishcycling.org.uk/points?person_id=9530&amp;year=2019&amp;type=national&amp;d=6","Results")</f>
        <v/>
      </c>
    </row>
    <row r="66" spans="1:5">
      <c r="A66" t="s">
        <v>241</v>
      </c>
      <c r="B66" t="s">
        <v>4771</v>
      </c>
      <c r="C66" t="s">
        <v>331</v>
      </c>
      <c r="D66" t="s">
        <v>17</v>
      </c>
      <c r="E66">
        <f>HYPERLINK("https://www.britishcycling.org.uk/points?person_id=291868&amp;year=2019&amp;type=national&amp;d=6","Results")</f>
        <v/>
      </c>
    </row>
    <row r="67" spans="1:5">
      <c r="A67" t="s">
        <v>244</v>
      </c>
      <c r="B67" t="s">
        <v>4836</v>
      </c>
      <c r="C67" t="s">
        <v>879</v>
      </c>
      <c r="D67" t="s">
        <v>13</v>
      </c>
      <c r="E67">
        <f>HYPERLINK("https://www.britishcycling.org.uk/points?person_id=227291&amp;year=2019&amp;type=national&amp;d=6","Results")</f>
        <v/>
      </c>
    </row>
    <row r="68" spans="1:5">
      <c r="A68" t="s">
        <v>247</v>
      </c>
      <c r="B68" t="s">
        <v>4837</v>
      </c>
      <c r="C68" t="s">
        <v>262</v>
      </c>
      <c r="D68" t="s">
        <v>13</v>
      </c>
      <c r="E68">
        <f>HYPERLINK("https://www.britishcycling.org.uk/points?person_id=405550&amp;year=2019&amp;type=national&amp;d=6","Results")</f>
        <v/>
      </c>
    </row>
    <row r="69" spans="1:5">
      <c r="A69" t="s">
        <v>250</v>
      </c>
      <c r="B69" t="s">
        <v>4784</v>
      </c>
      <c r="C69" t="s">
        <v>212</v>
      </c>
      <c r="D69" t="s">
        <v>9</v>
      </c>
      <c r="E69">
        <f>HYPERLINK("https://www.britishcycling.org.uk/points?person_id=515702&amp;year=2019&amp;type=national&amp;d=6","Results")</f>
        <v/>
      </c>
    </row>
    <row r="70" spans="1:5">
      <c r="A70" t="s">
        <v>254</v>
      </c>
      <c r="B70" t="s">
        <v>4838</v>
      </c>
      <c r="C70" t="s">
        <v>1370</v>
      </c>
      <c r="D70" t="s">
        <v>9</v>
      </c>
      <c r="E70">
        <f>HYPERLINK("https://www.britishcycling.org.uk/points?person_id=304742&amp;year=2019&amp;type=national&amp;d=6","Results")</f>
        <v/>
      </c>
    </row>
    <row r="71" spans="1:5">
      <c r="A71" t="s">
        <v>257</v>
      </c>
      <c r="B71" t="s">
        <v>4839</v>
      </c>
      <c r="C71" t="s">
        <v>2054</v>
      </c>
      <c r="D71" t="s">
        <v>9</v>
      </c>
      <c r="E71">
        <f>HYPERLINK("https://www.britishcycling.org.uk/points?person_id=2945&amp;year=2019&amp;type=national&amp;d=6","Results")</f>
        <v/>
      </c>
    </row>
    <row r="72" spans="1:5">
      <c r="A72" t="s">
        <v>260</v>
      </c>
      <c r="B72" t="s">
        <v>4840</v>
      </c>
      <c r="C72" t="s">
        <v>2255</v>
      </c>
      <c r="D72" t="s">
        <v>5</v>
      </c>
      <c r="E72">
        <f>HYPERLINK("https://www.britishcycling.org.uk/points?person_id=265808&amp;year=2019&amp;type=national&amp;d=6","Results")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4430</v>
      </c>
      <c r="C2" t="s">
        <v>2041</v>
      </c>
      <c r="D2" t="s">
        <v>296</v>
      </c>
      <c r="E2">
        <f>HYPERLINK("https://www.britishcycling.org.uk/points?person_id=23143&amp;year=2019&amp;type=national&amp;d=6","Results")</f>
        <v/>
      </c>
    </row>
    <row r="3" spans="1:5">
      <c r="A3" t="s">
        <v>9</v>
      </c>
      <c r="B3" t="s">
        <v>4538</v>
      </c>
      <c r="C3" t="s">
        <v>1397</v>
      </c>
      <c r="D3" t="s">
        <v>221</v>
      </c>
      <c r="E3">
        <f>HYPERLINK("https://www.britishcycling.org.uk/points?person_id=333365&amp;year=2019&amp;type=national&amp;d=6","Results")</f>
        <v/>
      </c>
    </row>
    <row r="4" spans="1:5">
      <c r="A4" t="s">
        <v>13</v>
      </c>
      <c r="B4" t="s">
        <v>4841</v>
      </c>
      <c r="C4" t="s">
        <v>2608</v>
      </c>
      <c r="D4" t="s">
        <v>155</v>
      </c>
      <c r="E4">
        <f>HYPERLINK("https://www.britishcycling.org.uk/points?person_id=223054&amp;year=2019&amp;type=national&amp;d=6","Results")</f>
        <v/>
      </c>
    </row>
    <row r="5" spans="1:5">
      <c r="A5" t="s">
        <v>17</v>
      </c>
      <c r="B5" t="s">
        <v>4542</v>
      </c>
      <c r="C5" t="s">
        <v>4543</v>
      </c>
      <c r="D5" t="s">
        <v>141</v>
      </c>
      <c r="E5">
        <f>HYPERLINK("https://www.britishcycling.org.uk/points?person_id=527931&amp;year=2019&amp;type=national&amp;d=6","Results")</f>
        <v/>
      </c>
    </row>
    <row r="6" spans="1:5">
      <c r="A6" t="s">
        <v>21</v>
      </c>
      <c r="B6" t="s">
        <v>4842</v>
      </c>
      <c r="C6" t="s">
        <v>4843</v>
      </c>
      <c r="D6" t="s">
        <v>103</v>
      </c>
      <c r="E6">
        <f>HYPERLINK("https://www.britishcycling.org.uk/points?person_id=101889&amp;year=2019&amp;type=national&amp;d=6","Results")</f>
        <v/>
      </c>
    </row>
    <row r="7" spans="1:5">
      <c r="A7" t="s">
        <v>25</v>
      </c>
      <c r="B7" t="s">
        <v>4640</v>
      </c>
      <c r="C7" t="s">
        <v>1863</v>
      </c>
      <c r="D7" t="s">
        <v>92</v>
      </c>
      <c r="E7">
        <f>HYPERLINK("https://www.britishcycling.org.uk/points?person_id=79422&amp;year=2019&amp;type=national&amp;d=6","Results")</f>
        <v/>
      </c>
    </row>
    <row r="8" spans="1:5">
      <c r="A8" t="s">
        <v>28</v>
      </c>
      <c r="B8" t="s">
        <v>4844</v>
      </c>
      <c r="C8" t="s">
        <v>671</v>
      </c>
      <c r="D8" t="s">
        <v>63</v>
      </c>
      <c r="E8">
        <f>HYPERLINK("https://www.britishcycling.org.uk/points?person_id=77129&amp;year=2019&amp;type=national&amp;d=6","Results")</f>
        <v/>
      </c>
    </row>
    <row r="9" spans="1:5">
      <c r="A9" t="s">
        <v>31</v>
      </c>
      <c r="B9" t="s">
        <v>4725</v>
      </c>
      <c r="C9" t="s">
        <v>2947</v>
      </c>
      <c r="D9" t="s">
        <v>59</v>
      </c>
      <c r="E9">
        <f>HYPERLINK("https://www.britishcycling.org.uk/points?person_id=43271&amp;year=2019&amp;type=national&amp;d=6","Results")</f>
        <v/>
      </c>
    </row>
    <row r="10" spans="1:5">
      <c r="A10" t="s">
        <v>35</v>
      </c>
      <c r="B10" t="s">
        <v>4845</v>
      </c>
      <c r="C10" t="s">
        <v>361</v>
      </c>
      <c r="D10" t="s">
        <v>39</v>
      </c>
      <c r="E10">
        <f>HYPERLINK("https://www.britishcycling.org.uk/points?person_id=169221&amp;year=2019&amp;type=national&amp;d=6","Results")</f>
        <v/>
      </c>
    </row>
    <row r="11" spans="1:5">
      <c r="A11" t="s">
        <v>39</v>
      </c>
      <c r="B11" t="s">
        <v>4710</v>
      </c>
      <c r="C11" t="s">
        <v>216</v>
      </c>
      <c r="D11" t="s">
        <v>13</v>
      </c>
      <c r="E11">
        <f>HYPERLINK("https://www.britishcycling.org.uk/points?person_id=25383&amp;year=2019&amp;type=national&amp;d=6","Results")</f>
        <v/>
      </c>
    </row>
    <row r="12" spans="1:5">
      <c r="A12" t="s">
        <v>43</v>
      </c>
      <c r="B12" t="s">
        <v>4846</v>
      </c>
      <c r="C12" t="s">
        <v>4326</v>
      </c>
      <c r="D12" t="s">
        <v>5</v>
      </c>
      <c r="E12">
        <f>HYPERLINK("https://www.britishcycling.org.uk/points?person_id=186503&amp;year=2019&amp;type=national&amp;d=6","Results")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41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908</v>
      </c>
      <c r="C2" t="s">
        <v>691</v>
      </c>
      <c r="D2" t="s">
        <v>909</v>
      </c>
      <c r="E2">
        <f>HYPERLINK("https://www.britishcycling.org.uk/points?person_id=494777&amp;year=2019&amp;type=national&amp;d=6","Results")</f>
        <v/>
      </c>
    </row>
    <row r="3" spans="1:5">
      <c r="A3" t="s">
        <v>9</v>
      </c>
      <c r="B3" t="s">
        <v>538</v>
      </c>
      <c r="C3" t="s">
        <v>259</v>
      </c>
      <c r="D3" t="s">
        <v>910</v>
      </c>
      <c r="E3">
        <f>HYPERLINK("https://www.britishcycling.org.uk/points?person_id=262296&amp;year=2019&amp;type=national&amp;d=6","Results")</f>
        <v/>
      </c>
    </row>
    <row r="4" spans="1:5">
      <c r="A4" t="s">
        <v>13</v>
      </c>
      <c r="B4" t="s">
        <v>911</v>
      </c>
      <c r="C4" t="s">
        <v>401</v>
      </c>
      <c r="D4" t="s">
        <v>912</v>
      </c>
      <c r="E4">
        <f>HYPERLINK("https://www.britishcycling.org.uk/points?person_id=468266&amp;year=2019&amp;type=national&amp;d=6","Results")</f>
        <v/>
      </c>
    </row>
    <row r="5" spans="1:5">
      <c r="A5" t="s">
        <v>17</v>
      </c>
      <c r="B5" t="s">
        <v>913</v>
      </c>
      <c r="C5" t="s">
        <v>914</v>
      </c>
      <c r="D5" t="s">
        <v>915</v>
      </c>
      <c r="E5">
        <f>HYPERLINK("https://www.britishcycling.org.uk/points?person_id=216333&amp;year=2019&amp;type=national&amp;d=6","Results")</f>
        <v/>
      </c>
    </row>
    <row r="6" spans="1:5">
      <c r="A6" t="s">
        <v>21</v>
      </c>
      <c r="B6" t="s">
        <v>916</v>
      </c>
      <c r="C6" t="s">
        <v>691</v>
      </c>
      <c r="D6" t="s">
        <v>917</v>
      </c>
      <c r="E6">
        <f>HYPERLINK("https://www.britishcycling.org.uk/points?person_id=278810&amp;year=2019&amp;type=national&amp;d=6","Results")</f>
        <v/>
      </c>
    </row>
    <row r="7" spans="1:5">
      <c r="A7" t="s">
        <v>25</v>
      </c>
      <c r="B7" t="s">
        <v>918</v>
      </c>
      <c r="C7" t="s">
        <v>919</v>
      </c>
      <c r="D7" t="s">
        <v>920</v>
      </c>
      <c r="E7">
        <f>HYPERLINK("https://www.britishcycling.org.uk/points?person_id=177429&amp;year=2019&amp;type=national&amp;d=6","Results")</f>
        <v/>
      </c>
    </row>
    <row r="8" spans="1:5">
      <c r="A8" t="s">
        <v>28</v>
      </c>
      <c r="B8" t="s">
        <v>921</v>
      </c>
      <c r="C8" t="s">
        <v>194</v>
      </c>
      <c r="D8" t="s">
        <v>922</v>
      </c>
      <c r="E8">
        <f>HYPERLINK("https://www.britishcycling.org.uk/points?person_id=135529&amp;year=2019&amp;type=national&amp;d=6","Results")</f>
        <v/>
      </c>
    </row>
    <row r="9" spans="1:5">
      <c r="A9" t="s">
        <v>31</v>
      </c>
      <c r="B9" t="s">
        <v>923</v>
      </c>
      <c r="C9" t="s">
        <v>420</v>
      </c>
      <c r="D9" t="s">
        <v>924</v>
      </c>
      <c r="E9">
        <f>HYPERLINK("https://www.britishcycling.org.uk/points?person_id=177099&amp;year=2019&amp;type=national&amp;d=6","Results")</f>
        <v/>
      </c>
    </row>
    <row r="10" spans="1:5">
      <c r="A10" t="s">
        <v>35</v>
      </c>
      <c r="B10" t="s">
        <v>925</v>
      </c>
      <c r="C10" t="s">
        <v>926</v>
      </c>
      <c r="D10" t="s">
        <v>927</v>
      </c>
      <c r="E10">
        <f>HYPERLINK("https://www.britishcycling.org.uk/points?person_id=47284&amp;year=2019&amp;type=national&amp;d=6","Results")</f>
        <v/>
      </c>
    </row>
    <row r="11" spans="1:5">
      <c r="A11" t="s">
        <v>39</v>
      </c>
      <c r="B11" t="s">
        <v>928</v>
      </c>
      <c r="C11" t="s">
        <v>929</v>
      </c>
      <c r="D11" t="s">
        <v>930</v>
      </c>
      <c r="E11">
        <f>HYPERLINK("https://www.britishcycling.org.uk/points?person_id=198100&amp;year=2019&amp;type=national&amp;d=6","Results")</f>
        <v/>
      </c>
    </row>
    <row r="12" spans="1:5">
      <c r="A12" t="s">
        <v>43</v>
      </c>
      <c r="B12" t="s">
        <v>931</v>
      </c>
      <c r="C12" t="s">
        <v>636</v>
      </c>
      <c r="D12" t="s">
        <v>932</v>
      </c>
      <c r="E12">
        <f>HYPERLINK("https://www.britishcycling.org.uk/points?person_id=751995&amp;year=2019&amp;type=national&amp;d=6","Results")</f>
        <v/>
      </c>
    </row>
    <row r="13" spans="1:5">
      <c r="A13" t="s">
        <v>47</v>
      </c>
      <c r="B13" t="s">
        <v>933</v>
      </c>
      <c r="C13" t="s">
        <v>101</v>
      </c>
      <c r="D13" t="s">
        <v>934</v>
      </c>
      <c r="E13">
        <f>HYPERLINK("https://www.britishcycling.org.uk/points?person_id=404502&amp;year=2019&amp;type=national&amp;d=6","Results")</f>
        <v/>
      </c>
    </row>
    <row r="14" spans="1:5">
      <c r="A14" t="s">
        <v>51</v>
      </c>
      <c r="B14" t="s">
        <v>935</v>
      </c>
      <c r="C14" t="s">
        <v>427</v>
      </c>
      <c r="D14" t="s">
        <v>936</v>
      </c>
      <c r="E14">
        <f>HYPERLINK("https://www.britishcycling.org.uk/points?person_id=205306&amp;year=2019&amp;type=national&amp;d=6","Results")</f>
        <v/>
      </c>
    </row>
    <row r="15" spans="1:5">
      <c r="A15" t="s">
        <v>55</v>
      </c>
      <c r="B15" t="s">
        <v>937</v>
      </c>
      <c r="C15" t="s">
        <v>45</v>
      </c>
      <c r="D15" t="s">
        <v>938</v>
      </c>
      <c r="E15">
        <f>HYPERLINK("https://www.britishcycling.org.uk/points?person_id=283002&amp;year=2019&amp;type=national&amp;d=6","Results")</f>
        <v/>
      </c>
    </row>
    <row r="16" spans="1:5">
      <c r="A16" t="s">
        <v>59</v>
      </c>
      <c r="B16" t="s">
        <v>939</v>
      </c>
      <c r="C16" t="s">
        <v>940</v>
      </c>
      <c r="D16" t="s">
        <v>941</v>
      </c>
      <c r="E16">
        <f>HYPERLINK("https://www.britishcycling.org.uk/points?person_id=169273&amp;year=2019&amp;type=national&amp;d=6","Results")</f>
        <v/>
      </c>
    </row>
    <row r="17" spans="1:5">
      <c r="A17" t="s">
        <v>63</v>
      </c>
      <c r="B17" t="s">
        <v>942</v>
      </c>
      <c r="C17" t="s">
        <v>837</v>
      </c>
      <c r="D17" t="s">
        <v>888</v>
      </c>
      <c r="E17">
        <f>HYPERLINK("https://www.britishcycling.org.uk/points?person_id=830239&amp;year=2019&amp;type=national&amp;d=6","Results")</f>
        <v/>
      </c>
    </row>
    <row r="18" spans="1:5">
      <c r="A18" t="s">
        <v>67</v>
      </c>
      <c r="B18" t="s">
        <v>943</v>
      </c>
      <c r="C18" t="s">
        <v>143</v>
      </c>
      <c r="D18" t="s">
        <v>848</v>
      </c>
      <c r="E18">
        <f>HYPERLINK("https://www.britishcycling.org.uk/points?person_id=652763&amp;year=2019&amp;type=national&amp;d=6","Results")</f>
        <v/>
      </c>
    </row>
    <row r="19" spans="1:5">
      <c r="A19" t="s">
        <v>71</v>
      </c>
      <c r="B19" t="s">
        <v>944</v>
      </c>
      <c r="C19" t="s">
        <v>945</v>
      </c>
      <c r="D19" t="s">
        <v>828</v>
      </c>
      <c r="E19">
        <f>HYPERLINK("https://www.britishcycling.org.uk/points?person_id=236476&amp;year=2019&amp;type=national&amp;d=6","Results")</f>
        <v/>
      </c>
    </row>
    <row r="20" spans="1:5">
      <c r="A20" t="s">
        <v>75</v>
      </c>
      <c r="B20" t="s">
        <v>946</v>
      </c>
      <c r="C20" t="s">
        <v>947</v>
      </c>
      <c r="D20" t="s">
        <v>812</v>
      </c>
      <c r="E20">
        <f>HYPERLINK("https://www.britishcycling.org.uk/points?person_id=269542&amp;year=2019&amp;type=national&amp;d=6","Results")</f>
        <v/>
      </c>
    </row>
    <row r="21" spans="1:5">
      <c r="A21" t="s">
        <v>78</v>
      </c>
      <c r="B21" t="s">
        <v>948</v>
      </c>
      <c r="C21" t="s">
        <v>949</v>
      </c>
      <c r="D21" t="s">
        <v>794</v>
      </c>
      <c r="E21">
        <f>HYPERLINK("https://www.britishcycling.org.uk/points?person_id=176985&amp;year=2019&amp;type=national&amp;d=6","Results")</f>
        <v/>
      </c>
    </row>
    <row r="22" spans="1:5">
      <c r="A22" t="s">
        <v>82</v>
      </c>
      <c r="B22" t="s">
        <v>950</v>
      </c>
      <c r="C22" t="s">
        <v>919</v>
      </c>
      <c r="D22" t="s">
        <v>741</v>
      </c>
      <c r="E22">
        <f>HYPERLINK("https://www.britishcycling.org.uk/points?person_id=125716&amp;year=2019&amp;type=national&amp;d=6","Results")</f>
        <v/>
      </c>
    </row>
    <row r="23" spans="1:5">
      <c r="A23" t="s">
        <v>85</v>
      </c>
      <c r="B23" t="s">
        <v>951</v>
      </c>
      <c r="C23" t="s">
        <v>53</v>
      </c>
      <c r="D23" t="s">
        <v>732</v>
      </c>
      <c r="E23">
        <f>HYPERLINK("https://www.britishcycling.org.uk/points?person_id=220100&amp;year=2019&amp;type=national&amp;d=6","Results")</f>
        <v/>
      </c>
    </row>
    <row r="24" spans="1:5">
      <c r="A24" t="s">
        <v>89</v>
      </c>
      <c r="B24" t="s">
        <v>952</v>
      </c>
      <c r="C24" t="s">
        <v>953</v>
      </c>
      <c r="D24" t="s">
        <v>732</v>
      </c>
      <c r="E24">
        <f>HYPERLINK("https://www.britishcycling.org.uk/points?person_id=102829&amp;year=2019&amp;type=national&amp;d=6","Results")</f>
        <v/>
      </c>
    </row>
    <row r="25" spans="1:5">
      <c r="A25" t="s">
        <v>92</v>
      </c>
      <c r="B25" t="s">
        <v>954</v>
      </c>
      <c r="C25" t="s">
        <v>955</v>
      </c>
      <c r="D25" t="s">
        <v>729</v>
      </c>
      <c r="E25">
        <f>HYPERLINK("https://www.britishcycling.org.uk/points?person_id=457131&amp;year=2019&amp;type=national&amp;d=6","Results")</f>
        <v/>
      </c>
    </row>
    <row r="26" spans="1:5">
      <c r="A26" t="s">
        <v>96</v>
      </c>
      <c r="B26" t="s">
        <v>956</v>
      </c>
      <c r="C26" t="s">
        <v>940</v>
      </c>
      <c r="D26" t="s">
        <v>724</v>
      </c>
      <c r="E26">
        <f>HYPERLINK("https://www.britishcycling.org.uk/points?person_id=298270&amp;year=2019&amp;type=national&amp;d=6","Results")</f>
        <v/>
      </c>
    </row>
    <row r="27" spans="1:5">
      <c r="A27" t="s">
        <v>99</v>
      </c>
      <c r="B27" t="s">
        <v>957</v>
      </c>
      <c r="C27" t="s">
        <v>511</v>
      </c>
      <c r="D27" t="s">
        <v>705</v>
      </c>
      <c r="E27">
        <f>HYPERLINK("https://www.britishcycling.org.uk/points?person_id=440323&amp;year=2019&amp;type=national&amp;d=6","Results")</f>
        <v/>
      </c>
    </row>
    <row r="28" spans="1:5">
      <c r="A28" t="s">
        <v>103</v>
      </c>
      <c r="B28" t="s">
        <v>958</v>
      </c>
      <c r="C28" t="s">
        <v>959</v>
      </c>
      <c r="D28" t="s">
        <v>705</v>
      </c>
      <c r="E28">
        <f>HYPERLINK("https://www.britishcycling.org.uk/points?person_id=376344&amp;year=2019&amp;type=national&amp;d=6","Results")</f>
        <v/>
      </c>
    </row>
    <row r="29" spans="1:5">
      <c r="A29" t="s">
        <v>107</v>
      </c>
      <c r="B29" t="s">
        <v>960</v>
      </c>
      <c r="C29" t="s">
        <v>961</v>
      </c>
      <c r="D29" t="s">
        <v>132</v>
      </c>
      <c r="E29">
        <f>HYPERLINK("https://www.britishcycling.org.uk/points?person_id=181151&amp;year=2019&amp;type=national&amp;d=6","Results")</f>
        <v/>
      </c>
    </row>
    <row r="30" spans="1:5">
      <c r="A30" t="s">
        <v>111</v>
      </c>
      <c r="B30" t="s">
        <v>962</v>
      </c>
      <c r="C30" t="s">
        <v>101</v>
      </c>
      <c r="D30" t="s">
        <v>689</v>
      </c>
      <c r="E30">
        <f>HYPERLINK("https://www.britishcycling.org.uk/points?person_id=401000&amp;year=2019&amp;type=national&amp;d=6","Results")</f>
        <v/>
      </c>
    </row>
    <row r="31" spans="1:5">
      <c r="A31" t="s">
        <v>115</v>
      </c>
      <c r="B31" t="s">
        <v>963</v>
      </c>
      <c r="C31" t="s">
        <v>230</v>
      </c>
      <c r="D31" t="s">
        <v>687</v>
      </c>
      <c r="E31">
        <f>HYPERLINK("https://www.britishcycling.org.uk/points?person_id=514669&amp;year=2019&amp;type=national&amp;d=6","Results")</f>
        <v/>
      </c>
    </row>
    <row r="32" spans="1:5">
      <c r="A32" t="s">
        <v>119</v>
      </c>
      <c r="B32" t="s">
        <v>964</v>
      </c>
      <c r="C32" t="s">
        <v>182</v>
      </c>
      <c r="D32" t="s">
        <v>144</v>
      </c>
      <c r="E32">
        <f>HYPERLINK("https://www.britishcycling.org.uk/points?person_id=106094&amp;year=2019&amp;type=national&amp;d=6","Results")</f>
        <v/>
      </c>
    </row>
    <row r="33" spans="1:5">
      <c r="A33" t="s">
        <v>123</v>
      </c>
      <c r="B33" t="s">
        <v>965</v>
      </c>
      <c r="C33" t="s">
        <v>472</v>
      </c>
      <c r="D33" t="s">
        <v>144</v>
      </c>
      <c r="E33">
        <f>HYPERLINK("https://www.britishcycling.org.uk/points?person_id=181416&amp;year=2019&amp;type=national&amp;d=6","Results")</f>
        <v/>
      </c>
    </row>
    <row r="34" spans="1:5">
      <c r="A34" t="s">
        <v>127</v>
      </c>
      <c r="B34" t="s">
        <v>966</v>
      </c>
      <c r="C34" t="s">
        <v>420</v>
      </c>
      <c r="D34" t="s">
        <v>659</v>
      </c>
      <c r="E34">
        <f>HYPERLINK("https://www.britishcycling.org.uk/points?person_id=125495&amp;year=2019&amp;type=national&amp;d=6","Results")</f>
        <v/>
      </c>
    </row>
    <row r="35" spans="1:5">
      <c r="A35" t="s">
        <v>130</v>
      </c>
      <c r="B35" t="s">
        <v>967</v>
      </c>
      <c r="C35" t="s">
        <v>157</v>
      </c>
      <c r="D35" t="s">
        <v>647</v>
      </c>
      <c r="E35">
        <f>HYPERLINK("https://www.britishcycling.org.uk/points?person_id=516188&amp;year=2019&amp;type=national&amp;d=6","Results")</f>
        <v/>
      </c>
    </row>
    <row r="36" spans="1:5">
      <c r="A36" t="s">
        <v>133</v>
      </c>
      <c r="B36" t="s">
        <v>968</v>
      </c>
      <c r="C36" t="s">
        <v>170</v>
      </c>
      <c r="D36" t="s">
        <v>644</v>
      </c>
      <c r="E36">
        <f>HYPERLINK("https://www.britishcycling.org.uk/points?person_id=224105&amp;year=2019&amp;type=national&amp;d=6","Results")</f>
        <v/>
      </c>
    </row>
    <row r="37" spans="1:5">
      <c r="A37" t="s">
        <v>137</v>
      </c>
      <c r="B37" t="s">
        <v>969</v>
      </c>
      <c r="C37" t="s">
        <v>167</v>
      </c>
      <c r="D37" t="s">
        <v>634</v>
      </c>
      <c r="E37">
        <f>HYPERLINK("https://www.britishcycling.org.uk/points?person_id=251163&amp;year=2019&amp;type=national&amp;d=6","Results")</f>
        <v/>
      </c>
    </row>
    <row r="38" spans="1:5">
      <c r="A38" t="s">
        <v>141</v>
      </c>
      <c r="B38" t="s">
        <v>970</v>
      </c>
      <c r="C38" t="s">
        <v>163</v>
      </c>
      <c r="D38" t="s">
        <v>179</v>
      </c>
      <c r="E38">
        <f>HYPERLINK("https://www.britishcycling.org.uk/points?person_id=207421&amp;year=2019&amp;type=national&amp;d=6","Results")</f>
        <v/>
      </c>
    </row>
    <row r="39" spans="1:5">
      <c r="A39" t="s">
        <v>145</v>
      </c>
      <c r="B39" t="s">
        <v>971</v>
      </c>
      <c r="C39" t="s">
        <v>961</v>
      </c>
      <c r="D39" t="s">
        <v>611</v>
      </c>
      <c r="E39">
        <f>HYPERLINK("https://www.britishcycling.org.uk/points?person_id=299675&amp;year=2019&amp;type=national&amp;d=6","Results")</f>
        <v/>
      </c>
    </row>
    <row r="40" spans="1:5">
      <c r="A40" t="s">
        <v>148</v>
      </c>
      <c r="B40" t="s">
        <v>972</v>
      </c>
      <c r="C40" t="s">
        <v>973</v>
      </c>
      <c r="D40" t="s">
        <v>187</v>
      </c>
      <c r="E40">
        <f>HYPERLINK("https://www.britishcycling.org.uk/points?person_id=525934&amp;year=2019&amp;type=national&amp;d=6","Results")</f>
        <v/>
      </c>
    </row>
    <row r="41" spans="1:5">
      <c r="A41" t="s">
        <v>151</v>
      </c>
      <c r="B41" t="s">
        <v>974</v>
      </c>
      <c r="C41" t="s">
        <v>315</v>
      </c>
      <c r="D41" t="s">
        <v>593</v>
      </c>
      <c r="E41">
        <f>HYPERLINK("https://www.britishcycling.org.uk/points?person_id=255200&amp;year=2019&amp;type=national&amp;d=6","Results")</f>
        <v/>
      </c>
    </row>
    <row r="42" spans="1:5">
      <c r="A42" t="s">
        <v>155</v>
      </c>
      <c r="B42" t="s">
        <v>975</v>
      </c>
      <c r="C42" t="s">
        <v>615</v>
      </c>
      <c r="D42" t="s">
        <v>191</v>
      </c>
      <c r="E42">
        <f>HYPERLINK("https://www.britishcycling.org.uk/points?person_id=251328&amp;year=2019&amp;type=national&amp;d=6","Results")</f>
        <v/>
      </c>
    </row>
    <row r="43" spans="1:5">
      <c r="A43" t="s">
        <v>158</v>
      </c>
      <c r="B43" t="s">
        <v>976</v>
      </c>
      <c r="C43" t="s">
        <v>198</v>
      </c>
      <c r="D43" t="s">
        <v>565</v>
      </c>
      <c r="E43">
        <f>HYPERLINK("https://www.britishcycling.org.uk/points?person_id=295034&amp;year=2019&amp;type=national&amp;d=6","Results")</f>
        <v/>
      </c>
    </row>
    <row r="44" spans="1:5">
      <c r="A44" t="s">
        <v>161</v>
      </c>
      <c r="B44" t="s">
        <v>977</v>
      </c>
      <c r="C44" t="s">
        <v>283</v>
      </c>
      <c r="D44" t="s">
        <v>560</v>
      </c>
      <c r="E44">
        <f>HYPERLINK("https://www.britishcycling.org.uk/points?person_id=538163&amp;year=2019&amp;type=national&amp;d=6","Results")</f>
        <v/>
      </c>
    </row>
    <row r="45" spans="1:5">
      <c r="A45" t="s">
        <v>165</v>
      </c>
      <c r="B45" t="s">
        <v>978</v>
      </c>
      <c r="C45" t="s">
        <v>479</v>
      </c>
      <c r="D45" t="s">
        <v>546</v>
      </c>
      <c r="E45">
        <f>HYPERLINK("https://www.britishcycling.org.uk/points?person_id=199063&amp;year=2019&amp;type=national&amp;d=6","Results")</f>
        <v/>
      </c>
    </row>
    <row r="46" spans="1:5">
      <c r="A46" t="s">
        <v>168</v>
      </c>
      <c r="B46" t="s">
        <v>979</v>
      </c>
      <c r="C46" t="s">
        <v>121</v>
      </c>
      <c r="D46" t="s">
        <v>544</v>
      </c>
      <c r="E46">
        <f>HYPERLINK("https://www.britishcycling.org.uk/points?person_id=419773&amp;year=2019&amp;type=national&amp;d=6","Results")</f>
        <v/>
      </c>
    </row>
    <row r="47" spans="1:5">
      <c r="A47" t="s">
        <v>172</v>
      </c>
      <c r="B47" t="s">
        <v>980</v>
      </c>
      <c r="C47" t="s">
        <v>312</v>
      </c>
      <c r="D47" t="s">
        <v>544</v>
      </c>
      <c r="E47">
        <f>HYPERLINK("https://www.britishcycling.org.uk/points?person_id=252748&amp;year=2019&amp;type=national&amp;d=6","Results")</f>
        <v/>
      </c>
    </row>
    <row r="48" spans="1:5">
      <c r="A48" t="s">
        <v>176</v>
      </c>
      <c r="B48" t="s">
        <v>981</v>
      </c>
      <c r="C48" t="s">
        <v>45</v>
      </c>
      <c r="D48" t="s">
        <v>534</v>
      </c>
      <c r="E48">
        <f>HYPERLINK("https://www.britishcycling.org.uk/points?person_id=293404&amp;year=2019&amp;type=national&amp;d=6","Results")</f>
        <v/>
      </c>
    </row>
    <row r="49" spans="1:5">
      <c r="A49" t="s">
        <v>180</v>
      </c>
      <c r="B49" t="s">
        <v>982</v>
      </c>
      <c r="C49" t="s">
        <v>45</v>
      </c>
      <c r="D49" t="s">
        <v>209</v>
      </c>
      <c r="E49">
        <f>HYPERLINK("https://www.britishcycling.org.uk/points?person_id=242567&amp;year=2019&amp;type=national&amp;d=6","Results")</f>
        <v/>
      </c>
    </row>
    <row r="50" spans="1:5">
      <c r="A50" t="s">
        <v>184</v>
      </c>
      <c r="B50" t="s">
        <v>983</v>
      </c>
      <c r="C50" t="s">
        <v>45</v>
      </c>
      <c r="D50" t="s">
        <v>521</v>
      </c>
      <c r="E50">
        <f>HYPERLINK("https://www.britishcycling.org.uk/points?person_id=268551&amp;year=2019&amp;type=national&amp;d=6","Results")</f>
        <v/>
      </c>
    </row>
    <row r="51" spans="1:5">
      <c r="A51" t="s">
        <v>188</v>
      </c>
      <c r="B51" t="s">
        <v>984</v>
      </c>
      <c r="C51" t="s">
        <v>109</v>
      </c>
      <c r="D51" t="s">
        <v>217</v>
      </c>
      <c r="E51">
        <f>HYPERLINK("https://www.britishcycling.org.uk/points?person_id=261358&amp;year=2019&amp;type=national&amp;d=6","Results")</f>
        <v/>
      </c>
    </row>
    <row r="52" spans="1:5">
      <c r="A52" t="s">
        <v>192</v>
      </c>
      <c r="B52" t="s">
        <v>985</v>
      </c>
      <c r="C52" t="s">
        <v>578</v>
      </c>
      <c r="D52" t="s">
        <v>509</v>
      </c>
      <c r="E52">
        <f>HYPERLINK("https://www.britishcycling.org.uk/points?person_id=321242&amp;year=2019&amp;type=national&amp;d=6","Results")</f>
        <v/>
      </c>
    </row>
    <row r="53" spans="1:5">
      <c r="A53" t="s">
        <v>196</v>
      </c>
      <c r="B53" t="s">
        <v>986</v>
      </c>
      <c r="C53" t="s">
        <v>163</v>
      </c>
      <c r="D53" t="s">
        <v>501</v>
      </c>
      <c r="E53">
        <f>HYPERLINK("https://www.britishcycling.org.uk/points?person_id=707723&amp;year=2019&amp;type=national&amp;d=6","Results")</f>
        <v/>
      </c>
    </row>
    <row r="54" spans="1:5">
      <c r="A54" t="s">
        <v>199</v>
      </c>
      <c r="B54" t="s">
        <v>987</v>
      </c>
      <c r="C54" t="s">
        <v>395</v>
      </c>
      <c r="D54" t="s">
        <v>499</v>
      </c>
      <c r="E54">
        <f>HYPERLINK("https://www.britishcycling.org.uk/points?person_id=182375&amp;year=2019&amp;type=national&amp;d=6","Results")</f>
        <v/>
      </c>
    </row>
    <row r="55" spans="1:5">
      <c r="A55" t="s">
        <v>203</v>
      </c>
      <c r="B55" t="s">
        <v>988</v>
      </c>
      <c r="C55" t="s">
        <v>216</v>
      </c>
      <c r="D55" t="s">
        <v>496</v>
      </c>
      <c r="E55">
        <f>HYPERLINK("https://www.britishcycling.org.uk/points?person_id=356139&amp;year=2019&amp;type=national&amp;d=6","Results")</f>
        <v/>
      </c>
    </row>
    <row r="56" spans="1:5">
      <c r="A56" t="s">
        <v>207</v>
      </c>
      <c r="B56" t="s">
        <v>989</v>
      </c>
      <c r="C56" t="s">
        <v>723</v>
      </c>
      <c r="D56" t="s">
        <v>493</v>
      </c>
      <c r="E56">
        <f>HYPERLINK("https://www.britishcycling.org.uk/points?person_id=292345&amp;year=2019&amp;type=national&amp;d=6","Results")</f>
        <v/>
      </c>
    </row>
    <row r="57" spans="1:5">
      <c r="A57" t="s">
        <v>210</v>
      </c>
      <c r="B57" t="s">
        <v>990</v>
      </c>
      <c r="C57" t="s">
        <v>299</v>
      </c>
      <c r="D57" t="s">
        <v>493</v>
      </c>
      <c r="E57">
        <f>HYPERLINK("https://www.britishcycling.org.uk/points?person_id=180600&amp;year=2019&amp;type=national&amp;d=6","Results")</f>
        <v/>
      </c>
    </row>
    <row r="58" spans="1:5">
      <c r="A58" t="s">
        <v>214</v>
      </c>
      <c r="B58" t="s">
        <v>991</v>
      </c>
      <c r="C58" t="s">
        <v>992</v>
      </c>
      <c r="D58" t="s">
        <v>490</v>
      </c>
      <c r="E58">
        <f>HYPERLINK("https://www.britishcycling.org.uk/points?person_id=299512&amp;year=2019&amp;type=national&amp;d=6","Results")</f>
        <v/>
      </c>
    </row>
    <row r="59" spans="1:5">
      <c r="A59" t="s">
        <v>218</v>
      </c>
      <c r="B59" t="s">
        <v>993</v>
      </c>
      <c r="C59" t="s">
        <v>312</v>
      </c>
      <c r="D59" t="s">
        <v>243</v>
      </c>
      <c r="E59">
        <f>HYPERLINK("https://www.britishcycling.org.uk/points?person_id=735485&amp;year=2019&amp;type=national&amp;d=6","Results")</f>
        <v/>
      </c>
    </row>
    <row r="60" spans="1:5">
      <c r="A60" t="s">
        <v>221</v>
      </c>
      <c r="B60" t="s">
        <v>994</v>
      </c>
      <c r="C60" t="s">
        <v>995</v>
      </c>
      <c r="D60" t="s">
        <v>484</v>
      </c>
      <c r="E60">
        <f>HYPERLINK("https://www.britishcycling.org.uk/points?person_id=262830&amp;year=2019&amp;type=national&amp;d=6","Results")</f>
        <v/>
      </c>
    </row>
    <row r="61" spans="1:5">
      <c r="A61" t="s">
        <v>225</v>
      </c>
      <c r="B61" t="s">
        <v>996</v>
      </c>
      <c r="C61" t="s">
        <v>472</v>
      </c>
      <c r="D61" t="s">
        <v>482</v>
      </c>
      <c r="E61">
        <f>HYPERLINK("https://www.britishcycling.org.uk/points?person_id=181414&amp;year=2019&amp;type=national&amp;d=6","Results")</f>
        <v/>
      </c>
    </row>
    <row r="62" spans="1:5">
      <c r="A62" t="s">
        <v>228</v>
      </c>
      <c r="B62" t="s">
        <v>997</v>
      </c>
      <c r="C62" t="s">
        <v>125</v>
      </c>
      <c r="D62" t="s">
        <v>480</v>
      </c>
      <c r="E62">
        <f>HYPERLINK("https://www.britishcycling.org.uk/points?person_id=471420&amp;year=2019&amp;type=national&amp;d=6","Results")</f>
        <v/>
      </c>
    </row>
    <row r="63" spans="1:5">
      <c r="A63" t="s">
        <v>232</v>
      </c>
      <c r="B63" t="s">
        <v>998</v>
      </c>
      <c r="C63" t="s">
        <v>167</v>
      </c>
      <c r="D63" t="s">
        <v>473</v>
      </c>
      <c r="E63">
        <f>HYPERLINK("https://www.britishcycling.org.uk/points?person_id=867164&amp;year=2019&amp;type=national&amp;d=6","Results")</f>
        <v/>
      </c>
    </row>
    <row r="64" spans="1:5">
      <c r="A64" t="s">
        <v>236</v>
      </c>
      <c r="B64" t="s">
        <v>999</v>
      </c>
      <c r="C64" t="s">
        <v>167</v>
      </c>
      <c r="D64" t="s">
        <v>473</v>
      </c>
      <c r="E64">
        <f>HYPERLINK("https://www.britishcycling.org.uk/points?person_id=289132&amp;year=2019&amp;type=national&amp;d=6","Results")</f>
        <v/>
      </c>
    </row>
    <row r="65" spans="1:5">
      <c r="A65" t="s">
        <v>239</v>
      </c>
      <c r="B65" t="s">
        <v>1000</v>
      </c>
      <c r="C65" t="s">
        <v>331</v>
      </c>
      <c r="D65" t="s">
        <v>463</v>
      </c>
      <c r="E65">
        <f>HYPERLINK("https://www.britishcycling.org.uk/points?person_id=677435&amp;year=2019&amp;type=national&amp;d=6","Results")</f>
        <v/>
      </c>
    </row>
    <row r="66" spans="1:5">
      <c r="A66" t="s">
        <v>241</v>
      </c>
      <c r="B66" t="s">
        <v>1001</v>
      </c>
      <c r="C66" t="s">
        <v>1002</v>
      </c>
      <c r="D66" t="s">
        <v>456</v>
      </c>
      <c r="E66">
        <f>HYPERLINK("https://www.britishcycling.org.uk/points?person_id=555011&amp;year=2019&amp;type=national&amp;d=6","Results")</f>
        <v/>
      </c>
    </row>
    <row r="67" spans="1:5">
      <c r="A67" t="s">
        <v>244</v>
      </c>
      <c r="B67" t="s">
        <v>1003</v>
      </c>
      <c r="C67" t="s">
        <v>961</v>
      </c>
      <c r="D67" t="s">
        <v>456</v>
      </c>
      <c r="E67">
        <f>HYPERLINK("https://www.britishcycling.org.uk/points?person_id=351505&amp;year=2019&amp;type=national&amp;d=6","Results")</f>
        <v/>
      </c>
    </row>
    <row r="68" spans="1:5">
      <c r="A68" t="s">
        <v>247</v>
      </c>
      <c r="B68" t="s">
        <v>1004</v>
      </c>
      <c r="C68" t="s">
        <v>283</v>
      </c>
      <c r="D68" t="s">
        <v>454</v>
      </c>
      <c r="E68">
        <f>HYPERLINK("https://www.britishcycling.org.uk/points?person_id=443104&amp;year=2019&amp;type=national&amp;d=6","Results")</f>
        <v/>
      </c>
    </row>
    <row r="69" spans="1:5">
      <c r="A69" t="s">
        <v>250</v>
      </c>
      <c r="B69" t="s">
        <v>1005</v>
      </c>
      <c r="C69" t="s">
        <v>1006</v>
      </c>
      <c r="D69" t="s">
        <v>452</v>
      </c>
      <c r="E69">
        <f>HYPERLINK("https://www.britishcycling.org.uk/points?person_id=254784&amp;year=2019&amp;type=national&amp;d=6","Results")</f>
        <v/>
      </c>
    </row>
    <row r="70" spans="1:5">
      <c r="A70" t="s">
        <v>254</v>
      </c>
      <c r="B70" t="s">
        <v>1007</v>
      </c>
      <c r="C70" t="s">
        <v>940</v>
      </c>
      <c r="D70" t="s">
        <v>448</v>
      </c>
      <c r="E70">
        <f>HYPERLINK("https://www.britishcycling.org.uk/points?person_id=645388&amp;year=2019&amp;type=national&amp;d=6","Results")</f>
        <v/>
      </c>
    </row>
    <row r="71" spans="1:5">
      <c r="A71" t="s">
        <v>257</v>
      </c>
      <c r="B71" t="s">
        <v>1008</v>
      </c>
      <c r="C71" t="s">
        <v>346</v>
      </c>
      <c r="D71" t="s">
        <v>436</v>
      </c>
      <c r="E71">
        <f>HYPERLINK("https://www.britishcycling.org.uk/points?person_id=171146&amp;year=2019&amp;type=national&amp;d=6","Results")</f>
        <v/>
      </c>
    </row>
    <row r="72" spans="1:5">
      <c r="A72" t="s">
        <v>260</v>
      </c>
      <c r="B72" t="s">
        <v>1009</v>
      </c>
      <c r="C72" t="s">
        <v>1010</v>
      </c>
      <c r="D72" t="s">
        <v>280</v>
      </c>
      <c r="E72">
        <f>HYPERLINK("https://www.britishcycling.org.uk/points?person_id=413185&amp;year=2019&amp;type=national&amp;d=6","Results")</f>
        <v/>
      </c>
    </row>
    <row r="73" spans="1:5">
      <c r="A73" t="s">
        <v>264</v>
      </c>
      <c r="B73" t="s">
        <v>1011</v>
      </c>
      <c r="C73" t="s">
        <v>312</v>
      </c>
      <c r="D73" t="s">
        <v>284</v>
      </c>
      <c r="E73">
        <f>HYPERLINK("https://www.britishcycling.org.uk/points?person_id=327705&amp;year=2019&amp;type=national&amp;d=6","Results")</f>
        <v/>
      </c>
    </row>
    <row r="74" spans="1:5">
      <c r="A74" t="s">
        <v>267</v>
      </c>
      <c r="B74" t="s">
        <v>1012</v>
      </c>
      <c r="C74" t="s">
        <v>469</v>
      </c>
      <c r="D74" t="s">
        <v>425</v>
      </c>
      <c r="E74">
        <f>HYPERLINK("https://www.britishcycling.org.uk/points?person_id=297438&amp;year=2019&amp;type=national&amp;d=6","Results")</f>
        <v/>
      </c>
    </row>
    <row r="75" spans="1:5">
      <c r="A75" t="s">
        <v>270</v>
      </c>
      <c r="B75" t="s">
        <v>1013</v>
      </c>
      <c r="C75" t="s">
        <v>1014</v>
      </c>
      <c r="D75" t="s">
        <v>300</v>
      </c>
      <c r="E75">
        <f>HYPERLINK("https://www.britishcycling.org.uk/points?person_id=383676&amp;year=2019&amp;type=national&amp;d=6","Results")</f>
        <v/>
      </c>
    </row>
    <row r="76" spans="1:5">
      <c r="A76" t="s">
        <v>274</v>
      </c>
      <c r="B76" t="s">
        <v>1015</v>
      </c>
      <c r="C76" t="s">
        <v>926</v>
      </c>
      <c r="D76" t="s">
        <v>418</v>
      </c>
      <c r="E76">
        <f>HYPERLINK("https://www.britishcycling.org.uk/points?person_id=28675&amp;year=2019&amp;type=national&amp;d=6","Results")</f>
        <v/>
      </c>
    </row>
    <row r="77" spans="1:5">
      <c r="A77" t="s">
        <v>277</v>
      </c>
      <c r="B77" t="s">
        <v>1016</v>
      </c>
      <c r="C77" t="s">
        <v>45</v>
      </c>
      <c r="D77" t="s">
        <v>416</v>
      </c>
      <c r="E77">
        <f>HYPERLINK("https://www.britishcycling.org.uk/points?person_id=351157&amp;year=2019&amp;type=national&amp;d=6","Results")</f>
        <v/>
      </c>
    </row>
    <row r="78" spans="1:5">
      <c r="A78" t="s">
        <v>281</v>
      </c>
      <c r="B78" t="s">
        <v>1017</v>
      </c>
      <c r="C78" t="s">
        <v>1018</v>
      </c>
      <c r="D78" t="s">
        <v>414</v>
      </c>
      <c r="E78">
        <f>HYPERLINK("https://www.britishcycling.org.uk/points?person_id=245244&amp;year=2019&amp;type=national&amp;d=6","Results")</f>
        <v/>
      </c>
    </row>
    <row r="79" spans="1:5">
      <c r="A79" t="s">
        <v>285</v>
      </c>
      <c r="B79" t="s">
        <v>1019</v>
      </c>
      <c r="C79" t="s">
        <v>7</v>
      </c>
      <c r="D79" t="s">
        <v>414</v>
      </c>
      <c r="E79">
        <f>HYPERLINK("https://www.britishcycling.org.uk/points?person_id=524253&amp;year=2019&amp;type=national&amp;d=6","Results")</f>
        <v/>
      </c>
    </row>
    <row r="80" spans="1:5">
      <c r="A80" t="s">
        <v>289</v>
      </c>
      <c r="B80" t="s">
        <v>1020</v>
      </c>
      <c r="C80" t="s">
        <v>295</v>
      </c>
      <c r="D80" t="s">
        <v>405</v>
      </c>
      <c r="E80">
        <f>HYPERLINK("https://www.britishcycling.org.uk/points?person_id=298076&amp;year=2019&amp;type=national&amp;d=6","Results")</f>
        <v/>
      </c>
    </row>
    <row r="81" spans="1:5">
      <c r="A81" t="s">
        <v>293</v>
      </c>
      <c r="B81" t="s">
        <v>1021</v>
      </c>
      <c r="C81" t="s">
        <v>198</v>
      </c>
      <c r="D81" t="s">
        <v>306</v>
      </c>
      <c r="E81">
        <f>HYPERLINK("https://www.britishcycling.org.uk/points?person_id=222960&amp;year=2019&amp;type=national&amp;d=6","Results")</f>
        <v/>
      </c>
    </row>
    <row r="82" spans="1:5">
      <c r="A82" t="s">
        <v>297</v>
      </c>
      <c r="B82" t="s">
        <v>1022</v>
      </c>
      <c r="C82" t="s">
        <v>1023</v>
      </c>
      <c r="D82" t="s">
        <v>309</v>
      </c>
      <c r="E82">
        <f>HYPERLINK("https://www.britishcycling.org.uk/points?person_id=223367&amp;year=2019&amp;type=national&amp;d=6","Results")</f>
        <v/>
      </c>
    </row>
    <row r="83" spans="1:5">
      <c r="A83" t="s">
        <v>301</v>
      </c>
      <c r="B83" t="s">
        <v>1024</v>
      </c>
      <c r="C83" t="s">
        <v>514</v>
      </c>
      <c r="D83" t="s">
        <v>399</v>
      </c>
      <c r="E83">
        <f>HYPERLINK("https://www.britishcycling.org.uk/points?person_id=173679&amp;year=2019&amp;type=national&amp;d=6","Results")</f>
        <v/>
      </c>
    </row>
    <row r="84" spans="1:5">
      <c r="A84" t="s">
        <v>304</v>
      </c>
      <c r="B84" t="s">
        <v>1025</v>
      </c>
      <c r="C84" t="s">
        <v>595</v>
      </c>
      <c r="D84" t="s">
        <v>316</v>
      </c>
      <c r="E84">
        <f>HYPERLINK("https://www.britishcycling.org.uk/points?person_id=509672&amp;year=2019&amp;type=national&amp;d=6","Results")</f>
        <v/>
      </c>
    </row>
    <row r="85" spans="1:5">
      <c r="A85" t="s">
        <v>307</v>
      </c>
      <c r="B85" t="s">
        <v>1026</v>
      </c>
      <c r="C85" t="s">
        <v>45</v>
      </c>
      <c r="D85" t="s">
        <v>321</v>
      </c>
      <c r="E85">
        <f>HYPERLINK("https://www.britishcycling.org.uk/points?person_id=255500&amp;year=2019&amp;type=national&amp;d=6","Results")</f>
        <v/>
      </c>
    </row>
    <row r="86" spans="1:5">
      <c r="A86" t="s">
        <v>310</v>
      </c>
      <c r="B86" t="s">
        <v>1027</v>
      </c>
      <c r="C86" t="s">
        <v>287</v>
      </c>
      <c r="D86" t="s">
        <v>387</v>
      </c>
      <c r="E86">
        <f>HYPERLINK("https://www.britishcycling.org.uk/points?person_id=193447&amp;year=2019&amp;type=national&amp;d=6","Results")</f>
        <v/>
      </c>
    </row>
    <row r="87" spans="1:5">
      <c r="A87" t="s">
        <v>313</v>
      </c>
      <c r="B87" t="s">
        <v>1028</v>
      </c>
      <c r="C87" t="s">
        <v>113</v>
      </c>
      <c r="D87" t="s">
        <v>384</v>
      </c>
      <c r="E87">
        <f>HYPERLINK("https://www.britishcycling.org.uk/points?person_id=613017&amp;year=2019&amp;type=national&amp;d=6","Results")</f>
        <v/>
      </c>
    </row>
    <row r="88" spans="1:5">
      <c r="A88" t="s">
        <v>317</v>
      </c>
      <c r="B88" t="s">
        <v>1029</v>
      </c>
      <c r="C88" t="s">
        <v>959</v>
      </c>
      <c r="D88" t="s">
        <v>332</v>
      </c>
      <c r="E88">
        <f>HYPERLINK("https://www.britishcycling.org.uk/points?person_id=733166&amp;year=2019&amp;type=national&amp;d=6","Results")</f>
        <v/>
      </c>
    </row>
    <row r="89" spans="1:5">
      <c r="A89" t="s">
        <v>319</v>
      </c>
      <c r="B89" t="s">
        <v>1030</v>
      </c>
      <c r="C89" t="s">
        <v>1010</v>
      </c>
      <c r="D89" t="s">
        <v>336</v>
      </c>
      <c r="E89">
        <f>HYPERLINK("https://www.britishcycling.org.uk/points?person_id=589183&amp;year=2019&amp;type=national&amp;d=6","Results")</f>
        <v/>
      </c>
    </row>
    <row r="90" spans="1:5">
      <c r="A90" t="s">
        <v>322</v>
      </c>
      <c r="B90" t="s">
        <v>1031</v>
      </c>
      <c r="C90" t="s">
        <v>1032</v>
      </c>
      <c r="D90" t="s">
        <v>377</v>
      </c>
      <c r="E90">
        <f>HYPERLINK("https://www.britishcycling.org.uk/points?person_id=424452&amp;year=2019&amp;type=national&amp;d=6","Results")</f>
        <v/>
      </c>
    </row>
    <row r="91" spans="1:5">
      <c r="A91" t="s">
        <v>326</v>
      </c>
      <c r="B91" t="s">
        <v>1033</v>
      </c>
      <c r="C91" t="s">
        <v>7</v>
      </c>
      <c r="D91" t="s">
        <v>374</v>
      </c>
      <c r="E91">
        <f>HYPERLINK("https://www.britishcycling.org.uk/points?person_id=215903&amp;year=2019&amp;type=national&amp;d=6","Results")</f>
        <v/>
      </c>
    </row>
    <row r="92" spans="1:5">
      <c r="A92" t="s">
        <v>329</v>
      </c>
      <c r="B92" t="s">
        <v>1034</v>
      </c>
      <c r="C92" t="s">
        <v>299</v>
      </c>
      <c r="D92" t="s">
        <v>374</v>
      </c>
      <c r="E92">
        <f>HYPERLINK("https://www.britishcycling.org.uk/points?person_id=837962&amp;year=2019&amp;type=national&amp;d=6","Results")</f>
        <v/>
      </c>
    </row>
    <row r="93" spans="1:5">
      <c r="A93" t="s">
        <v>333</v>
      </c>
      <c r="B93" t="s">
        <v>1035</v>
      </c>
      <c r="C93" t="s">
        <v>125</v>
      </c>
      <c r="D93" t="s">
        <v>370</v>
      </c>
      <c r="E93">
        <f>HYPERLINK("https://www.britishcycling.org.uk/points?person_id=222785&amp;year=2019&amp;type=national&amp;d=6","Results")</f>
        <v/>
      </c>
    </row>
    <row r="94" spans="1:5">
      <c r="A94" t="s">
        <v>337</v>
      </c>
      <c r="B94" t="s">
        <v>1036</v>
      </c>
      <c r="C94" t="s">
        <v>461</v>
      </c>
      <c r="D94" t="s">
        <v>368</v>
      </c>
      <c r="E94">
        <f>HYPERLINK("https://www.britishcycling.org.uk/points?person_id=212763&amp;year=2019&amp;type=national&amp;d=6","Results")</f>
        <v/>
      </c>
    </row>
    <row r="95" spans="1:5">
      <c r="A95" t="s">
        <v>341</v>
      </c>
      <c r="B95" t="s">
        <v>1037</v>
      </c>
      <c r="C95" t="s">
        <v>1038</v>
      </c>
      <c r="D95" t="s">
        <v>368</v>
      </c>
      <c r="E95">
        <f>HYPERLINK("https://www.britishcycling.org.uk/points?person_id=193843&amp;year=2019&amp;type=national&amp;d=6","Results")</f>
        <v/>
      </c>
    </row>
    <row r="96" spans="1:5">
      <c r="A96" t="s">
        <v>344</v>
      </c>
      <c r="B96" t="s">
        <v>1039</v>
      </c>
      <c r="C96" t="s">
        <v>287</v>
      </c>
      <c r="D96" t="s">
        <v>368</v>
      </c>
      <c r="E96">
        <f>HYPERLINK("https://www.britishcycling.org.uk/points?person_id=335419&amp;year=2019&amp;type=national&amp;d=6","Results")</f>
        <v/>
      </c>
    </row>
    <row r="97" spans="1:5">
      <c r="A97" t="s">
        <v>347</v>
      </c>
      <c r="B97" t="s">
        <v>1040</v>
      </c>
      <c r="C97" t="s">
        <v>1041</v>
      </c>
      <c r="D97" t="s">
        <v>340</v>
      </c>
      <c r="E97">
        <f>HYPERLINK("https://www.britishcycling.org.uk/points?person_id=566348&amp;year=2019&amp;type=national&amp;d=6","Results")</f>
        <v/>
      </c>
    </row>
    <row r="98" spans="1:5">
      <c r="A98" t="s">
        <v>350</v>
      </c>
      <c r="B98" t="s">
        <v>1042</v>
      </c>
      <c r="C98" t="s">
        <v>87</v>
      </c>
      <c r="D98" t="s">
        <v>340</v>
      </c>
      <c r="E98">
        <f>HYPERLINK("https://www.britishcycling.org.uk/points?person_id=378832&amp;year=2019&amp;type=national&amp;d=6","Results")</f>
        <v/>
      </c>
    </row>
    <row r="99" spans="1:5">
      <c r="A99" t="s">
        <v>352</v>
      </c>
      <c r="B99" t="s">
        <v>1043</v>
      </c>
      <c r="C99" t="s">
        <v>940</v>
      </c>
      <c r="D99" t="s">
        <v>340</v>
      </c>
      <c r="E99">
        <f>HYPERLINK("https://www.britishcycling.org.uk/points?person_id=369781&amp;year=2019&amp;type=national&amp;d=6","Results")</f>
        <v/>
      </c>
    </row>
    <row r="100" spans="1:5">
      <c r="A100" t="s">
        <v>349</v>
      </c>
      <c r="B100" t="s">
        <v>1044</v>
      </c>
      <c r="C100" t="s">
        <v>554</v>
      </c>
      <c r="D100" t="s">
        <v>343</v>
      </c>
      <c r="E100">
        <f>HYPERLINK("https://www.britishcycling.org.uk/points?person_id=730644&amp;year=2019&amp;type=national&amp;d=6","Results")</f>
        <v/>
      </c>
    </row>
    <row r="101" spans="1:5">
      <c r="A101" t="s">
        <v>356</v>
      </c>
      <c r="B101" t="s">
        <v>1045</v>
      </c>
      <c r="C101" t="s">
        <v>403</v>
      </c>
      <c r="D101" t="s">
        <v>359</v>
      </c>
      <c r="E101">
        <f>HYPERLINK("https://www.britishcycling.org.uk/points?person_id=263340&amp;year=2019&amp;type=national&amp;d=6","Results")</f>
        <v/>
      </c>
    </row>
    <row r="102" spans="1:5">
      <c r="A102" t="s">
        <v>359</v>
      </c>
      <c r="B102" t="s">
        <v>1046</v>
      </c>
      <c r="C102" t="s">
        <v>959</v>
      </c>
      <c r="D102" t="s">
        <v>356</v>
      </c>
      <c r="E102">
        <f>HYPERLINK("https://www.britishcycling.org.uk/points?person_id=387309&amp;year=2019&amp;type=national&amp;d=6","Results")</f>
        <v/>
      </c>
    </row>
    <row r="103" spans="1:5">
      <c r="A103" t="s">
        <v>343</v>
      </c>
      <c r="B103" t="s">
        <v>1047</v>
      </c>
      <c r="C103" t="s">
        <v>170</v>
      </c>
      <c r="D103" t="s">
        <v>341</v>
      </c>
      <c r="E103">
        <f>HYPERLINK("https://www.britishcycling.org.uk/points?person_id=192785&amp;year=2019&amp;type=national&amp;d=6","Results")</f>
        <v/>
      </c>
    </row>
    <row r="104" spans="1:5">
      <c r="A104" t="s">
        <v>364</v>
      </c>
      <c r="B104" t="s">
        <v>1048</v>
      </c>
      <c r="C104" t="s">
        <v>961</v>
      </c>
      <c r="D104" t="s">
        <v>341</v>
      </c>
      <c r="E104">
        <f>HYPERLINK("https://www.britishcycling.org.uk/points?person_id=381657&amp;year=2019&amp;type=national&amp;d=6","Results")</f>
        <v/>
      </c>
    </row>
    <row r="105" spans="1:5">
      <c r="A105" t="s">
        <v>340</v>
      </c>
      <c r="B105" t="s">
        <v>1049</v>
      </c>
      <c r="C105" t="s">
        <v>291</v>
      </c>
      <c r="D105" t="s">
        <v>337</v>
      </c>
      <c r="E105">
        <f>HYPERLINK("https://www.britishcycling.org.uk/points?person_id=575007&amp;year=2019&amp;type=national&amp;d=6","Results")</f>
        <v/>
      </c>
    </row>
    <row r="106" spans="1:5">
      <c r="A106" t="s">
        <v>368</v>
      </c>
      <c r="B106" t="s">
        <v>1050</v>
      </c>
      <c r="C106" t="s">
        <v>959</v>
      </c>
      <c r="D106" t="s">
        <v>333</v>
      </c>
      <c r="E106">
        <f>HYPERLINK("https://www.britishcycling.org.uk/points?person_id=237627&amp;year=2019&amp;type=national&amp;d=6","Results")</f>
        <v/>
      </c>
    </row>
    <row r="107" spans="1:5">
      <c r="A107" t="s">
        <v>370</v>
      </c>
      <c r="B107" t="s">
        <v>1051</v>
      </c>
      <c r="C107" t="s">
        <v>230</v>
      </c>
      <c r="D107" t="s">
        <v>326</v>
      </c>
      <c r="E107">
        <f>HYPERLINK("https://www.britishcycling.org.uk/points?person_id=440867&amp;year=2019&amp;type=national&amp;d=6","Results")</f>
        <v/>
      </c>
    </row>
    <row r="108" spans="1:5">
      <c r="A108" t="s">
        <v>372</v>
      </c>
      <c r="B108" t="s">
        <v>1052</v>
      </c>
      <c r="C108" t="s">
        <v>198</v>
      </c>
      <c r="D108" t="s">
        <v>322</v>
      </c>
      <c r="E108">
        <f>HYPERLINK("https://www.britishcycling.org.uk/points?person_id=473924&amp;year=2019&amp;type=national&amp;d=6","Results")</f>
        <v/>
      </c>
    </row>
    <row r="109" spans="1:5">
      <c r="A109" t="s">
        <v>374</v>
      </c>
      <c r="B109" t="s">
        <v>1053</v>
      </c>
      <c r="C109" t="s">
        <v>559</v>
      </c>
      <c r="D109" t="s">
        <v>317</v>
      </c>
      <c r="E109">
        <f>HYPERLINK("https://www.britishcycling.org.uk/points?person_id=169719&amp;year=2019&amp;type=national&amp;d=6","Results")</f>
        <v/>
      </c>
    </row>
    <row r="110" spans="1:5">
      <c r="A110" t="s">
        <v>377</v>
      </c>
      <c r="B110" t="s">
        <v>1054</v>
      </c>
      <c r="C110" t="s">
        <v>157</v>
      </c>
      <c r="D110" t="s">
        <v>313</v>
      </c>
      <c r="E110">
        <f>HYPERLINK("https://www.britishcycling.org.uk/points?person_id=495985&amp;year=2019&amp;type=national&amp;d=6","Results")</f>
        <v/>
      </c>
    </row>
    <row r="111" spans="1:5">
      <c r="A111" t="s">
        <v>336</v>
      </c>
      <c r="B111" t="s">
        <v>1055</v>
      </c>
      <c r="C111" t="s">
        <v>1056</v>
      </c>
      <c r="D111" t="s">
        <v>310</v>
      </c>
      <c r="E111">
        <f>HYPERLINK("https://www.britishcycling.org.uk/points?person_id=688897&amp;year=2019&amp;type=national&amp;d=6","Results")</f>
        <v/>
      </c>
    </row>
    <row r="112" spans="1:5">
      <c r="A112" t="s">
        <v>332</v>
      </c>
      <c r="B112" t="s">
        <v>1057</v>
      </c>
      <c r="C112" t="s">
        <v>230</v>
      </c>
      <c r="D112" t="s">
        <v>307</v>
      </c>
      <c r="E112">
        <f>HYPERLINK("https://www.britishcycling.org.uk/points?person_id=194740&amp;year=2019&amp;type=national&amp;d=6","Results")</f>
        <v/>
      </c>
    </row>
    <row r="113" spans="1:5">
      <c r="A113" t="s">
        <v>384</v>
      </c>
      <c r="B113" t="s">
        <v>1058</v>
      </c>
      <c r="C113" t="s">
        <v>1010</v>
      </c>
      <c r="D113" t="s">
        <v>307</v>
      </c>
      <c r="E113">
        <f>HYPERLINK("https://www.britishcycling.org.uk/points?person_id=226171&amp;year=2019&amp;type=national&amp;d=6","Results")</f>
        <v/>
      </c>
    </row>
    <row r="114" spans="1:5">
      <c r="A114" t="s">
        <v>387</v>
      </c>
      <c r="B114" t="s">
        <v>1059</v>
      </c>
      <c r="C114" t="s">
        <v>676</v>
      </c>
      <c r="D114" t="s">
        <v>304</v>
      </c>
      <c r="E114">
        <f>HYPERLINK("https://www.britishcycling.org.uk/points?person_id=652969&amp;year=2019&amp;type=national&amp;d=6","Results")</f>
        <v/>
      </c>
    </row>
    <row r="115" spans="1:5">
      <c r="A115" t="s">
        <v>389</v>
      </c>
      <c r="B115" t="s">
        <v>1060</v>
      </c>
      <c r="C115" t="s">
        <v>299</v>
      </c>
      <c r="D115" t="s">
        <v>304</v>
      </c>
      <c r="E115">
        <f>HYPERLINK("https://www.britishcycling.org.uk/points?person_id=180601&amp;year=2019&amp;type=national&amp;d=6","Results")</f>
        <v/>
      </c>
    </row>
    <row r="116" spans="1:5">
      <c r="A116" t="s">
        <v>325</v>
      </c>
      <c r="B116" t="s">
        <v>1061</v>
      </c>
      <c r="C116" t="s">
        <v>1062</v>
      </c>
      <c r="D116" t="s">
        <v>301</v>
      </c>
      <c r="E116">
        <f>HYPERLINK("https://www.britishcycling.org.uk/points?person_id=401297&amp;year=2019&amp;type=national&amp;d=6","Results")</f>
        <v/>
      </c>
    </row>
    <row r="117" spans="1:5">
      <c r="A117" t="s">
        <v>393</v>
      </c>
      <c r="B117" t="s">
        <v>1063</v>
      </c>
      <c r="C117" t="s">
        <v>1064</v>
      </c>
      <c r="D117" t="s">
        <v>301</v>
      </c>
      <c r="E117">
        <f>HYPERLINK("https://www.britishcycling.org.uk/points?person_id=233626&amp;year=2019&amp;type=national&amp;d=6","Results")</f>
        <v/>
      </c>
    </row>
    <row r="118" spans="1:5">
      <c r="A118" t="s">
        <v>321</v>
      </c>
      <c r="B118" t="s">
        <v>1065</v>
      </c>
      <c r="C118" t="s">
        <v>223</v>
      </c>
      <c r="D118" t="s">
        <v>281</v>
      </c>
      <c r="E118">
        <f>HYPERLINK("https://www.britishcycling.org.uk/points?person_id=752858&amp;year=2019&amp;type=national&amp;d=6","Results")</f>
        <v/>
      </c>
    </row>
    <row r="119" spans="1:5">
      <c r="A119" t="s">
        <v>316</v>
      </c>
      <c r="B119" t="s">
        <v>1066</v>
      </c>
      <c r="C119" t="s">
        <v>167</v>
      </c>
      <c r="D119" t="s">
        <v>277</v>
      </c>
      <c r="E119">
        <f>HYPERLINK("https://www.britishcycling.org.uk/points?person_id=234721&amp;year=2019&amp;type=national&amp;d=6","Results")</f>
        <v/>
      </c>
    </row>
    <row r="120" spans="1:5">
      <c r="A120" t="s">
        <v>399</v>
      </c>
      <c r="B120" t="s">
        <v>1067</v>
      </c>
      <c r="C120" t="s">
        <v>592</v>
      </c>
      <c r="D120" t="s">
        <v>274</v>
      </c>
      <c r="E120">
        <f>HYPERLINK("https://www.britishcycling.org.uk/points?person_id=418534&amp;year=2019&amp;type=national&amp;d=6","Results")</f>
        <v/>
      </c>
    </row>
    <row r="121" spans="1:5">
      <c r="A121" t="s">
        <v>309</v>
      </c>
      <c r="B121" t="s">
        <v>1068</v>
      </c>
      <c r="C121" t="s">
        <v>656</v>
      </c>
      <c r="D121" t="s">
        <v>274</v>
      </c>
      <c r="E121">
        <f>HYPERLINK("https://www.britishcycling.org.uk/points?person_id=251441&amp;year=2019&amp;type=national&amp;d=6","Results")</f>
        <v/>
      </c>
    </row>
    <row r="122" spans="1:5">
      <c r="A122" t="s">
        <v>306</v>
      </c>
      <c r="B122" t="s">
        <v>1069</v>
      </c>
      <c r="C122" t="s">
        <v>33</v>
      </c>
      <c r="D122" t="s">
        <v>264</v>
      </c>
      <c r="E122">
        <f>HYPERLINK("https://www.britishcycling.org.uk/points?person_id=707997&amp;year=2019&amp;type=national&amp;d=6","Results")</f>
        <v/>
      </c>
    </row>
    <row r="123" spans="1:5">
      <c r="A123" t="s">
        <v>405</v>
      </c>
      <c r="B123" t="s">
        <v>1070</v>
      </c>
      <c r="C123" t="s">
        <v>113</v>
      </c>
      <c r="D123" t="s">
        <v>260</v>
      </c>
      <c r="E123">
        <f>HYPERLINK("https://www.britishcycling.org.uk/points?person_id=842384&amp;year=2019&amp;type=national&amp;d=6","Results")</f>
        <v/>
      </c>
    </row>
    <row r="124" spans="1:5">
      <c r="A124" t="s">
        <v>408</v>
      </c>
      <c r="B124" t="s">
        <v>1071</v>
      </c>
      <c r="C124" t="s">
        <v>940</v>
      </c>
      <c r="D124" t="s">
        <v>260</v>
      </c>
      <c r="E124">
        <f>HYPERLINK("https://www.britishcycling.org.uk/points?person_id=257891&amp;year=2019&amp;type=national&amp;d=6","Results")</f>
        <v/>
      </c>
    </row>
    <row r="125" spans="1:5">
      <c r="A125" t="s">
        <v>410</v>
      </c>
      <c r="B125" t="s">
        <v>1072</v>
      </c>
      <c r="C125" t="s">
        <v>346</v>
      </c>
      <c r="D125" t="s">
        <v>257</v>
      </c>
      <c r="E125">
        <f>HYPERLINK("https://www.britishcycling.org.uk/points?person_id=177268&amp;year=2019&amp;type=national&amp;d=6","Results")</f>
        <v/>
      </c>
    </row>
    <row r="126" spans="1:5">
      <c r="A126" t="s">
        <v>303</v>
      </c>
      <c r="B126" t="s">
        <v>1073</v>
      </c>
      <c r="C126" t="s">
        <v>170</v>
      </c>
      <c r="D126" t="s">
        <v>250</v>
      </c>
      <c r="E126">
        <f>HYPERLINK("https://www.britishcycling.org.uk/points?person_id=335024&amp;year=2019&amp;type=national&amp;d=6","Results")</f>
        <v/>
      </c>
    </row>
    <row r="127" spans="1:5">
      <c r="A127" t="s">
        <v>414</v>
      </c>
      <c r="B127" t="s">
        <v>1074</v>
      </c>
      <c r="C127" t="s">
        <v>420</v>
      </c>
      <c r="D127" t="s">
        <v>247</v>
      </c>
      <c r="E127">
        <f>HYPERLINK("https://www.britishcycling.org.uk/points?person_id=427670&amp;year=2019&amp;type=national&amp;d=6","Results")</f>
        <v/>
      </c>
    </row>
    <row r="128" spans="1:5">
      <c r="A128" t="s">
        <v>416</v>
      </c>
      <c r="B128" t="s">
        <v>1075</v>
      </c>
      <c r="C128" t="s">
        <v>283</v>
      </c>
      <c r="D128" t="s">
        <v>247</v>
      </c>
      <c r="E128">
        <f>HYPERLINK("https://www.britishcycling.org.uk/points?person_id=546296&amp;year=2019&amp;type=national&amp;d=6","Results")</f>
        <v/>
      </c>
    </row>
    <row r="129" spans="1:5">
      <c r="A129" t="s">
        <v>418</v>
      </c>
      <c r="B129" t="s">
        <v>1076</v>
      </c>
      <c r="C129" t="s">
        <v>691</v>
      </c>
      <c r="D129" t="s">
        <v>247</v>
      </c>
      <c r="E129">
        <f>HYPERLINK("https://www.britishcycling.org.uk/points?person_id=847917&amp;year=2019&amp;type=national&amp;d=6","Results")</f>
        <v/>
      </c>
    </row>
    <row r="130" spans="1:5">
      <c r="A130" t="s">
        <v>300</v>
      </c>
      <c r="B130" t="s">
        <v>1077</v>
      </c>
      <c r="C130" t="s">
        <v>328</v>
      </c>
      <c r="D130" t="s">
        <v>247</v>
      </c>
      <c r="E130">
        <f>HYPERLINK("https://www.britishcycling.org.uk/points?person_id=757463&amp;year=2019&amp;type=national&amp;d=6","Results")</f>
        <v/>
      </c>
    </row>
    <row r="131" spans="1:5">
      <c r="A131" t="s">
        <v>296</v>
      </c>
      <c r="B131" t="s">
        <v>1078</v>
      </c>
      <c r="C131" t="s">
        <v>125</v>
      </c>
      <c r="D131" t="s">
        <v>241</v>
      </c>
      <c r="E131">
        <f>HYPERLINK("https://www.britishcycling.org.uk/points?person_id=283313&amp;year=2019&amp;type=national&amp;d=6","Results")</f>
        <v/>
      </c>
    </row>
    <row r="132" spans="1:5">
      <c r="A132" t="s">
        <v>292</v>
      </c>
      <c r="B132" t="s">
        <v>1079</v>
      </c>
      <c r="C132" t="s">
        <v>182</v>
      </c>
      <c r="D132" t="s">
        <v>239</v>
      </c>
      <c r="E132">
        <f>HYPERLINK("https://www.britishcycling.org.uk/points?person_id=346297&amp;year=2019&amp;type=national&amp;d=6","Results")</f>
        <v/>
      </c>
    </row>
    <row r="133" spans="1:5">
      <c r="A133" t="s">
        <v>288</v>
      </c>
      <c r="B133" t="s">
        <v>1080</v>
      </c>
      <c r="C133" t="s">
        <v>291</v>
      </c>
      <c r="D133" t="s">
        <v>239</v>
      </c>
      <c r="E133">
        <f>HYPERLINK("https://www.britishcycling.org.uk/points?person_id=543240&amp;year=2019&amp;type=national&amp;d=6","Results")</f>
        <v/>
      </c>
    </row>
    <row r="134" spans="1:5">
      <c r="A134" t="s">
        <v>425</v>
      </c>
      <c r="B134" t="s">
        <v>1081</v>
      </c>
      <c r="C134" t="s">
        <v>1082</v>
      </c>
      <c r="D134" t="s">
        <v>239</v>
      </c>
      <c r="E134">
        <f>HYPERLINK("https://www.britishcycling.org.uk/points?person_id=372225&amp;year=2019&amp;type=national&amp;d=6","Results")</f>
        <v/>
      </c>
    </row>
    <row r="135" spans="1:5">
      <c r="A135" t="s">
        <v>284</v>
      </c>
      <c r="B135" t="s">
        <v>1083</v>
      </c>
      <c r="C135" t="s">
        <v>355</v>
      </c>
      <c r="D135" t="s">
        <v>239</v>
      </c>
      <c r="E135">
        <f>HYPERLINK("https://www.britishcycling.org.uk/points?person_id=374390&amp;year=2019&amp;type=national&amp;d=6","Results")</f>
        <v/>
      </c>
    </row>
    <row r="136" spans="1:5">
      <c r="A136" t="s">
        <v>430</v>
      </c>
      <c r="B136" t="s">
        <v>1084</v>
      </c>
      <c r="C136" t="s">
        <v>615</v>
      </c>
      <c r="D136" t="s">
        <v>236</v>
      </c>
      <c r="E136">
        <f>HYPERLINK("https://www.britishcycling.org.uk/points?person_id=240756&amp;year=2019&amp;type=national&amp;d=6","Results")</f>
        <v/>
      </c>
    </row>
    <row r="137" spans="1:5">
      <c r="A137" t="s">
        <v>432</v>
      </c>
      <c r="B137" t="s">
        <v>1085</v>
      </c>
      <c r="C137" t="s">
        <v>1006</v>
      </c>
      <c r="D137" t="s">
        <v>228</v>
      </c>
      <c r="E137">
        <f>HYPERLINK("https://www.britishcycling.org.uk/points?person_id=263837&amp;year=2019&amp;type=national&amp;d=6","Results")</f>
        <v/>
      </c>
    </row>
    <row r="138" spans="1:5">
      <c r="A138" t="s">
        <v>280</v>
      </c>
      <c r="B138" t="s">
        <v>1086</v>
      </c>
      <c r="C138" t="s">
        <v>1010</v>
      </c>
      <c r="D138" t="s">
        <v>228</v>
      </c>
      <c r="E138">
        <f>HYPERLINK("https://www.britishcycling.org.uk/points?person_id=561504&amp;year=2019&amp;type=national&amp;d=6","Results")</f>
        <v/>
      </c>
    </row>
    <row r="139" spans="1:5">
      <c r="A139" t="s">
        <v>436</v>
      </c>
      <c r="B139" t="s">
        <v>1087</v>
      </c>
      <c r="C139" t="s">
        <v>7</v>
      </c>
      <c r="D139" t="s">
        <v>221</v>
      </c>
      <c r="E139">
        <f>HYPERLINK("https://www.britishcycling.org.uk/points?person_id=839734&amp;year=2019&amp;type=national&amp;d=6","Results")</f>
        <v/>
      </c>
    </row>
    <row r="140" spans="1:5">
      <c r="A140" t="s">
        <v>276</v>
      </c>
      <c r="B140" t="s">
        <v>1088</v>
      </c>
      <c r="C140" t="s">
        <v>1089</v>
      </c>
      <c r="D140" t="s">
        <v>210</v>
      </c>
      <c r="E140">
        <f>HYPERLINK("https://www.britishcycling.org.uk/points?person_id=259816&amp;year=2019&amp;type=national&amp;d=6","Results")</f>
        <v/>
      </c>
    </row>
    <row r="141" spans="1:5">
      <c r="A141" t="s">
        <v>439</v>
      </c>
      <c r="B141" t="s">
        <v>1090</v>
      </c>
      <c r="C141" t="s">
        <v>1091</v>
      </c>
      <c r="D141" t="s">
        <v>207</v>
      </c>
      <c r="E141">
        <f>HYPERLINK("https://www.britishcycling.org.uk/points?person_id=575012&amp;year=2019&amp;type=national&amp;d=6","Results")</f>
        <v/>
      </c>
    </row>
    <row r="142" spans="1:5">
      <c r="A142" t="s">
        <v>273</v>
      </c>
      <c r="B142" t="s">
        <v>1092</v>
      </c>
      <c r="C142" t="s">
        <v>663</v>
      </c>
      <c r="D142" t="s">
        <v>203</v>
      </c>
      <c r="E142">
        <f>HYPERLINK("https://www.britishcycling.org.uk/points?person_id=379108&amp;year=2019&amp;type=national&amp;d=6","Results")</f>
        <v/>
      </c>
    </row>
    <row r="143" spans="1:5">
      <c r="A143" t="s">
        <v>269</v>
      </c>
      <c r="B143" t="s">
        <v>1093</v>
      </c>
      <c r="C143" t="s">
        <v>45</v>
      </c>
      <c r="D143" t="s">
        <v>199</v>
      </c>
      <c r="E143">
        <f>HYPERLINK("https://www.britishcycling.org.uk/points?person_id=181802&amp;year=2019&amp;type=national&amp;d=6","Results")</f>
        <v/>
      </c>
    </row>
    <row r="144" spans="1:5">
      <c r="A144" t="s">
        <v>266</v>
      </c>
      <c r="B144" t="s">
        <v>1094</v>
      </c>
      <c r="C144" t="s">
        <v>291</v>
      </c>
      <c r="D144" t="s">
        <v>196</v>
      </c>
      <c r="E144">
        <f>HYPERLINK("https://www.britishcycling.org.uk/points?person_id=752105&amp;year=2019&amp;type=national&amp;d=6","Results")</f>
        <v/>
      </c>
    </row>
    <row r="145" spans="1:5">
      <c r="A145" t="s">
        <v>263</v>
      </c>
      <c r="B145" t="s">
        <v>1095</v>
      </c>
      <c r="C145" t="s">
        <v>230</v>
      </c>
      <c r="D145" t="s">
        <v>192</v>
      </c>
      <c r="E145">
        <f>HYPERLINK("https://www.britishcycling.org.uk/points?person_id=263419&amp;year=2019&amp;type=national&amp;d=6","Results")</f>
        <v/>
      </c>
    </row>
    <row r="146" spans="1:5">
      <c r="A146" t="s">
        <v>448</v>
      </c>
      <c r="B146" t="s">
        <v>1096</v>
      </c>
      <c r="C146" t="s">
        <v>511</v>
      </c>
      <c r="D146" t="s">
        <v>188</v>
      </c>
      <c r="E146">
        <f>HYPERLINK("https://www.britishcycling.org.uk/points?person_id=173174&amp;year=2019&amp;type=national&amp;d=6","Results")</f>
        <v/>
      </c>
    </row>
    <row r="147" spans="1:5">
      <c r="A147" t="s">
        <v>450</v>
      </c>
      <c r="B147" t="s">
        <v>1097</v>
      </c>
      <c r="C147" t="s">
        <v>335</v>
      </c>
      <c r="D147" t="s">
        <v>188</v>
      </c>
      <c r="E147">
        <f>HYPERLINK("https://www.britishcycling.org.uk/points?person_id=520346&amp;year=2019&amp;type=national&amp;d=6","Results")</f>
        <v/>
      </c>
    </row>
    <row r="148" spans="1:5">
      <c r="A148" t="s">
        <v>452</v>
      </c>
      <c r="B148" t="s">
        <v>1098</v>
      </c>
      <c r="C148" t="s">
        <v>87</v>
      </c>
      <c r="D148" t="s">
        <v>184</v>
      </c>
      <c r="E148">
        <f>HYPERLINK("https://www.britishcycling.org.uk/points?person_id=466478&amp;year=2019&amp;type=national&amp;d=6","Results")</f>
        <v/>
      </c>
    </row>
    <row r="149" spans="1:5">
      <c r="A149" t="s">
        <v>454</v>
      </c>
      <c r="B149" t="s">
        <v>1099</v>
      </c>
      <c r="C149" t="s">
        <v>139</v>
      </c>
      <c r="D149" t="s">
        <v>180</v>
      </c>
      <c r="E149">
        <f>HYPERLINK("https://www.britishcycling.org.uk/points?person_id=606932&amp;year=2019&amp;type=national&amp;d=6","Results")</f>
        <v/>
      </c>
    </row>
    <row r="150" spans="1:5">
      <c r="A150" t="s">
        <v>456</v>
      </c>
      <c r="B150" t="s">
        <v>1100</v>
      </c>
      <c r="C150" t="s">
        <v>1101</v>
      </c>
      <c r="D150" t="s">
        <v>172</v>
      </c>
      <c r="E150">
        <f>HYPERLINK("https://www.britishcycling.org.uk/points?person_id=525779&amp;year=2019&amp;type=national&amp;d=6","Results")</f>
        <v/>
      </c>
    </row>
    <row r="151" spans="1:5">
      <c r="A151" t="s">
        <v>458</v>
      </c>
      <c r="B151" t="s">
        <v>1102</v>
      </c>
      <c r="C151" t="s">
        <v>376</v>
      </c>
      <c r="D151" t="s">
        <v>172</v>
      </c>
      <c r="E151">
        <f>HYPERLINK("https://www.britishcycling.org.uk/points?person_id=197061&amp;year=2019&amp;type=national&amp;d=6","Results")</f>
        <v/>
      </c>
    </row>
    <row r="152" spans="1:5">
      <c r="A152" t="s">
        <v>256</v>
      </c>
      <c r="B152" t="s">
        <v>1103</v>
      </c>
      <c r="C152" t="s">
        <v>1104</v>
      </c>
      <c r="D152" t="s">
        <v>172</v>
      </c>
      <c r="E152">
        <f>HYPERLINK("https://www.britishcycling.org.uk/points?person_id=688349&amp;year=2019&amp;type=national&amp;d=6","Results")</f>
        <v/>
      </c>
    </row>
    <row r="153" spans="1:5">
      <c r="A153" t="s">
        <v>253</v>
      </c>
      <c r="B153" t="s">
        <v>1105</v>
      </c>
      <c r="C153" t="s">
        <v>1106</v>
      </c>
      <c r="D153" t="s">
        <v>168</v>
      </c>
      <c r="E153">
        <f>HYPERLINK("https://www.britishcycling.org.uk/points?person_id=316298&amp;year=2019&amp;type=national&amp;d=6","Results")</f>
        <v/>
      </c>
    </row>
    <row r="154" spans="1:5">
      <c r="A154" t="s">
        <v>463</v>
      </c>
      <c r="B154" t="s">
        <v>1107</v>
      </c>
      <c r="C154" t="s">
        <v>959</v>
      </c>
      <c r="D154" t="s">
        <v>165</v>
      </c>
      <c r="E154">
        <f>HYPERLINK("https://www.britishcycling.org.uk/points?person_id=335770&amp;year=2019&amp;type=national&amp;d=6","Results")</f>
        <v/>
      </c>
    </row>
    <row r="155" spans="1:5">
      <c r="A155" t="s">
        <v>465</v>
      </c>
      <c r="B155" t="s">
        <v>1108</v>
      </c>
      <c r="C155" t="s">
        <v>113</v>
      </c>
      <c r="D155" t="s">
        <v>165</v>
      </c>
      <c r="E155">
        <f>HYPERLINK("https://www.britishcycling.org.uk/points?person_id=402600&amp;year=2019&amp;type=national&amp;d=6","Results")</f>
        <v/>
      </c>
    </row>
    <row r="156" spans="1:5">
      <c r="A156" t="s">
        <v>467</v>
      </c>
      <c r="B156" t="s">
        <v>1109</v>
      </c>
      <c r="C156" t="s">
        <v>61</v>
      </c>
      <c r="D156" t="s">
        <v>165</v>
      </c>
      <c r="E156">
        <f>HYPERLINK("https://www.britishcycling.org.uk/points?person_id=271238&amp;year=2019&amp;type=national&amp;d=6","Results")</f>
        <v/>
      </c>
    </row>
    <row r="157" spans="1:5">
      <c r="A157" t="s">
        <v>470</v>
      </c>
      <c r="B157" t="s">
        <v>1110</v>
      </c>
      <c r="C157" t="s">
        <v>15</v>
      </c>
      <c r="D157" t="s">
        <v>158</v>
      </c>
      <c r="E157">
        <f>HYPERLINK("https://www.britishcycling.org.uk/points?person_id=242211&amp;year=2019&amp;type=national&amp;d=6","Results")</f>
        <v/>
      </c>
    </row>
    <row r="158" spans="1:5">
      <c r="A158" t="s">
        <v>473</v>
      </c>
      <c r="B158" t="s">
        <v>1111</v>
      </c>
      <c r="C158" t="s">
        <v>1010</v>
      </c>
      <c r="D158" t="s">
        <v>158</v>
      </c>
      <c r="E158">
        <f>HYPERLINK("https://www.britishcycling.org.uk/points?person_id=882118&amp;year=2019&amp;type=national&amp;d=6","Results")</f>
        <v/>
      </c>
    </row>
    <row r="159" spans="1:5">
      <c r="A159" t="s">
        <v>246</v>
      </c>
      <c r="B159" t="s">
        <v>1112</v>
      </c>
      <c r="C159" t="s">
        <v>1113</v>
      </c>
      <c r="D159" t="s">
        <v>155</v>
      </c>
      <c r="E159">
        <f>HYPERLINK("https://www.britishcycling.org.uk/points?person_id=276793&amp;year=2019&amp;type=national&amp;d=6","Results")</f>
        <v/>
      </c>
    </row>
    <row r="160" spans="1:5">
      <c r="A160" t="s">
        <v>477</v>
      </c>
      <c r="B160" t="s">
        <v>1114</v>
      </c>
      <c r="C160" t="s">
        <v>1018</v>
      </c>
      <c r="D160" t="s">
        <v>148</v>
      </c>
      <c r="E160">
        <f>HYPERLINK("https://www.britishcycling.org.uk/points?person_id=243978&amp;year=2019&amp;type=national&amp;d=6","Results")</f>
        <v/>
      </c>
    </row>
    <row r="161" spans="1:5">
      <c r="A161" t="s">
        <v>480</v>
      </c>
      <c r="B161" t="s">
        <v>1115</v>
      </c>
      <c r="C161" t="s">
        <v>636</v>
      </c>
      <c r="D161" t="s">
        <v>148</v>
      </c>
      <c r="E161">
        <f>HYPERLINK("https://www.britishcycling.org.uk/points?person_id=688886&amp;year=2019&amp;type=national&amp;d=6","Results")</f>
        <v/>
      </c>
    </row>
    <row r="162" spans="1:5">
      <c r="A162" t="s">
        <v>482</v>
      </c>
      <c r="B162" t="s">
        <v>1116</v>
      </c>
      <c r="C162" t="s">
        <v>80</v>
      </c>
      <c r="D162" t="s">
        <v>145</v>
      </c>
      <c r="E162">
        <f>HYPERLINK("https://www.britishcycling.org.uk/points?person_id=118024&amp;year=2019&amp;type=national&amp;d=6","Results")</f>
        <v/>
      </c>
    </row>
    <row r="163" spans="1:5">
      <c r="A163" t="s">
        <v>484</v>
      </c>
      <c r="B163" t="s">
        <v>1117</v>
      </c>
      <c r="C163" t="s">
        <v>676</v>
      </c>
      <c r="D163" t="s">
        <v>145</v>
      </c>
      <c r="E163">
        <f>HYPERLINK("https://www.britishcycling.org.uk/points?person_id=340198&amp;year=2019&amp;type=national&amp;d=6","Results")</f>
        <v/>
      </c>
    </row>
    <row r="164" spans="1:5">
      <c r="A164" t="s">
        <v>243</v>
      </c>
      <c r="B164" t="s">
        <v>1118</v>
      </c>
      <c r="C164" t="s">
        <v>1119</v>
      </c>
      <c r="D164" t="s">
        <v>141</v>
      </c>
      <c r="E164">
        <f>HYPERLINK("https://www.britishcycling.org.uk/points?person_id=236350&amp;year=2019&amp;type=national&amp;d=6","Results")</f>
        <v/>
      </c>
    </row>
    <row r="165" spans="1:5">
      <c r="A165" t="s">
        <v>235</v>
      </c>
      <c r="B165" t="s">
        <v>1120</v>
      </c>
      <c r="C165" t="s">
        <v>961</v>
      </c>
      <c r="D165" t="s">
        <v>141</v>
      </c>
      <c r="E165">
        <f>HYPERLINK("https://www.britishcycling.org.uk/points?person_id=185229&amp;year=2019&amp;type=national&amp;d=6","Results")</f>
        <v/>
      </c>
    </row>
    <row r="166" spans="1:5">
      <c r="A166" t="s">
        <v>488</v>
      </c>
      <c r="B166" t="s">
        <v>1121</v>
      </c>
      <c r="C166" t="s">
        <v>295</v>
      </c>
      <c r="D166" t="s">
        <v>137</v>
      </c>
      <c r="E166">
        <f>HYPERLINK("https://www.britishcycling.org.uk/points?person_id=268456&amp;year=2019&amp;type=national&amp;d=6","Results")</f>
        <v/>
      </c>
    </row>
    <row r="167" spans="1:5">
      <c r="A167" t="s">
        <v>490</v>
      </c>
      <c r="B167" t="s">
        <v>1122</v>
      </c>
      <c r="C167" t="s">
        <v>7</v>
      </c>
      <c r="D167" t="s">
        <v>137</v>
      </c>
      <c r="E167">
        <f>HYPERLINK("https://www.britishcycling.org.uk/points?person_id=199328&amp;year=2019&amp;type=national&amp;d=6","Results")</f>
        <v/>
      </c>
    </row>
    <row r="168" spans="1:5">
      <c r="A168" t="s">
        <v>231</v>
      </c>
      <c r="B168" t="s">
        <v>1123</v>
      </c>
      <c r="C168" t="s">
        <v>170</v>
      </c>
      <c r="D168" t="s">
        <v>133</v>
      </c>
      <c r="E168">
        <f>HYPERLINK("https://www.britishcycling.org.uk/points?person_id=616875&amp;year=2019&amp;type=national&amp;d=6","Results")</f>
        <v/>
      </c>
    </row>
    <row r="169" spans="1:5">
      <c r="A169" t="s">
        <v>493</v>
      </c>
      <c r="B169" t="s">
        <v>1124</v>
      </c>
      <c r="C169" t="s">
        <v>295</v>
      </c>
      <c r="D169" t="s">
        <v>133</v>
      </c>
      <c r="E169">
        <f>HYPERLINK("https://www.britishcycling.org.uk/points?person_id=256906&amp;year=2019&amp;type=national&amp;d=6","Results")</f>
        <v/>
      </c>
    </row>
    <row r="170" spans="1:5">
      <c r="A170" t="s">
        <v>496</v>
      </c>
      <c r="B170" t="s">
        <v>1125</v>
      </c>
      <c r="C170" t="s">
        <v>1126</v>
      </c>
      <c r="D170" t="s">
        <v>133</v>
      </c>
      <c r="E170">
        <f>HYPERLINK("https://www.britishcycling.org.uk/points?person_id=276792&amp;year=2019&amp;type=national&amp;d=6","Results")</f>
        <v/>
      </c>
    </row>
    <row r="171" spans="1:5">
      <c r="A171" t="s">
        <v>499</v>
      </c>
      <c r="B171" t="s">
        <v>1127</v>
      </c>
      <c r="C171" t="s">
        <v>80</v>
      </c>
      <c r="D171" t="s">
        <v>133</v>
      </c>
      <c r="E171">
        <f>HYPERLINK("https://www.britishcycling.org.uk/points?person_id=181750&amp;year=2019&amp;type=national&amp;d=6","Results")</f>
        <v/>
      </c>
    </row>
    <row r="172" spans="1:5">
      <c r="A172" t="s">
        <v>501</v>
      </c>
      <c r="B172" t="s">
        <v>1128</v>
      </c>
      <c r="C172" t="s">
        <v>472</v>
      </c>
      <c r="D172" t="s">
        <v>130</v>
      </c>
      <c r="E172">
        <f>HYPERLINK("https://www.britishcycling.org.uk/points?person_id=688933&amp;year=2019&amp;type=national&amp;d=6","Results")</f>
        <v/>
      </c>
    </row>
    <row r="173" spans="1:5">
      <c r="A173" t="s">
        <v>227</v>
      </c>
      <c r="B173" t="s">
        <v>1129</v>
      </c>
      <c r="C173" t="s">
        <v>559</v>
      </c>
      <c r="D173" t="s">
        <v>130</v>
      </c>
      <c r="E173">
        <f>HYPERLINK("https://www.britishcycling.org.uk/points?person_id=467460&amp;year=2019&amp;type=national&amp;d=6","Results")</f>
        <v/>
      </c>
    </row>
    <row r="174" spans="1:5">
      <c r="A174" t="s">
        <v>224</v>
      </c>
      <c r="B174" t="s">
        <v>1130</v>
      </c>
      <c r="C174" t="s">
        <v>182</v>
      </c>
      <c r="D174" t="s">
        <v>130</v>
      </c>
      <c r="E174">
        <f>HYPERLINK("https://www.britishcycling.org.uk/points?person_id=177262&amp;year=2019&amp;type=national&amp;d=6","Results")</f>
        <v/>
      </c>
    </row>
    <row r="175" spans="1:5">
      <c r="A175" t="s">
        <v>507</v>
      </c>
      <c r="B175" t="s">
        <v>1131</v>
      </c>
      <c r="C175" t="s">
        <v>796</v>
      </c>
      <c r="D175" t="s">
        <v>127</v>
      </c>
      <c r="E175">
        <f>HYPERLINK("https://www.britishcycling.org.uk/points?person_id=188212&amp;year=2019&amp;type=national&amp;d=6","Results")</f>
        <v/>
      </c>
    </row>
    <row r="176" spans="1:5">
      <c r="A176" t="s">
        <v>509</v>
      </c>
      <c r="B176" t="s">
        <v>1132</v>
      </c>
      <c r="C176" t="s">
        <v>1133</v>
      </c>
      <c r="D176" t="s">
        <v>127</v>
      </c>
      <c r="E176">
        <f>HYPERLINK("https://www.britishcycling.org.uk/points?person_id=219145&amp;year=2019&amp;type=national&amp;d=6","Results")</f>
        <v/>
      </c>
    </row>
    <row r="177" spans="1:5">
      <c r="A177" t="s">
        <v>512</v>
      </c>
      <c r="B177" t="s">
        <v>1134</v>
      </c>
      <c r="C177" t="s">
        <v>167</v>
      </c>
      <c r="D177" t="s">
        <v>123</v>
      </c>
      <c r="E177">
        <f>HYPERLINK("https://www.britishcycling.org.uk/points?person_id=236824&amp;year=2019&amp;type=national&amp;d=6","Results")</f>
        <v/>
      </c>
    </row>
    <row r="178" spans="1:5">
      <c r="A178" t="s">
        <v>515</v>
      </c>
      <c r="B178" t="s">
        <v>1135</v>
      </c>
      <c r="C178" t="s">
        <v>312</v>
      </c>
      <c r="D178" t="s">
        <v>123</v>
      </c>
      <c r="E178">
        <f>HYPERLINK("https://www.britishcycling.org.uk/points?person_id=331289&amp;year=2019&amp;type=national&amp;d=6","Results")</f>
        <v/>
      </c>
    </row>
    <row r="179" spans="1:5">
      <c r="A179" t="s">
        <v>220</v>
      </c>
      <c r="B179" t="s">
        <v>1136</v>
      </c>
      <c r="C179" t="s">
        <v>947</v>
      </c>
      <c r="D179" t="s">
        <v>123</v>
      </c>
      <c r="E179">
        <f>HYPERLINK("https://www.britishcycling.org.uk/points?person_id=174288&amp;year=2019&amp;type=national&amp;d=6","Results")</f>
        <v/>
      </c>
    </row>
    <row r="180" spans="1:5">
      <c r="A180" t="s">
        <v>217</v>
      </c>
      <c r="B180" t="s">
        <v>1137</v>
      </c>
      <c r="C180" t="s">
        <v>339</v>
      </c>
      <c r="D180" t="s">
        <v>123</v>
      </c>
      <c r="E180">
        <f>HYPERLINK("https://www.britishcycling.org.uk/points?person_id=501468&amp;year=2019&amp;type=national&amp;d=6","Results")</f>
        <v/>
      </c>
    </row>
    <row r="181" spans="1:5">
      <c r="A181" t="s">
        <v>519</v>
      </c>
      <c r="B181" t="s">
        <v>1138</v>
      </c>
      <c r="C181" t="s">
        <v>636</v>
      </c>
      <c r="D181" t="s">
        <v>123</v>
      </c>
      <c r="E181">
        <f>HYPERLINK("https://www.britishcycling.org.uk/points?person_id=136905&amp;year=2019&amp;type=national&amp;d=6","Results")</f>
        <v/>
      </c>
    </row>
    <row r="182" spans="1:5">
      <c r="A182" t="s">
        <v>521</v>
      </c>
      <c r="B182" t="s">
        <v>1139</v>
      </c>
      <c r="C182" t="s">
        <v>101</v>
      </c>
      <c r="D182" t="s">
        <v>123</v>
      </c>
      <c r="E182">
        <f>HYPERLINK("https://www.britishcycling.org.uk/points?person_id=400636&amp;year=2019&amp;type=national&amp;d=6","Results")</f>
        <v/>
      </c>
    </row>
    <row r="183" spans="1:5">
      <c r="A183" t="s">
        <v>523</v>
      </c>
      <c r="B183" t="s">
        <v>1140</v>
      </c>
      <c r="C183" t="s">
        <v>461</v>
      </c>
      <c r="D183" t="s">
        <v>123</v>
      </c>
      <c r="E183">
        <f>HYPERLINK("https://www.britishcycling.org.uk/points?person_id=265842&amp;year=2019&amp;type=national&amp;d=6","Results")</f>
        <v/>
      </c>
    </row>
    <row r="184" spans="1:5">
      <c r="A184" t="s">
        <v>213</v>
      </c>
      <c r="B184" t="s">
        <v>1141</v>
      </c>
      <c r="C184" t="s">
        <v>358</v>
      </c>
      <c r="D184" t="s">
        <v>119</v>
      </c>
      <c r="E184">
        <f>HYPERLINK("https://www.britishcycling.org.uk/points?person_id=218765&amp;year=2019&amp;type=national&amp;d=6","Results")</f>
        <v/>
      </c>
    </row>
    <row r="185" spans="1:5">
      <c r="A185" t="s">
        <v>209</v>
      </c>
      <c r="B185" t="s">
        <v>1142</v>
      </c>
      <c r="C185" t="s">
        <v>299</v>
      </c>
      <c r="D185" t="s">
        <v>119</v>
      </c>
      <c r="E185">
        <f>HYPERLINK("https://www.britishcycling.org.uk/points?person_id=116914&amp;year=2019&amp;type=national&amp;d=6","Results")</f>
        <v/>
      </c>
    </row>
    <row r="186" spans="1:5">
      <c r="A186" t="s">
        <v>527</v>
      </c>
      <c r="B186" t="s">
        <v>1143</v>
      </c>
      <c r="C186" t="s">
        <v>814</v>
      </c>
      <c r="D186" t="s">
        <v>119</v>
      </c>
      <c r="E186">
        <f>HYPERLINK("https://www.britishcycling.org.uk/points?person_id=757676&amp;year=2019&amp;type=national&amp;d=6","Results")</f>
        <v/>
      </c>
    </row>
    <row r="187" spans="1:5">
      <c r="A187" t="s">
        <v>529</v>
      </c>
      <c r="B187" t="s">
        <v>1144</v>
      </c>
      <c r="C187" t="s">
        <v>143</v>
      </c>
      <c r="D187" t="s">
        <v>119</v>
      </c>
      <c r="E187">
        <f>HYPERLINK("https://www.britishcycling.org.uk/points?person_id=320148&amp;year=2019&amp;type=national&amp;d=6","Results")</f>
        <v/>
      </c>
    </row>
    <row r="188" spans="1:5">
      <c r="A188" t="s">
        <v>532</v>
      </c>
      <c r="B188" t="s">
        <v>1145</v>
      </c>
      <c r="C188" t="s">
        <v>469</v>
      </c>
      <c r="D188" t="s">
        <v>115</v>
      </c>
      <c r="E188">
        <f>HYPERLINK("https://www.britishcycling.org.uk/points?person_id=851494&amp;year=2019&amp;type=national&amp;d=6","Results")</f>
        <v/>
      </c>
    </row>
    <row r="189" spans="1:5">
      <c r="A189" t="s">
        <v>534</v>
      </c>
      <c r="B189" t="s">
        <v>1146</v>
      </c>
      <c r="C189" t="s">
        <v>926</v>
      </c>
      <c r="D189" t="s">
        <v>115</v>
      </c>
      <c r="E189">
        <f>HYPERLINK("https://www.britishcycling.org.uk/points?person_id=189549&amp;year=2019&amp;type=national&amp;d=6","Results")</f>
        <v/>
      </c>
    </row>
    <row r="190" spans="1:5">
      <c r="A190" t="s">
        <v>536</v>
      </c>
      <c r="B190" t="s">
        <v>1147</v>
      </c>
      <c r="C190" t="s">
        <v>170</v>
      </c>
      <c r="D190" t="s">
        <v>115</v>
      </c>
      <c r="E190">
        <f>HYPERLINK("https://www.britishcycling.org.uk/points?person_id=452104&amp;year=2019&amp;type=national&amp;d=6","Results")</f>
        <v/>
      </c>
    </row>
    <row r="191" spans="1:5">
      <c r="A191" t="s">
        <v>206</v>
      </c>
      <c r="B191" t="s">
        <v>1148</v>
      </c>
      <c r="C191" t="s">
        <v>1010</v>
      </c>
      <c r="D191" t="s">
        <v>115</v>
      </c>
      <c r="E191">
        <f>HYPERLINK("https://www.britishcycling.org.uk/points?person_id=306229&amp;year=2019&amp;type=national&amp;d=6","Results")</f>
        <v/>
      </c>
    </row>
    <row r="192" spans="1:5">
      <c r="A192" t="s">
        <v>539</v>
      </c>
      <c r="B192" t="s">
        <v>1149</v>
      </c>
      <c r="C192" t="s">
        <v>291</v>
      </c>
      <c r="D192" t="s">
        <v>111</v>
      </c>
      <c r="E192">
        <f>HYPERLINK("https://www.britishcycling.org.uk/points?person_id=754809&amp;year=2019&amp;type=national&amp;d=6","Results")</f>
        <v/>
      </c>
    </row>
    <row r="193" spans="1:5">
      <c r="A193" t="s">
        <v>542</v>
      </c>
      <c r="B193" t="s">
        <v>1150</v>
      </c>
      <c r="C193" t="s">
        <v>504</v>
      </c>
      <c r="D193" t="s">
        <v>111</v>
      </c>
      <c r="E193">
        <f>HYPERLINK("https://www.britishcycling.org.uk/points?person_id=553394&amp;year=2019&amp;type=national&amp;d=6","Results")</f>
        <v/>
      </c>
    </row>
    <row r="194" spans="1:5">
      <c r="A194" t="s">
        <v>544</v>
      </c>
      <c r="B194" t="s">
        <v>1151</v>
      </c>
      <c r="C194" t="s">
        <v>420</v>
      </c>
      <c r="D194" t="s">
        <v>107</v>
      </c>
      <c r="E194">
        <f>HYPERLINK("https://www.britishcycling.org.uk/points?person_id=885100&amp;year=2019&amp;type=national&amp;d=6","Results")</f>
        <v/>
      </c>
    </row>
    <row r="195" spans="1:5">
      <c r="A195" t="s">
        <v>546</v>
      </c>
      <c r="B195" t="s">
        <v>1152</v>
      </c>
      <c r="C195" t="s">
        <v>723</v>
      </c>
      <c r="D195" t="s">
        <v>99</v>
      </c>
      <c r="E195">
        <f>HYPERLINK("https://www.britishcycling.org.uk/points?person_id=335729&amp;year=2019&amp;type=national&amp;d=6","Results")</f>
        <v/>
      </c>
    </row>
    <row r="196" spans="1:5">
      <c r="A196" t="s">
        <v>549</v>
      </c>
      <c r="B196" t="s">
        <v>1153</v>
      </c>
      <c r="C196" t="s">
        <v>551</v>
      </c>
      <c r="D196" t="s">
        <v>99</v>
      </c>
      <c r="E196">
        <f>HYPERLINK("https://www.britishcycling.org.uk/points?person_id=324593&amp;year=2019&amp;type=national&amp;d=6","Results")</f>
        <v/>
      </c>
    </row>
    <row r="197" spans="1:5">
      <c r="A197" t="s">
        <v>552</v>
      </c>
      <c r="B197" t="s">
        <v>1154</v>
      </c>
      <c r="C197" t="s">
        <v>287</v>
      </c>
      <c r="D197" t="s">
        <v>99</v>
      </c>
      <c r="E197">
        <f>HYPERLINK("https://www.britishcycling.org.uk/points?person_id=549000&amp;year=2019&amp;type=national&amp;d=6","Results")</f>
        <v/>
      </c>
    </row>
    <row r="198" spans="1:5">
      <c r="A198" t="s">
        <v>555</v>
      </c>
      <c r="B198" t="s">
        <v>1155</v>
      </c>
      <c r="C198" t="s">
        <v>1156</v>
      </c>
      <c r="D198" t="s">
        <v>96</v>
      </c>
      <c r="E198">
        <f>HYPERLINK("https://www.britishcycling.org.uk/points?person_id=669702&amp;year=2019&amp;type=national&amp;d=6","Results")</f>
        <v/>
      </c>
    </row>
    <row r="199" spans="1:5">
      <c r="A199" t="s">
        <v>557</v>
      </c>
      <c r="B199" t="s">
        <v>1157</v>
      </c>
      <c r="C199" t="s">
        <v>837</v>
      </c>
      <c r="D199" t="s">
        <v>96</v>
      </c>
      <c r="E199">
        <f>HYPERLINK("https://www.britishcycling.org.uk/points?person_id=534618&amp;year=2019&amp;type=national&amp;d=6","Results")</f>
        <v/>
      </c>
    </row>
    <row r="200" spans="1:5">
      <c r="A200" t="s">
        <v>560</v>
      </c>
      <c r="B200" t="s">
        <v>1158</v>
      </c>
      <c r="C200" t="s">
        <v>212</v>
      </c>
      <c r="D200" t="s">
        <v>96</v>
      </c>
      <c r="E200">
        <f>HYPERLINK("https://www.britishcycling.org.uk/points?person_id=185962&amp;year=2019&amp;type=national&amp;d=6","Results")</f>
        <v/>
      </c>
    </row>
    <row r="201" spans="1:5">
      <c r="A201" t="s">
        <v>202</v>
      </c>
      <c r="B201" t="s">
        <v>1159</v>
      </c>
      <c r="C201" t="s">
        <v>1160</v>
      </c>
      <c r="D201" t="s">
        <v>89</v>
      </c>
      <c r="E201">
        <f>HYPERLINK("https://www.britishcycling.org.uk/points?person_id=705948&amp;year=2019&amp;type=national&amp;d=6","Results")</f>
        <v/>
      </c>
    </row>
    <row r="202" spans="1:5">
      <c r="A202" t="s">
        <v>563</v>
      </c>
      <c r="B202" t="s">
        <v>1161</v>
      </c>
      <c r="C202" t="s">
        <v>7</v>
      </c>
      <c r="D202" t="s">
        <v>89</v>
      </c>
      <c r="E202">
        <f>HYPERLINK("https://www.britishcycling.org.uk/points?person_id=273802&amp;year=2019&amp;type=national&amp;d=6","Results")</f>
        <v/>
      </c>
    </row>
    <row r="203" spans="1:5">
      <c r="A203" t="s">
        <v>565</v>
      </c>
      <c r="B203" t="s">
        <v>1162</v>
      </c>
      <c r="C203" t="s">
        <v>315</v>
      </c>
      <c r="D203" t="s">
        <v>89</v>
      </c>
      <c r="E203">
        <f>HYPERLINK("https://www.britishcycling.org.uk/points?person_id=287098&amp;year=2019&amp;type=national&amp;d=6","Results")</f>
        <v/>
      </c>
    </row>
    <row r="204" spans="1:5">
      <c r="A204" t="s">
        <v>568</v>
      </c>
      <c r="B204" t="s">
        <v>1163</v>
      </c>
      <c r="C204" t="s">
        <v>170</v>
      </c>
      <c r="D204" t="s">
        <v>89</v>
      </c>
      <c r="E204">
        <f>HYPERLINK("https://www.britishcycling.org.uk/points?person_id=380886&amp;year=2019&amp;type=national&amp;d=6","Results")</f>
        <v/>
      </c>
    </row>
    <row r="205" spans="1:5">
      <c r="A205" t="s">
        <v>195</v>
      </c>
      <c r="B205" t="s">
        <v>1164</v>
      </c>
      <c r="C205" t="s">
        <v>551</v>
      </c>
      <c r="D205" t="s">
        <v>89</v>
      </c>
      <c r="E205">
        <f>HYPERLINK("https://www.britishcycling.org.uk/points?person_id=534216&amp;year=2019&amp;type=national&amp;d=6","Results")</f>
        <v/>
      </c>
    </row>
    <row r="206" spans="1:5">
      <c r="A206" t="s">
        <v>571</v>
      </c>
      <c r="B206" t="s">
        <v>1165</v>
      </c>
      <c r="C206" t="s">
        <v>847</v>
      </c>
      <c r="D206" t="s">
        <v>85</v>
      </c>
      <c r="E206">
        <f>HYPERLINK("https://www.britishcycling.org.uk/points?person_id=772296&amp;year=2019&amp;type=national&amp;d=6","Results")</f>
        <v/>
      </c>
    </row>
    <row r="207" spans="1:5">
      <c r="A207" t="s">
        <v>573</v>
      </c>
      <c r="B207" t="s">
        <v>1166</v>
      </c>
      <c r="C207" t="s">
        <v>331</v>
      </c>
      <c r="D207" t="s">
        <v>85</v>
      </c>
      <c r="E207">
        <f>HYPERLINK("https://www.britishcycling.org.uk/points?person_id=579668&amp;year=2019&amp;type=national&amp;d=6","Results")</f>
        <v/>
      </c>
    </row>
    <row r="208" spans="1:5">
      <c r="A208" t="s">
        <v>576</v>
      </c>
      <c r="B208" t="s">
        <v>1167</v>
      </c>
      <c r="C208" t="s">
        <v>167</v>
      </c>
      <c r="D208" t="s">
        <v>85</v>
      </c>
      <c r="E208">
        <f>HYPERLINK("https://www.britishcycling.org.uk/points?person_id=233246&amp;year=2019&amp;type=national&amp;d=6","Results")</f>
        <v/>
      </c>
    </row>
    <row r="209" spans="1:5">
      <c r="A209" t="s">
        <v>191</v>
      </c>
      <c r="B209" t="s">
        <v>1168</v>
      </c>
      <c r="C209" t="s">
        <v>139</v>
      </c>
      <c r="D209" t="s">
        <v>85</v>
      </c>
      <c r="E209">
        <f>HYPERLINK("https://www.britishcycling.org.uk/points?person_id=517822&amp;year=2019&amp;type=national&amp;d=6","Results")</f>
        <v/>
      </c>
    </row>
    <row r="210" spans="1:5">
      <c r="A210" t="s">
        <v>580</v>
      </c>
      <c r="B210" t="s">
        <v>1169</v>
      </c>
      <c r="C210" t="s">
        <v>504</v>
      </c>
      <c r="D210" t="s">
        <v>85</v>
      </c>
      <c r="E210">
        <f>HYPERLINK("https://www.britishcycling.org.uk/points?person_id=549586&amp;year=2019&amp;type=national&amp;d=6","Results")</f>
        <v/>
      </c>
    </row>
    <row r="211" spans="1:5">
      <c r="A211" t="s">
        <v>582</v>
      </c>
      <c r="B211" t="s">
        <v>1170</v>
      </c>
      <c r="C211" t="s">
        <v>331</v>
      </c>
      <c r="D211" t="s">
        <v>85</v>
      </c>
      <c r="E211">
        <f>HYPERLINK("https://www.britishcycling.org.uk/points?person_id=295001&amp;year=2019&amp;type=national&amp;d=6","Results")</f>
        <v/>
      </c>
    </row>
    <row r="212" spans="1:5">
      <c r="A212" t="s">
        <v>585</v>
      </c>
      <c r="B212" t="s">
        <v>1171</v>
      </c>
      <c r="C212" t="s">
        <v>121</v>
      </c>
      <c r="D212" t="s">
        <v>85</v>
      </c>
      <c r="E212">
        <f>HYPERLINK("https://www.britishcycling.org.uk/points?person_id=752672&amp;year=2019&amp;type=national&amp;d=6","Results")</f>
        <v/>
      </c>
    </row>
    <row r="213" spans="1:5">
      <c r="A213" t="s">
        <v>587</v>
      </c>
      <c r="B213" t="s">
        <v>1172</v>
      </c>
      <c r="C213" t="s">
        <v>291</v>
      </c>
      <c r="D213" t="s">
        <v>82</v>
      </c>
      <c r="E213">
        <f>HYPERLINK("https://www.britishcycling.org.uk/points?person_id=543545&amp;year=2019&amp;type=national&amp;d=6","Results")</f>
        <v/>
      </c>
    </row>
    <row r="214" spans="1:5">
      <c r="A214" t="s">
        <v>590</v>
      </c>
      <c r="B214" t="s">
        <v>1173</v>
      </c>
      <c r="C214" t="s">
        <v>230</v>
      </c>
      <c r="D214" t="s">
        <v>82</v>
      </c>
      <c r="E214">
        <f>HYPERLINK("https://www.britishcycling.org.uk/points?person_id=509700&amp;year=2019&amp;type=national&amp;d=6","Results")</f>
        <v/>
      </c>
    </row>
    <row r="215" spans="1:5">
      <c r="A215" t="s">
        <v>593</v>
      </c>
      <c r="B215" t="s">
        <v>1174</v>
      </c>
      <c r="C215" t="s">
        <v>45</v>
      </c>
      <c r="D215" t="s">
        <v>82</v>
      </c>
      <c r="E215">
        <f>HYPERLINK("https://www.britishcycling.org.uk/points?person_id=302272&amp;year=2019&amp;type=national&amp;d=6","Results")</f>
        <v/>
      </c>
    </row>
    <row r="216" spans="1:5">
      <c r="A216" t="s">
        <v>187</v>
      </c>
      <c r="B216" t="s">
        <v>1175</v>
      </c>
      <c r="C216" t="s">
        <v>346</v>
      </c>
      <c r="D216" t="s">
        <v>82</v>
      </c>
      <c r="E216">
        <f>HYPERLINK("https://www.britishcycling.org.uk/points?person_id=621093&amp;year=2019&amp;type=national&amp;d=6","Results")</f>
        <v/>
      </c>
    </row>
    <row r="217" spans="1:5">
      <c r="A217" t="s">
        <v>183</v>
      </c>
      <c r="B217" t="s">
        <v>1176</v>
      </c>
      <c r="C217" t="s">
        <v>386</v>
      </c>
      <c r="D217" t="s">
        <v>82</v>
      </c>
      <c r="E217">
        <f>HYPERLINK("https://www.britishcycling.org.uk/points?person_id=826419&amp;year=2019&amp;type=national&amp;d=6","Results")</f>
        <v/>
      </c>
    </row>
    <row r="218" spans="1:5">
      <c r="A218" t="s">
        <v>598</v>
      </c>
      <c r="B218" t="s">
        <v>1177</v>
      </c>
      <c r="C218" t="s">
        <v>1178</v>
      </c>
      <c r="D218" t="s">
        <v>78</v>
      </c>
      <c r="E218">
        <f>HYPERLINK("https://www.britishcycling.org.uk/points?person_id=382573&amp;year=2019&amp;type=national&amp;d=6","Results")</f>
        <v/>
      </c>
    </row>
    <row r="219" spans="1:5">
      <c r="A219" t="s">
        <v>600</v>
      </c>
      <c r="B219" t="s">
        <v>1179</v>
      </c>
      <c r="C219" t="s">
        <v>407</v>
      </c>
      <c r="D219" t="s">
        <v>78</v>
      </c>
      <c r="E219">
        <f>HYPERLINK("https://www.britishcycling.org.uk/points?person_id=325731&amp;year=2019&amp;type=national&amp;d=6","Results")</f>
        <v/>
      </c>
    </row>
    <row r="220" spans="1:5">
      <c r="A220" t="s">
        <v>602</v>
      </c>
      <c r="B220" t="s">
        <v>1180</v>
      </c>
      <c r="C220" t="s">
        <v>312</v>
      </c>
      <c r="D220" t="s">
        <v>78</v>
      </c>
      <c r="E220">
        <f>HYPERLINK("https://www.britishcycling.org.uk/points?person_id=841031&amp;year=2019&amp;type=national&amp;d=6","Results")</f>
        <v/>
      </c>
    </row>
    <row r="221" spans="1:5">
      <c r="A221" t="s">
        <v>604</v>
      </c>
      <c r="B221" t="s">
        <v>1181</v>
      </c>
      <c r="C221" t="s">
        <v>592</v>
      </c>
      <c r="D221" t="s">
        <v>78</v>
      </c>
      <c r="E221">
        <f>HYPERLINK("https://www.britishcycling.org.uk/points?person_id=750300&amp;year=2019&amp;type=national&amp;d=6","Results")</f>
        <v/>
      </c>
    </row>
    <row r="222" spans="1:5">
      <c r="A222" t="s">
        <v>606</v>
      </c>
      <c r="B222" t="s">
        <v>1182</v>
      </c>
      <c r="C222" t="s">
        <v>376</v>
      </c>
      <c r="D222" t="s">
        <v>78</v>
      </c>
      <c r="E222">
        <f>HYPERLINK("https://www.britishcycling.org.uk/points?person_id=650342&amp;year=2019&amp;type=national&amp;d=6","Results")</f>
        <v/>
      </c>
    </row>
    <row r="223" spans="1:5">
      <c r="A223" t="s">
        <v>609</v>
      </c>
      <c r="B223" t="s">
        <v>1183</v>
      </c>
      <c r="C223" t="s">
        <v>125</v>
      </c>
      <c r="D223" t="s">
        <v>75</v>
      </c>
      <c r="E223">
        <f>HYPERLINK("https://www.britishcycling.org.uk/points?person_id=523451&amp;year=2019&amp;type=national&amp;d=6","Results")</f>
        <v/>
      </c>
    </row>
    <row r="224" spans="1:5">
      <c r="A224" t="s">
        <v>611</v>
      </c>
      <c r="B224" t="s">
        <v>1184</v>
      </c>
      <c r="C224" t="s">
        <v>392</v>
      </c>
      <c r="D224" t="s">
        <v>75</v>
      </c>
      <c r="E224">
        <f>HYPERLINK("https://www.britishcycling.org.uk/points?person_id=349242&amp;year=2019&amp;type=national&amp;d=6","Results")</f>
        <v/>
      </c>
    </row>
    <row r="225" spans="1:5">
      <c r="A225" t="s">
        <v>613</v>
      </c>
      <c r="B225" t="s">
        <v>1185</v>
      </c>
      <c r="C225" t="s">
        <v>1186</v>
      </c>
      <c r="D225" t="s">
        <v>75</v>
      </c>
      <c r="E225">
        <f>HYPERLINK("https://www.britishcycling.org.uk/points?person_id=422592&amp;year=2019&amp;type=national&amp;d=6","Results")</f>
        <v/>
      </c>
    </row>
    <row r="226" spans="1:5">
      <c r="A226" t="s">
        <v>616</v>
      </c>
      <c r="B226" t="s">
        <v>1187</v>
      </c>
      <c r="C226" t="s">
        <v>335</v>
      </c>
      <c r="D226" t="s">
        <v>71</v>
      </c>
      <c r="E226">
        <f>HYPERLINK("https://www.britishcycling.org.uk/points?person_id=620015&amp;year=2019&amp;type=national&amp;d=6","Results")</f>
        <v/>
      </c>
    </row>
    <row r="227" spans="1:5">
      <c r="A227" t="s">
        <v>179</v>
      </c>
      <c r="B227" t="s">
        <v>1188</v>
      </c>
      <c r="C227" t="s">
        <v>312</v>
      </c>
      <c r="D227" t="s">
        <v>71</v>
      </c>
      <c r="E227">
        <f>HYPERLINK("https://www.britishcycling.org.uk/points?person_id=533464&amp;year=2019&amp;type=national&amp;d=6","Results")</f>
        <v/>
      </c>
    </row>
    <row r="228" spans="1:5">
      <c r="A228" t="s">
        <v>619</v>
      </c>
      <c r="B228" t="s">
        <v>1189</v>
      </c>
      <c r="C228" t="s">
        <v>1160</v>
      </c>
      <c r="D228" t="s">
        <v>71</v>
      </c>
      <c r="E228">
        <f>HYPERLINK("https://www.britishcycling.org.uk/points?person_id=572130&amp;year=2019&amp;type=national&amp;d=6","Results")</f>
        <v/>
      </c>
    </row>
    <row r="229" spans="1:5">
      <c r="A229" t="s">
        <v>621</v>
      </c>
      <c r="B229" t="s">
        <v>1190</v>
      </c>
      <c r="C229" t="s">
        <v>299</v>
      </c>
      <c r="D229" t="s">
        <v>71</v>
      </c>
      <c r="E229">
        <f>HYPERLINK("https://www.britishcycling.org.uk/points?person_id=180217&amp;year=2019&amp;type=national&amp;d=6","Results")</f>
        <v/>
      </c>
    </row>
    <row r="230" spans="1:5">
      <c r="A230" t="s">
        <v>623</v>
      </c>
      <c r="B230" t="s">
        <v>1191</v>
      </c>
      <c r="C230" t="s"/>
      <c r="D230" t="s">
        <v>67</v>
      </c>
      <c r="E230">
        <f>HYPERLINK("https://www.britishcycling.org.uk/points?person_id=941023&amp;year=2019&amp;type=national&amp;d=6","Results")</f>
        <v/>
      </c>
    </row>
    <row r="231" spans="1:5">
      <c r="A231" t="s">
        <v>625</v>
      </c>
      <c r="B231" t="s">
        <v>1192</v>
      </c>
      <c r="C231" t="s">
        <v>163</v>
      </c>
      <c r="D231" t="s">
        <v>67</v>
      </c>
      <c r="E231">
        <f>HYPERLINK("https://www.britishcycling.org.uk/points?person_id=570858&amp;year=2019&amp;type=national&amp;d=6","Results")</f>
        <v/>
      </c>
    </row>
    <row r="232" spans="1:5">
      <c r="A232" t="s">
        <v>175</v>
      </c>
      <c r="B232" t="s">
        <v>1193</v>
      </c>
      <c r="C232" t="s">
        <v>567</v>
      </c>
      <c r="D232" t="s">
        <v>63</v>
      </c>
      <c r="E232">
        <f>HYPERLINK("https://www.britishcycling.org.uk/points?person_id=538172&amp;year=2019&amp;type=national&amp;d=6","Results")</f>
        <v/>
      </c>
    </row>
    <row r="233" spans="1:5">
      <c r="A233" t="s">
        <v>171</v>
      </c>
      <c r="B233" t="s">
        <v>1194</v>
      </c>
      <c r="C233" t="s">
        <v>1195</v>
      </c>
      <c r="D233" t="s">
        <v>63</v>
      </c>
      <c r="E233">
        <f>HYPERLINK("https://www.britishcycling.org.uk/points?person_id=501886&amp;year=2019&amp;type=national&amp;d=6","Results")</f>
        <v/>
      </c>
    </row>
    <row r="234" spans="1:5">
      <c r="A234" t="s">
        <v>164</v>
      </c>
      <c r="B234" t="s">
        <v>1196</v>
      </c>
      <c r="C234" t="s">
        <v>339</v>
      </c>
      <c r="D234" t="s">
        <v>63</v>
      </c>
      <c r="E234">
        <f>HYPERLINK("https://www.britishcycling.org.uk/points?person_id=538940&amp;year=2019&amp;type=national&amp;d=6","Results")</f>
        <v/>
      </c>
    </row>
    <row r="235" spans="1:5">
      <c r="A235" t="s">
        <v>630</v>
      </c>
      <c r="B235" t="s">
        <v>1197</v>
      </c>
      <c r="C235" t="s"/>
      <c r="D235" t="s">
        <v>63</v>
      </c>
      <c r="E235">
        <f>HYPERLINK("https://www.britishcycling.org.uk/points?person_id=753387&amp;year=2019&amp;type=national&amp;d=6","Results")</f>
        <v/>
      </c>
    </row>
    <row r="236" spans="1:5">
      <c r="A236" t="s">
        <v>632</v>
      </c>
      <c r="B236" t="s">
        <v>1198</v>
      </c>
      <c r="C236" t="s">
        <v>45</v>
      </c>
      <c r="D236" t="s">
        <v>63</v>
      </c>
      <c r="E236">
        <f>HYPERLINK("https://www.britishcycling.org.uk/points?person_id=377987&amp;year=2019&amp;type=national&amp;d=6","Results")</f>
        <v/>
      </c>
    </row>
    <row r="237" spans="1:5">
      <c r="A237" t="s">
        <v>634</v>
      </c>
      <c r="B237" t="s">
        <v>1199</v>
      </c>
      <c r="C237" t="s">
        <v>315</v>
      </c>
      <c r="D237" t="s">
        <v>63</v>
      </c>
      <c r="E237">
        <f>HYPERLINK("https://www.britishcycling.org.uk/points?person_id=629525&amp;year=2019&amp;type=national&amp;d=6","Results")</f>
        <v/>
      </c>
    </row>
    <row r="238" spans="1:5">
      <c r="A238" t="s">
        <v>637</v>
      </c>
      <c r="B238" t="s">
        <v>1200</v>
      </c>
      <c r="C238" t="s">
        <v>167</v>
      </c>
      <c r="D238" t="s">
        <v>59</v>
      </c>
      <c r="E238">
        <f>HYPERLINK("https://www.britishcycling.org.uk/points?person_id=452606&amp;year=2019&amp;type=national&amp;d=6","Results")</f>
        <v/>
      </c>
    </row>
    <row r="239" spans="1:5">
      <c r="A239" t="s">
        <v>639</v>
      </c>
      <c r="B239" t="s">
        <v>1201</v>
      </c>
      <c r="C239" t="s">
        <v>295</v>
      </c>
      <c r="D239" t="s">
        <v>59</v>
      </c>
      <c r="E239">
        <f>HYPERLINK("https://www.britishcycling.org.uk/points?person_id=417594&amp;year=2019&amp;type=national&amp;d=6","Results")</f>
        <v/>
      </c>
    </row>
    <row r="240" spans="1:5">
      <c r="A240" t="s">
        <v>641</v>
      </c>
      <c r="B240" t="s">
        <v>1202</v>
      </c>
      <c r="C240" t="s">
        <v>139</v>
      </c>
      <c r="D240" t="s">
        <v>59</v>
      </c>
      <c r="E240">
        <f>HYPERLINK("https://www.britishcycling.org.uk/points?person_id=263221&amp;year=2019&amp;type=national&amp;d=6","Results")</f>
        <v/>
      </c>
    </row>
    <row r="241" spans="1:5">
      <c r="A241" t="s">
        <v>644</v>
      </c>
      <c r="B241" t="s">
        <v>1203</v>
      </c>
      <c r="C241" t="s">
        <v>827</v>
      </c>
      <c r="D241" t="s">
        <v>59</v>
      </c>
      <c r="E241">
        <f>HYPERLINK("https://www.britishcycling.org.uk/points?person_id=272503&amp;year=2019&amp;type=national&amp;d=6","Results")</f>
        <v/>
      </c>
    </row>
    <row r="242" spans="1:5">
      <c r="A242" t="s">
        <v>647</v>
      </c>
      <c r="B242" t="s">
        <v>1204</v>
      </c>
      <c r="C242" t="s">
        <v>212</v>
      </c>
      <c r="D242" t="s">
        <v>55</v>
      </c>
      <c r="E242">
        <f>HYPERLINK("https://www.britishcycling.org.uk/points?person_id=403618&amp;year=2019&amp;type=national&amp;d=6","Results")</f>
        <v/>
      </c>
    </row>
    <row r="243" spans="1:5">
      <c r="A243" t="s">
        <v>649</v>
      </c>
      <c r="B243" t="s">
        <v>1205</v>
      </c>
      <c r="C243" t="s">
        <v>287</v>
      </c>
      <c r="D243" t="s">
        <v>55</v>
      </c>
      <c r="E243">
        <f>HYPERLINK("https://www.britishcycling.org.uk/points?person_id=518049&amp;year=2019&amp;type=national&amp;d=6","Results")</f>
        <v/>
      </c>
    </row>
    <row r="244" spans="1:5">
      <c r="A244" t="s">
        <v>651</v>
      </c>
      <c r="B244" t="s">
        <v>1206</v>
      </c>
      <c r="C244" t="s">
        <v>113</v>
      </c>
      <c r="D244" t="s">
        <v>55</v>
      </c>
      <c r="E244">
        <f>HYPERLINK("https://www.britishcycling.org.uk/points?person_id=819553&amp;year=2019&amp;type=national&amp;d=6","Results")</f>
        <v/>
      </c>
    </row>
    <row r="245" spans="1:5">
      <c r="A245" t="s">
        <v>654</v>
      </c>
      <c r="B245" t="s">
        <v>1207</v>
      </c>
      <c r="C245" t="s">
        <v>139</v>
      </c>
      <c r="D245" t="s">
        <v>55</v>
      </c>
      <c r="E245">
        <f>HYPERLINK("https://www.britishcycling.org.uk/points?person_id=732078&amp;year=2019&amp;type=national&amp;d=6","Results")</f>
        <v/>
      </c>
    </row>
    <row r="246" spans="1:5">
      <c r="A246" t="s">
        <v>160</v>
      </c>
      <c r="B246" t="s">
        <v>1208</v>
      </c>
      <c r="C246" t="s">
        <v>182</v>
      </c>
      <c r="D246" t="s">
        <v>51</v>
      </c>
      <c r="E246">
        <f>HYPERLINK("https://www.britishcycling.org.uk/points?person_id=336269&amp;year=2019&amp;type=national&amp;d=6","Results")</f>
        <v/>
      </c>
    </row>
    <row r="247" spans="1:5">
      <c r="A247" t="s">
        <v>154</v>
      </c>
      <c r="B247" t="s">
        <v>1209</v>
      </c>
      <c r="C247" t="s">
        <v>182</v>
      </c>
      <c r="D247" t="s">
        <v>51</v>
      </c>
      <c r="E247">
        <f>HYPERLINK("https://www.britishcycling.org.uk/points?person_id=277475&amp;year=2019&amp;type=national&amp;d=6","Results")</f>
        <v/>
      </c>
    </row>
    <row r="248" spans="1:5">
      <c r="A248" t="s">
        <v>659</v>
      </c>
      <c r="B248" t="s">
        <v>1210</v>
      </c>
      <c r="C248" t="s">
        <v>1211</v>
      </c>
      <c r="D248" t="s">
        <v>51</v>
      </c>
      <c r="E248">
        <f>HYPERLINK("https://www.britishcycling.org.uk/points?person_id=197905&amp;year=2019&amp;type=national&amp;d=6","Results")</f>
        <v/>
      </c>
    </row>
    <row r="249" spans="1:5">
      <c r="A249" t="s">
        <v>661</v>
      </c>
      <c r="B249" t="s">
        <v>1212</v>
      </c>
      <c r="C249" t="s">
        <v>170</v>
      </c>
      <c r="D249" t="s">
        <v>51</v>
      </c>
      <c r="E249">
        <f>HYPERLINK("https://www.britishcycling.org.uk/points?person_id=291068&amp;year=2019&amp;type=national&amp;d=6","Results")</f>
        <v/>
      </c>
    </row>
    <row r="250" spans="1:5">
      <c r="A250" t="s">
        <v>664</v>
      </c>
      <c r="B250" t="s">
        <v>1000</v>
      </c>
      <c r="C250" t="s">
        <v>1213</v>
      </c>
      <c r="D250" t="s">
        <v>47</v>
      </c>
      <c r="E250">
        <f>HYPERLINK("https://www.britishcycling.org.uk/points?person_id=224556&amp;year=2019&amp;type=national&amp;d=6","Results")</f>
        <v/>
      </c>
    </row>
    <row r="251" spans="1:5">
      <c r="A251" t="s">
        <v>150</v>
      </c>
      <c r="B251" t="s">
        <v>1214</v>
      </c>
      <c r="C251" t="s">
        <v>961</v>
      </c>
      <c r="D251" t="s">
        <v>47</v>
      </c>
      <c r="E251">
        <f>HYPERLINK("https://www.britishcycling.org.uk/points?person_id=517151&amp;year=2019&amp;type=national&amp;d=6","Results")</f>
        <v/>
      </c>
    </row>
    <row r="252" spans="1:5">
      <c r="A252" t="s">
        <v>147</v>
      </c>
      <c r="B252" t="s">
        <v>1215</v>
      </c>
      <c r="C252" t="s">
        <v>469</v>
      </c>
      <c r="D252" t="s">
        <v>47</v>
      </c>
      <c r="E252">
        <f>HYPERLINK("https://www.britishcycling.org.uk/points?person_id=256108&amp;year=2019&amp;type=national&amp;d=6","Results")</f>
        <v/>
      </c>
    </row>
    <row r="253" spans="1:5">
      <c r="A253" t="s">
        <v>668</v>
      </c>
      <c r="B253" t="s">
        <v>1216</v>
      </c>
      <c r="C253" t="s">
        <v>1217</v>
      </c>
      <c r="D253" t="s">
        <v>47</v>
      </c>
      <c r="E253">
        <f>HYPERLINK("https://www.britishcycling.org.uk/points?person_id=209193&amp;year=2019&amp;type=national&amp;d=6","Results")</f>
        <v/>
      </c>
    </row>
    <row r="254" spans="1:5">
      <c r="A254" t="s">
        <v>144</v>
      </c>
      <c r="B254" t="s">
        <v>1218</v>
      </c>
      <c r="C254" t="s">
        <v>355</v>
      </c>
      <c r="D254" t="s">
        <v>47</v>
      </c>
      <c r="E254">
        <f>HYPERLINK("https://www.britishcycling.org.uk/points?person_id=240969&amp;year=2019&amp;type=national&amp;d=6","Results")</f>
        <v/>
      </c>
    </row>
    <row r="255" spans="1:5">
      <c r="A255" t="s">
        <v>672</v>
      </c>
      <c r="B255" t="s">
        <v>1219</v>
      </c>
      <c r="C255" t="s">
        <v>392</v>
      </c>
      <c r="D255" t="s">
        <v>47</v>
      </c>
      <c r="E255">
        <f>HYPERLINK("https://www.britishcycling.org.uk/points?person_id=943097&amp;year=2019&amp;type=national&amp;d=6","Results")</f>
        <v/>
      </c>
    </row>
    <row r="256" spans="1:5">
      <c r="A256" t="s">
        <v>674</v>
      </c>
      <c r="B256" t="s">
        <v>1220</v>
      </c>
      <c r="C256" t="s">
        <v>230</v>
      </c>
      <c r="D256" t="s">
        <v>47</v>
      </c>
      <c r="E256">
        <f>HYPERLINK("https://www.britishcycling.org.uk/points?person_id=293520&amp;year=2019&amp;type=national&amp;d=6","Results")</f>
        <v/>
      </c>
    </row>
    <row r="257" spans="1:5">
      <c r="A257" t="s">
        <v>677</v>
      </c>
      <c r="B257" t="s">
        <v>1221</v>
      </c>
      <c r="C257" t="s">
        <v>592</v>
      </c>
      <c r="D257" t="s">
        <v>43</v>
      </c>
      <c r="E257">
        <f>HYPERLINK("https://www.britishcycling.org.uk/points?person_id=632651&amp;year=2019&amp;type=national&amp;d=6","Results")</f>
        <v/>
      </c>
    </row>
    <row r="258" spans="1:5">
      <c r="A258" t="s">
        <v>679</v>
      </c>
      <c r="B258" t="s">
        <v>1222</v>
      </c>
      <c r="C258" t="s">
        <v>299</v>
      </c>
      <c r="D258" t="s">
        <v>43</v>
      </c>
      <c r="E258">
        <f>HYPERLINK("https://www.britishcycling.org.uk/points?person_id=449108&amp;year=2019&amp;type=national&amp;d=6","Results")</f>
        <v/>
      </c>
    </row>
    <row r="259" spans="1:5">
      <c r="A259" t="s">
        <v>140</v>
      </c>
      <c r="B259" t="s">
        <v>1223</v>
      </c>
      <c r="C259" t="s">
        <v>827</v>
      </c>
      <c r="D259" t="s">
        <v>43</v>
      </c>
      <c r="E259">
        <f>HYPERLINK("https://www.britishcycling.org.uk/points?person_id=705913&amp;year=2019&amp;type=national&amp;d=6","Results")</f>
        <v/>
      </c>
    </row>
    <row r="260" spans="1:5">
      <c r="A260" t="s">
        <v>682</v>
      </c>
      <c r="B260" t="s">
        <v>1224</v>
      </c>
      <c r="C260" t="s">
        <v>312</v>
      </c>
      <c r="D260" t="s">
        <v>43</v>
      </c>
      <c r="E260">
        <f>HYPERLINK("https://www.britishcycling.org.uk/points?person_id=614243&amp;year=2019&amp;type=national&amp;d=6","Results")</f>
        <v/>
      </c>
    </row>
    <row r="261" spans="1:5">
      <c r="A261" t="s">
        <v>136</v>
      </c>
      <c r="B261" t="s">
        <v>1225</v>
      </c>
      <c r="C261" t="s">
        <v>312</v>
      </c>
      <c r="D261" t="s">
        <v>43</v>
      </c>
      <c r="E261">
        <f>HYPERLINK("https://www.britishcycling.org.uk/points?person_id=888914&amp;year=2019&amp;type=national&amp;d=6","Results")</f>
        <v/>
      </c>
    </row>
    <row r="262" spans="1:5">
      <c r="A262" t="s">
        <v>685</v>
      </c>
      <c r="B262" t="s">
        <v>1226</v>
      </c>
      <c r="C262" t="s">
        <v>15</v>
      </c>
      <c r="D262" t="s">
        <v>39</v>
      </c>
      <c r="E262">
        <f>HYPERLINK("https://www.britishcycling.org.uk/points?person_id=445493&amp;year=2019&amp;type=national&amp;d=6","Results")</f>
        <v/>
      </c>
    </row>
    <row r="263" spans="1:5">
      <c r="A263" t="s">
        <v>687</v>
      </c>
      <c r="B263" t="s">
        <v>1227</v>
      </c>
      <c r="C263" t="s">
        <v>113</v>
      </c>
      <c r="D263" t="s">
        <v>39</v>
      </c>
      <c r="E263">
        <f>HYPERLINK("https://www.britishcycling.org.uk/points?person_id=831633&amp;year=2019&amp;type=national&amp;d=6","Results")</f>
        <v/>
      </c>
    </row>
    <row r="264" spans="1:5">
      <c r="A264" t="s">
        <v>689</v>
      </c>
      <c r="B264" t="s">
        <v>1228</v>
      </c>
      <c r="C264" t="s">
        <v>961</v>
      </c>
      <c r="D264" t="s">
        <v>35</v>
      </c>
      <c r="E264">
        <f>HYPERLINK("https://www.britishcycling.org.uk/points?person_id=274088&amp;year=2019&amp;type=national&amp;d=6","Results")</f>
        <v/>
      </c>
    </row>
    <row r="265" spans="1:5">
      <c r="A265" t="s">
        <v>132</v>
      </c>
      <c r="B265" t="s">
        <v>1229</v>
      </c>
      <c r="C265" t="s">
        <v>1010</v>
      </c>
      <c r="D265" t="s">
        <v>35</v>
      </c>
      <c r="E265">
        <f>HYPERLINK("https://www.britishcycling.org.uk/points?person_id=396869&amp;year=2019&amp;type=national&amp;d=6","Results")</f>
        <v/>
      </c>
    </row>
    <row r="266" spans="1:5">
      <c r="A266" t="s">
        <v>694</v>
      </c>
      <c r="B266" t="s">
        <v>1230</v>
      </c>
      <c r="C266" t="s">
        <v>379</v>
      </c>
      <c r="D266" t="s">
        <v>35</v>
      </c>
      <c r="E266">
        <f>HYPERLINK("https://www.britishcycling.org.uk/points?person_id=617065&amp;year=2019&amp;type=national&amp;d=6","Results")</f>
        <v/>
      </c>
    </row>
    <row r="267" spans="1:5">
      <c r="A267" t="s">
        <v>697</v>
      </c>
      <c r="B267" t="s">
        <v>1231</v>
      </c>
      <c r="C267" t="s">
        <v>961</v>
      </c>
      <c r="D267" t="s">
        <v>35</v>
      </c>
      <c r="E267">
        <f>HYPERLINK("https://www.britishcycling.org.uk/points?person_id=903395&amp;year=2019&amp;type=national&amp;d=6","Results")</f>
        <v/>
      </c>
    </row>
    <row r="268" spans="1:5">
      <c r="A268" t="s">
        <v>699</v>
      </c>
      <c r="B268" t="s">
        <v>1232</v>
      </c>
      <c r="C268" t="s">
        <v>143</v>
      </c>
      <c r="D268" t="s">
        <v>35</v>
      </c>
      <c r="E268">
        <f>HYPERLINK("https://www.britishcycling.org.uk/points?person_id=402641&amp;year=2019&amp;type=national&amp;d=6","Results")</f>
        <v/>
      </c>
    </row>
    <row r="269" spans="1:5">
      <c r="A269" t="s">
        <v>701</v>
      </c>
      <c r="B269" t="s">
        <v>1233</v>
      </c>
      <c r="C269" t="s">
        <v>1234</v>
      </c>
      <c r="D269" t="s">
        <v>35</v>
      </c>
      <c r="E269">
        <f>HYPERLINK("https://www.britishcycling.org.uk/points?person_id=311554&amp;year=2019&amp;type=national&amp;d=6","Results")</f>
        <v/>
      </c>
    </row>
    <row r="270" spans="1:5">
      <c r="A270" t="s">
        <v>703</v>
      </c>
      <c r="B270" t="s">
        <v>1235</v>
      </c>
      <c r="C270" t="s">
        <v>1236</v>
      </c>
      <c r="D270" t="s">
        <v>31</v>
      </c>
      <c r="E270">
        <f>HYPERLINK("https://www.britishcycling.org.uk/points?person_id=404340&amp;year=2019&amp;type=national&amp;d=6","Results")</f>
        <v/>
      </c>
    </row>
    <row r="271" spans="1:5">
      <c r="A271" t="s">
        <v>705</v>
      </c>
      <c r="B271" t="s">
        <v>1237</v>
      </c>
      <c r="C271" t="s">
        <v>1238</v>
      </c>
      <c r="D271" t="s">
        <v>31</v>
      </c>
      <c r="E271">
        <f>HYPERLINK("https://www.britishcycling.org.uk/points?person_id=390049&amp;year=2019&amp;type=national&amp;d=6","Results")</f>
        <v/>
      </c>
    </row>
    <row r="272" spans="1:5">
      <c r="A272" t="s">
        <v>707</v>
      </c>
      <c r="B272" t="s">
        <v>1239</v>
      </c>
      <c r="C272" t="s">
        <v>170</v>
      </c>
      <c r="D272" t="s">
        <v>31</v>
      </c>
      <c r="E272">
        <f>HYPERLINK("https://www.britishcycling.org.uk/points?person_id=169754&amp;year=2019&amp;type=national&amp;d=6","Results")</f>
        <v/>
      </c>
    </row>
    <row r="273" spans="1:5">
      <c r="A273" t="s">
        <v>710</v>
      </c>
      <c r="B273" t="s">
        <v>1240</v>
      </c>
      <c r="C273" t="s"/>
      <c r="D273" t="s">
        <v>31</v>
      </c>
      <c r="E273">
        <f>HYPERLINK("https://www.britishcycling.org.uk/points?person_id=686621&amp;year=2019&amp;type=national&amp;d=6","Results")</f>
        <v/>
      </c>
    </row>
    <row r="274" spans="1:5">
      <c r="A274" t="s">
        <v>712</v>
      </c>
      <c r="B274" t="s">
        <v>1241</v>
      </c>
      <c r="C274" t="s"/>
      <c r="D274" t="s">
        <v>31</v>
      </c>
      <c r="E274">
        <f>HYPERLINK("https://www.britishcycling.org.uk/points?person_id=445581&amp;year=2019&amp;type=national&amp;d=6","Results")</f>
        <v/>
      </c>
    </row>
    <row r="275" spans="1:5">
      <c r="A275" t="s">
        <v>714</v>
      </c>
      <c r="B275" t="s">
        <v>1242</v>
      </c>
      <c r="C275" t="s">
        <v>395</v>
      </c>
      <c r="D275" t="s">
        <v>31</v>
      </c>
      <c r="E275">
        <f>HYPERLINK("https://www.britishcycling.org.uk/points?person_id=199546&amp;year=2019&amp;type=national&amp;d=6","Results")</f>
        <v/>
      </c>
    </row>
    <row r="276" spans="1:5">
      <c r="A276" t="s">
        <v>716</v>
      </c>
      <c r="B276" t="s">
        <v>1243</v>
      </c>
      <c r="C276" t="s">
        <v>856</v>
      </c>
      <c r="D276" t="s">
        <v>31</v>
      </c>
      <c r="E276">
        <f>HYPERLINK("https://www.britishcycling.org.uk/points?person_id=297675&amp;year=2019&amp;type=national&amp;d=6","Results")</f>
        <v/>
      </c>
    </row>
    <row r="277" spans="1:5">
      <c r="A277" t="s">
        <v>129</v>
      </c>
      <c r="B277" t="s">
        <v>1244</v>
      </c>
      <c r="C277" t="s"/>
      <c r="D277" t="s">
        <v>31</v>
      </c>
      <c r="E277">
        <f>HYPERLINK("https://www.britishcycling.org.uk/points?person_id=137498&amp;year=2019&amp;type=national&amp;d=6","Results")</f>
        <v/>
      </c>
    </row>
    <row r="278" spans="1:5">
      <c r="A278" t="s">
        <v>719</v>
      </c>
      <c r="B278" t="s">
        <v>1245</v>
      </c>
      <c r="C278" t="s">
        <v>1246</v>
      </c>
      <c r="D278" t="s">
        <v>31</v>
      </c>
      <c r="E278">
        <f>HYPERLINK("https://www.britishcycling.org.uk/points?person_id=513135&amp;year=2019&amp;type=national&amp;d=6","Results")</f>
        <v/>
      </c>
    </row>
    <row r="279" spans="1:5">
      <c r="A279" t="s">
        <v>721</v>
      </c>
      <c r="B279" t="s">
        <v>1247</v>
      </c>
      <c r="C279" t="s">
        <v>87</v>
      </c>
      <c r="D279" t="s">
        <v>31</v>
      </c>
      <c r="E279">
        <f>HYPERLINK("https://www.britishcycling.org.uk/points?person_id=819591&amp;year=2019&amp;type=national&amp;d=6","Results")</f>
        <v/>
      </c>
    </row>
    <row r="280" spans="1:5">
      <c r="A280" t="s">
        <v>724</v>
      </c>
      <c r="B280" t="s">
        <v>1248</v>
      </c>
      <c r="C280" t="s">
        <v>413</v>
      </c>
      <c r="D280" t="s">
        <v>28</v>
      </c>
      <c r="E280">
        <f>HYPERLINK("https://www.britishcycling.org.uk/points?person_id=327439&amp;year=2019&amp;type=national&amp;d=6","Results")</f>
        <v/>
      </c>
    </row>
    <row r="281" spans="1:5">
      <c r="A281" t="s">
        <v>726</v>
      </c>
      <c r="B281" t="s">
        <v>1249</v>
      </c>
      <c r="C281" t="s">
        <v>291</v>
      </c>
      <c r="D281" t="s">
        <v>28</v>
      </c>
      <c r="E281">
        <f>HYPERLINK("https://www.britishcycling.org.uk/points?person_id=830772&amp;year=2019&amp;type=national&amp;d=6","Results")</f>
        <v/>
      </c>
    </row>
    <row r="282" spans="1:5">
      <c r="A282" t="s">
        <v>729</v>
      </c>
      <c r="B282" t="s">
        <v>1250</v>
      </c>
      <c r="C282" t="s">
        <v>1251</v>
      </c>
      <c r="D282" t="s">
        <v>28</v>
      </c>
      <c r="E282">
        <f>HYPERLINK("https://www.britishcycling.org.uk/points?person_id=756132&amp;year=2019&amp;type=national&amp;d=6","Results")</f>
        <v/>
      </c>
    </row>
    <row r="283" spans="1:5">
      <c r="A283" t="s">
        <v>732</v>
      </c>
      <c r="B283" t="s">
        <v>1252</v>
      </c>
      <c r="C283" t="s">
        <v>1253</v>
      </c>
      <c r="D283" t="s">
        <v>28</v>
      </c>
      <c r="E283">
        <f>HYPERLINK("https://www.britishcycling.org.uk/points?person_id=217747&amp;year=2019&amp;type=national&amp;d=6","Results")</f>
        <v/>
      </c>
    </row>
    <row r="284" spans="1:5">
      <c r="A284" t="s">
        <v>735</v>
      </c>
      <c r="B284" t="s">
        <v>1254</v>
      </c>
      <c r="C284" t="s">
        <v>143</v>
      </c>
      <c r="D284" t="s">
        <v>28</v>
      </c>
      <c r="E284">
        <f>HYPERLINK("https://www.britishcycling.org.uk/points?person_id=880319&amp;year=2019&amp;type=national&amp;d=6","Results")</f>
        <v/>
      </c>
    </row>
    <row r="285" spans="1:5">
      <c r="A285" t="s">
        <v>737</v>
      </c>
      <c r="B285" t="s">
        <v>1255</v>
      </c>
      <c r="C285" t="s">
        <v>1091</v>
      </c>
      <c r="D285" t="s">
        <v>28</v>
      </c>
      <c r="E285">
        <f>HYPERLINK("https://www.britishcycling.org.uk/points?person_id=125834&amp;year=2019&amp;type=national&amp;d=6","Results")</f>
        <v/>
      </c>
    </row>
    <row r="286" spans="1:5">
      <c r="A286" t="s">
        <v>739</v>
      </c>
      <c r="B286" t="s">
        <v>1256</v>
      </c>
      <c r="C286" t="s">
        <v>167</v>
      </c>
      <c r="D286" t="s">
        <v>28</v>
      </c>
      <c r="E286">
        <f>HYPERLINK("https://www.britishcycling.org.uk/points?person_id=380604&amp;year=2019&amp;type=national&amp;d=6","Results")</f>
        <v/>
      </c>
    </row>
    <row r="287" spans="1:5">
      <c r="A287" t="s">
        <v>741</v>
      </c>
      <c r="B287" t="s">
        <v>1257</v>
      </c>
      <c r="C287" t="s">
        <v>1104</v>
      </c>
      <c r="D287" t="s">
        <v>28</v>
      </c>
      <c r="E287">
        <f>HYPERLINK("https://www.britishcycling.org.uk/points?person_id=172540&amp;year=2019&amp;type=national&amp;d=6","Results")</f>
        <v/>
      </c>
    </row>
    <row r="288" spans="1:5">
      <c r="A288" t="s">
        <v>744</v>
      </c>
      <c r="B288" t="s">
        <v>1258</v>
      </c>
      <c r="C288" t="s">
        <v>230</v>
      </c>
      <c r="D288" t="s">
        <v>28</v>
      </c>
      <c r="E288">
        <f>HYPERLINK("https://www.britishcycling.org.uk/points?person_id=442563&amp;year=2019&amp;type=national&amp;d=6","Results")</f>
        <v/>
      </c>
    </row>
    <row r="289" spans="1:5">
      <c r="A289" t="s">
        <v>747</v>
      </c>
      <c r="B289" t="s">
        <v>1259</v>
      </c>
      <c r="C289" t="s">
        <v>429</v>
      </c>
      <c r="D289" t="s">
        <v>28</v>
      </c>
      <c r="E289">
        <f>HYPERLINK("https://www.britishcycling.org.uk/points?person_id=347767&amp;year=2019&amp;type=national&amp;d=6","Results")</f>
        <v/>
      </c>
    </row>
    <row r="290" spans="1:5">
      <c r="A290" t="s">
        <v>749</v>
      </c>
      <c r="B290" t="s">
        <v>1260</v>
      </c>
      <c r="C290" t="s">
        <v>1261</v>
      </c>
      <c r="D290" t="s">
        <v>25</v>
      </c>
      <c r="E290">
        <f>HYPERLINK("https://www.britishcycling.org.uk/points?person_id=602411&amp;year=2019&amp;type=national&amp;d=6","Results")</f>
        <v/>
      </c>
    </row>
    <row r="291" spans="1:5">
      <c r="A291" t="s">
        <v>751</v>
      </c>
      <c r="B291" t="s">
        <v>1262</v>
      </c>
      <c r="C291" t="s">
        <v>328</v>
      </c>
      <c r="D291" t="s">
        <v>25</v>
      </c>
      <c r="E291">
        <f>HYPERLINK("https://www.britishcycling.org.uk/points?person_id=375602&amp;year=2019&amp;type=national&amp;d=6","Results")</f>
        <v/>
      </c>
    </row>
    <row r="292" spans="1:5">
      <c r="A292" t="s">
        <v>126</v>
      </c>
      <c r="B292" t="s">
        <v>1263</v>
      </c>
      <c r="C292" t="s">
        <v>167</v>
      </c>
      <c r="D292" t="s">
        <v>25</v>
      </c>
      <c r="E292">
        <f>HYPERLINK("https://www.britishcycling.org.uk/points?person_id=426387&amp;year=2019&amp;type=national&amp;d=6","Results")</f>
        <v/>
      </c>
    </row>
    <row r="293" spans="1:5">
      <c r="A293" t="s">
        <v>754</v>
      </c>
      <c r="B293" t="s">
        <v>1264</v>
      </c>
      <c r="C293" t="s">
        <v>559</v>
      </c>
      <c r="D293" t="s">
        <v>25</v>
      </c>
      <c r="E293">
        <f>HYPERLINK("https://www.britishcycling.org.uk/points?person_id=135870&amp;year=2019&amp;type=national&amp;d=6","Results")</f>
        <v/>
      </c>
    </row>
    <row r="294" spans="1:5">
      <c r="A294" t="s">
        <v>756</v>
      </c>
      <c r="B294" t="s">
        <v>1265</v>
      </c>
      <c r="C294" t="s">
        <v>959</v>
      </c>
      <c r="D294" t="s">
        <v>25</v>
      </c>
      <c r="E294">
        <f>HYPERLINK("https://www.britishcycling.org.uk/points?person_id=216870&amp;year=2019&amp;type=national&amp;d=6","Results")</f>
        <v/>
      </c>
    </row>
    <row r="295" spans="1:5">
      <c r="A295" t="s">
        <v>758</v>
      </c>
      <c r="B295" t="s">
        <v>1266</v>
      </c>
      <c r="C295" t="s">
        <v>961</v>
      </c>
      <c r="D295" t="s">
        <v>25</v>
      </c>
      <c r="E295">
        <f>HYPERLINK("https://www.britishcycling.org.uk/points?person_id=614607&amp;year=2019&amp;type=national&amp;d=6","Results")</f>
        <v/>
      </c>
    </row>
    <row r="296" spans="1:5">
      <c r="A296" t="s">
        <v>122</v>
      </c>
      <c r="B296" t="s">
        <v>1267</v>
      </c>
      <c r="C296" t="s">
        <v>656</v>
      </c>
      <c r="D296" t="s">
        <v>25</v>
      </c>
      <c r="E296">
        <f>HYPERLINK("https://www.britishcycling.org.uk/points?person_id=354553&amp;year=2019&amp;type=national&amp;d=6","Results")</f>
        <v/>
      </c>
    </row>
    <row r="297" spans="1:5">
      <c r="A297" t="s">
        <v>118</v>
      </c>
      <c r="B297" t="s">
        <v>1268</v>
      </c>
      <c r="C297" t="s">
        <v>287</v>
      </c>
      <c r="D297" t="s">
        <v>25</v>
      </c>
      <c r="E297">
        <f>HYPERLINK("https://www.britishcycling.org.uk/points?person_id=198326&amp;year=2019&amp;type=national&amp;d=6","Results")</f>
        <v/>
      </c>
    </row>
    <row r="298" spans="1:5">
      <c r="A298" t="s">
        <v>762</v>
      </c>
      <c r="B298" t="s">
        <v>1269</v>
      </c>
      <c r="C298" t="s">
        <v>1270</v>
      </c>
      <c r="D298" t="s">
        <v>25</v>
      </c>
      <c r="E298">
        <f>HYPERLINK("https://www.britishcycling.org.uk/points?person_id=883496&amp;year=2019&amp;type=national&amp;d=6","Results")</f>
        <v/>
      </c>
    </row>
    <row r="299" spans="1:5">
      <c r="A299" t="s">
        <v>114</v>
      </c>
      <c r="B299" t="s">
        <v>1271</v>
      </c>
      <c r="C299" t="s">
        <v>551</v>
      </c>
      <c r="D299" t="s">
        <v>25</v>
      </c>
      <c r="E299">
        <f>HYPERLINK("https://www.britishcycling.org.uk/points?person_id=623795&amp;year=2019&amp;type=national&amp;d=6","Results")</f>
        <v/>
      </c>
    </row>
    <row r="300" spans="1:5">
      <c r="A300" t="s">
        <v>765</v>
      </c>
      <c r="B300" t="s">
        <v>1272</v>
      </c>
      <c r="C300" t="s">
        <v>259</v>
      </c>
      <c r="D300" t="s">
        <v>21</v>
      </c>
      <c r="E300">
        <f>HYPERLINK("https://www.britishcycling.org.uk/points?person_id=181238&amp;year=2019&amp;type=national&amp;d=6","Results")</f>
        <v/>
      </c>
    </row>
    <row r="301" spans="1:5">
      <c r="A301" t="s">
        <v>767</v>
      </c>
      <c r="B301" t="s">
        <v>1273</v>
      </c>
      <c r="C301" t="s">
        <v>299</v>
      </c>
      <c r="D301" t="s">
        <v>17</v>
      </c>
      <c r="E301">
        <f>HYPERLINK("https://www.britishcycling.org.uk/points?person_id=531531&amp;year=2019&amp;type=national&amp;d=6","Results")</f>
        <v/>
      </c>
    </row>
    <row r="302" spans="1:5">
      <c r="A302" t="s">
        <v>769</v>
      </c>
      <c r="B302" t="s">
        <v>1274</v>
      </c>
      <c r="C302" t="s">
        <v>1275</v>
      </c>
      <c r="D302" t="s">
        <v>17</v>
      </c>
      <c r="E302">
        <f>HYPERLINK("https://www.britishcycling.org.uk/points?person_id=396802&amp;year=2019&amp;type=national&amp;d=6","Results")</f>
        <v/>
      </c>
    </row>
    <row r="303" spans="1:5">
      <c r="A303" t="s">
        <v>772</v>
      </c>
      <c r="B303" t="s">
        <v>1276</v>
      </c>
      <c r="C303" t="s">
        <v>139</v>
      </c>
      <c r="D303" t="s">
        <v>17</v>
      </c>
      <c r="E303">
        <f>HYPERLINK("https://www.britishcycling.org.uk/points?person_id=574389&amp;year=2019&amp;type=national&amp;d=6","Results")</f>
        <v/>
      </c>
    </row>
    <row r="304" spans="1:5">
      <c r="A304" t="s">
        <v>775</v>
      </c>
      <c r="B304" t="s">
        <v>1277</v>
      </c>
      <c r="C304" t="s">
        <v>7</v>
      </c>
      <c r="D304" t="s">
        <v>17</v>
      </c>
      <c r="E304">
        <f>HYPERLINK("https://www.britishcycling.org.uk/points?person_id=386502&amp;year=2019&amp;type=national&amp;d=6","Results")</f>
        <v/>
      </c>
    </row>
    <row r="305" spans="1:5">
      <c r="A305" t="s">
        <v>777</v>
      </c>
      <c r="B305" t="s">
        <v>1278</v>
      </c>
      <c r="C305" t="s"/>
      <c r="D305" t="s">
        <v>17</v>
      </c>
      <c r="E305">
        <f>HYPERLINK("https://www.britishcycling.org.uk/points?person_id=521148&amp;year=2019&amp;type=national&amp;d=6","Results")</f>
        <v/>
      </c>
    </row>
    <row r="306" spans="1:5">
      <c r="A306" t="s">
        <v>779</v>
      </c>
      <c r="B306" t="s">
        <v>1279</v>
      </c>
      <c r="C306" t="s">
        <v>262</v>
      </c>
      <c r="D306" t="s">
        <v>17</v>
      </c>
      <c r="E306">
        <f>HYPERLINK("https://www.britishcycling.org.uk/points?person_id=870368&amp;year=2019&amp;type=national&amp;d=6","Results")</f>
        <v/>
      </c>
    </row>
    <row r="307" spans="1:5">
      <c r="A307" t="s">
        <v>782</v>
      </c>
      <c r="B307" t="s">
        <v>1280</v>
      </c>
      <c r="C307" t="s">
        <v>926</v>
      </c>
      <c r="D307" t="s">
        <v>17</v>
      </c>
      <c r="E307">
        <f>HYPERLINK("https://www.britishcycling.org.uk/points?person_id=174030&amp;year=2019&amp;type=national&amp;d=6","Results")</f>
        <v/>
      </c>
    </row>
    <row r="308" spans="1:5">
      <c r="A308" t="s">
        <v>784</v>
      </c>
      <c r="B308" t="s">
        <v>1281</v>
      </c>
      <c r="C308" t="s">
        <v>135</v>
      </c>
      <c r="D308" t="s">
        <v>17</v>
      </c>
      <c r="E308">
        <f>HYPERLINK("https://www.britishcycling.org.uk/points?person_id=262226&amp;year=2019&amp;type=national&amp;d=6","Results")</f>
        <v/>
      </c>
    </row>
    <row r="309" spans="1:5">
      <c r="A309" t="s">
        <v>786</v>
      </c>
      <c r="B309" t="s">
        <v>1282</v>
      </c>
      <c r="C309" t="s"/>
      <c r="D309" t="s">
        <v>17</v>
      </c>
      <c r="E309">
        <f>HYPERLINK("https://www.britishcycling.org.uk/points?person_id=851518&amp;year=2019&amp;type=national&amp;d=6","Results")</f>
        <v/>
      </c>
    </row>
    <row r="310" spans="1:5">
      <c r="A310" t="s">
        <v>788</v>
      </c>
      <c r="B310" t="s">
        <v>933</v>
      </c>
      <c r="C310" t="s">
        <v>814</v>
      </c>
      <c r="D310" t="s">
        <v>13</v>
      </c>
      <c r="E310">
        <f>HYPERLINK("https://www.britishcycling.org.uk/points?person_id=486933&amp;year=2019&amp;type=national&amp;d=6","Results")</f>
        <v/>
      </c>
    </row>
    <row r="311" spans="1:5">
      <c r="A311" t="s">
        <v>790</v>
      </c>
      <c r="B311" t="s">
        <v>1283</v>
      </c>
      <c r="C311" t="s">
        <v>817</v>
      </c>
      <c r="D311" t="s">
        <v>13</v>
      </c>
      <c r="E311">
        <f>HYPERLINK("https://www.britishcycling.org.uk/points?person_id=404366&amp;year=2019&amp;type=national&amp;d=6","Results")</f>
        <v/>
      </c>
    </row>
    <row r="312" spans="1:5">
      <c r="A312" t="s">
        <v>792</v>
      </c>
      <c r="B312" t="s">
        <v>1284</v>
      </c>
      <c r="C312" t="s">
        <v>774</v>
      </c>
      <c r="D312" t="s">
        <v>13</v>
      </c>
      <c r="E312">
        <f>HYPERLINK("https://www.britishcycling.org.uk/points?person_id=202181&amp;year=2019&amp;type=national&amp;d=6","Results")</f>
        <v/>
      </c>
    </row>
    <row r="313" spans="1:5">
      <c r="A313" t="s">
        <v>794</v>
      </c>
      <c r="B313" t="s">
        <v>1285</v>
      </c>
      <c r="C313" t="s">
        <v>1286</v>
      </c>
      <c r="D313" t="s">
        <v>13</v>
      </c>
      <c r="E313">
        <f>HYPERLINK("https://www.britishcycling.org.uk/points?person_id=624930&amp;year=2019&amp;type=national&amp;d=6","Results")</f>
        <v/>
      </c>
    </row>
    <row r="314" spans="1:5">
      <c r="A314" t="s">
        <v>797</v>
      </c>
      <c r="B314" t="s">
        <v>1287</v>
      </c>
      <c r="C314" t="s">
        <v>287</v>
      </c>
      <c r="D314" t="s">
        <v>13</v>
      </c>
      <c r="E314">
        <f>HYPERLINK("https://www.britishcycling.org.uk/points?person_id=388661&amp;year=2019&amp;type=national&amp;d=6","Results")</f>
        <v/>
      </c>
    </row>
    <row r="315" spans="1:5">
      <c r="A315" t="s">
        <v>799</v>
      </c>
      <c r="B315" t="s">
        <v>1288</v>
      </c>
      <c r="C315" t="s">
        <v>1289</v>
      </c>
      <c r="D315" t="s">
        <v>13</v>
      </c>
      <c r="E315">
        <f>HYPERLINK("https://www.britishcycling.org.uk/points?person_id=403973&amp;year=2019&amp;type=national&amp;d=6","Results")</f>
        <v/>
      </c>
    </row>
    <row r="316" spans="1:5">
      <c r="A316" t="s">
        <v>801</v>
      </c>
      <c r="B316" t="s">
        <v>1290</v>
      </c>
      <c r="C316" t="s">
        <v>198</v>
      </c>
      <c r="D316" t="s">
        <v>9</v>
      </c>
      <c r="E316">
        <f>HYPERLINK("https://www.britishcycling.org.uk/points?person_id=198320&amp;year=2019&amp;type=national&amp;d=6","Results")</f>
        <v/>
      </c>
    </row>
    <row r="317" spans="1:5">
      <c r="A317" t="s">
        <v>803</v>
      </c>
      <c r="B317" t="s">
        <v>1291</v>
      </c>
      <c r="C317" t="s">
        <v>1292</v>
      </c>
      <c r="D317" t="s">
        <v>9</v>
      </c>
      <c r="E317">
        <f>HYPERLINK("https://www.britishcycling.org.uk/points?person_id=615003&amp;year=2019&amp;type=national&amp;d=6","Results")</f>
        <v/>
      </c>
    </row>
    <row r="318" spans="1:5">
      <c r="A318" t="s">
        <v>110</v>
      </c>
      <c r="B318" t="s">
        <v>1293</v>
      </c>
      <c r="C318" t="s">
        <v>1294</v>
      </c>
      <c r="D318" t="s">
        <v>9</v>
      </c>
      <c r="E318">
        <f>HYPERLINK("https://www.britishcycling.org.uk/points?person_id=201117&amp;year=2019&amp;type=national&amp;d=6","Results")</f>
        <v/>
      </c>
    </row>
    <row r="319" spans="1:5">
      <c r="A319" t="s">
        <v>806</v>
      </c>
      <c r="B319" t="s">
        <v>1295</v>
      </c>
      <c r="C319" t="s">
        <v>578</v>
      </c>
      <c r="D319" t="s">
        <v>9</v>
      </c>
      <c r="E319">
        <f>HYPERLINK("https://www.britishcycling.org.uk/points?person_id=278637&amp;year=2019&amp;type=national&amp;d=6","Results")</f>
        <v/>
      </c>
    </row>
    <row r="320" spans="1:5">
      <c r="A320" t="s">
        <v>808</v>
      </c>
      <c r="B320" t="s">
        <v>1296</v>
      </c>
      <c r="C320" t="s">
        <v>1297</v>
      </c>
      <c r="D320" t="s">
        <v>9</v>
      </c>
      <c r="E320">
        <f>HYPERLINK("https://www.britishcycling.org.uk/points?person_id=299971&amp;year=2019&amp;type=national&amp;d=6","Results")</f>
        <v/>
      </c>
    </row>
    <row r="321" spans="1:5">
      <c r="A321" t="s">
        <v>810</v>
      </c>
      <c r="B321" t="s">
        <v>1298</v>
      </c>
      <c r="C321" t="s">
        <v>291</v>
      </c>
      <c r="D321" t="s">
        <v>9</v>
      </c>
      <c r="E321">
        <f>HYPERLINK("https://www.britishcycling.org.uk/points?person_id=735140&amp;year=2019&amp;type=national&amp;d=6","Results")</f>
        <v/>
      </c>
    </row>
    <row r="322" spans="1:5">
      <c r="A322" t="s">
        <v>812</v>
      </c>
      <c r="B322" t="s">
        <v>1299</v>
      </c>
      <c r="C322" t="s">
        <v>427</v>
      </c>
      <c r="D322" t="s">
        <v>9</v>
      </c>
      <c r="E322">
        <f>HYPERLINK("https://www.britishcycling.org.uk/points?person_id=584590&amp;year=2019&amp;type=national&amp;d=6","Results")</f>
        <v/>
      </c>
    </row>
    <row r="323" spans="1:5">
      <c r="A323" t="s">
        <v>815</v>
      </c>
      <c r="B323" t="s">
        <v>1300</v>
      </c>
      <c r="C323" t="s">
        <v>575</v>
      </c>
      <c r="D323" t="s">
        <v>9</v>
      </c>
      <c r="E323">
        <f>HYPERLINK("https://www.britishcycling.org.uk/points?person_id=941881&amp;year=2019&amp;type=national&amp;d=6","Results")</f>
        <v/>
      </c>
    </row>
    <row r="324" spans="1:5">
      <c r="A324" t="s">
        <v>818</v>
      </c>
      <c r="B324" t="s">
        <v>1301</v>
      </c>
      <c r="C324" t="s">
        <v>856</v>
      </c>
      <c r="D324" t="s">
        <v>9</v>
      </c>
      <c r="E324">
        <f>HYPERLINK("https://www.britishcycling.org.uk/points?person_id=302450&amp;year=2019&amp;type=national&amp;d=6","Results")</f>
        <v/>
      </c>
    </row>
    <row r="325" spans="1:5">
      <c r="A325" t="s">
        <v>820</v>
      </c>
      <c r="B325" t="s">
        <v>1302</v>
      </c>
      <c r="C325" t="s">
        <v>346</v>
      </c>
      <c r="D325" t="s">
        <v>9</v>
      </c>
      <c r="E325">
        <f>HYPERLINK("https://www.britishcycling.org.uk/points?person_id=770427&amp;year=2019&amp;type=national&amp;d=6","Results")</f>
        <v/>
      </c>
    </row>
    <row r="326" spans="1:5">
      <c r="A326" t="s">
        <v>823</v>
      </c>
      <c r="B326" t="s">
        <v>1303</v>
      </c>
      <c r="C326" t="s">
        <v>774</v>
      </c>
      <c r="D326" t="s">
        <v>9</v>
      </c>
      <c r="E326">
        <f>HYPERLINK("https://www.britishcycling.org.uk/points?person_id=522894&amp;year=2019&amp;type=national&amp;d=6","Results")</f>
        <v/>
      </c>
    </row>
    <row r="327" spans="1:5">
      <c r="A327" t="s">
        <v>825</v>
      </c>
      <c r="B327" t="s">
        <v>1304</v>
      </c>
      <c r="C327" t="s">
        <v>774</v>
      </c>
      <c r="D327" t="s">
        <v>9</v>
      </c>
      <c r="E327">
        <f>HYPERLINK("https://www.britishcycling.org.uk/points?person_id=565582&amp;year=2019&amp;type=national&amp;d=6","Results")</f>
        <v/>
      </c>
    </row>
    <row r="328" spans="1:5">
      <c r="A328" t="s">
        <v>828</v>
      </c>
      <c r="B328" t="s">
        <v>1305</v>
      </c>
      <c r="C328" t="s">
        <v>230</v>
      </c>
      <c r="D328" t="s">
        <v>9</v>
      </c>
      <c r="E328">
        <f>HYPERLINK("https://www.britishcycling.org.uk/points?person_id=327253&amp;year=2019&amp;type=national&amp;d=6","Results")</f>
        <v/>
      </c>
    </row>
    <row r="329" spans="1:5">
      <c r="A329" t="s">
        <v>106</v>
      </c>
      <c r="B329" t="s">
        <v>1306</v>
      </c>
      <c r="C329" t="s">
        <v>731</v>
      </c>
      <c r="D329" t="s">
        <v>9</v>
      </c>
      <c r="E329">
        <f>HYPERLINK("https://www.britishcycling.org.uk/points?person_id=559013&amp;year=2019&amp;type=national&amp;d=6","Results")</f>
        <v/>
      </c>
    </row>
    <row r="330" spans="1:5">
      <c r="A330" t="s">
        <v>832</v>
      </c>
      <c r="B330" t="s">
        <v>1307</v>
      </c>
      <c r="C330" t="s">
        <v>781</v>
      </c>
      <c r="D330" t="s">
        <v>9</v>
      </c>
      <c r="E330">
        <f>HYPERLINK("https://www.britishcycling.org.uk/points?person_id=318352&amp;year=2019&amp;type=national&amp;d=6","Results")</f>
        <v/>
      </c>
    </row>
    <row r="331" spans="1:5">
      <c r="A331" t="s">
        <v>835</v>
      </c>
      <c r="B331" t="s">
        <v>1308</v>
      </c>
      <c r="C331" t="s">
        <v>143</v>
      </c>
      <c r="D331" t="s">
        <v>5</v>
      </c>
      <c r="E331">
        <f>HYPERLINK("https://www.britishcycling.org.uk/points?person_id=566082&amp;year=2019&amp;type=national&amp;d=6","Results")</f>
        <v/>
      </c>
    </row>
    <row r="332" spans="1:5">
      <c r="A332" t="s">
        <v>838</v>
      </c>
      <c r="B332" t="s">
        <v>1309</v>
      </c>
      <c r="C332" t="s">
        <v>212</v>
      </c>
      <c r="D332" t="s">
        <v>5</v>
      </c>
      <c r="E332">
        <f>HYPERLINK("https://www.britishcycling.org.uk/points?person_id=651229&amp;year=2019&amp;type=national&amp;d=6","Results")</f>
        <v/>
      </c>
    </row>
    <row r="333" spans="1:5">
      <c r="A333" t="s">
        <v>840</v>
      </c>
      <c r="B333" t="s">
        <v>1310</v>
      </c>
      <c r="C333" t="s">
        <v>461</v>
      </c>
      <c r="D333" t="s">
        <v>5</v>
      </c>
      <c r="E333">
        <f>HYPERLINK("https://www.britishcycling.org.uk/points?person_id=659650&amp;year=2019&amp;type=national&amp;d=6","Results")</f>
        <v/>
      </c>
    </row>
    <row r="334" spans="1:5">
      <c r="A334" t="s">
        <v>842</v>
      </c>
      <c r="B334" t="s">
        <v>1311</v>
      </c>
      <c r="C334" t="s">
        <v>1312</v>
      </c>
      <c r="D334" t="s">
        <v>5</v>
      </c>
      <c r="E334">
        <f>HYPERLINK("https://www.britishcycling.org.uk/points?person_id=861710&amp;year=2019&amp;type=national&amp;d=6","Results")</f>
        <v/>
      </c>
    </row>
    <row r="335" spans="1:5">
      <c r="A335" t="s">
        <v>845</v>
      </c>
      <c r="B335" t="s">
        <v>1313</v>
      </c>
      <c r="C335" t="s">
        <v>1286</v>
      </c>
      <c r="D335" t="s">
        <v>5</v>
      </c>
      <c r="E335">
        <f>HYPERLINK("https://www.britishcycling.org.uk/points?person_id=277700&amp;year=2019&amp;type=national&amp;d=6","Results")</f>
        <v/>
      </c>
    </row>
    <row r="336" spans="1:5">
      <c r="A336" t="s">
        <v>848</v>
      </c>
      <c r="B336" t="s">
        <v>1314</v>
      </c>
      <c r="C336" t="s">
        <v>355</v>
      </c>
      <c r="D336" t="s">
        <v>5</v>
      </c>
      <c r="E336">
        <f>HYPERLINK("https://www.britishcycling.org.uk/points?person_id=410383&amp;year=2019&amp;type=national&amp;d=6","Results")</f>
        <v/>
      </c>
    </row>
    <row r="337" spans="1:5">
      <c r="A337" t="s">
        <v>102</v>
      </c>
      <c r="B337" t="s">
        <v>1315</v>
      </c>
      <c r="C337" t="s">
        <v>1238</v>
      </c>
      <c r="D337" t="s">
        <v>5</v>
      </c>
      <c r="E337">
        <f>HYPERLINK("https://www.britishcycling.org.uk/points?person_id=552269&amp;year=2019&amp;type=national&amp;d=6","Results")</f>
        <v/>
      </c>
    </row>
    <row r="338" spans="1:5">
      <c r="A338" t="s">
        <v>851</v>
      </c>
      <c r="B338" t="s">
        <v>1316</v>
      </c>
      <c r="C338" t="s">
        <v>1317</v>
      </c>
      <c r="D338" t="s">
        <v>5</v>
      </c>
      <c r="E338">
        <f>HYPERLINK("https://www.britishcycling.org.uk/points?person_id=282213&amp;year=2019&amp;type=national&amp;d=6","Results")</f>
        <v/>
      </c>
    </row>
    <row r="339" spans="1:5">
      <c r="A339" t="s">
        <v>854</v>
      </c>
      <c r="B339" t="s">
        <v>1318</v>
      </c>
      <c r="C339" t="s"/>
      <c r="D339" t="s">
        <v>5</v>
      </c>
      <c r="E339">
        <f>HYPERLINK("https://www.britishcycling.org.uk/points?person_id=578517&amp;year=2019&amp;type=national&amp;d=6","Results")</f>
        <v/>
      </c>
    </row>
    <row r="340" spans="1:5">
      <c r="A340" t="s">
        <v>857</v>
      </c>
      <c r="B340" t="s">
        <v>1319</v>
      </c>
      <c r="C340" t="s">
        <v>212</v>
      </c>
      <c r="D340" t="s">
        <v>5</v>
      </c>
      <c r="E340">
        <f>HYPERLINK("https://www.britishcycling.org.uk/points?person_id=873204&amp;year=2019&amp;type=national&amp;d=6","Results")</f>
        <v/>
      </c>
    </row>
    <row r="341" spans="1:5">
      <c r="A341" t="s">
        <v>98</v>
      </c>
      <c r="B341" t="s">
        <v>1320</v>
      </c>
      <c r="C341" t="s">
        <v>101</v>
      </c>
      <c r="D341" t="s">
        <v>5</v>
      </c>
      <c r="E341">
        <f>HYPERLINK("https://www.britishcycling.org.uk/points?person_id=517163&amp;year=2019&amp;type=national&amp;d=6","Results")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2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1321</v>
      </c>
      <c r="C2" t="s">
        <v>1322</v>
      </c>
      <c r="D2" t="s">
        <v>1323</v>
      </c>
      <c r="E2">
        <f>HYPERLINK("https://www.britishcycling.org.uk/points?person_id=180723&amp;year=2019&amp;type=national&amp;d=6","Results")</f>
        <v/>
      </c>
    </row>
    <row r="3" spans="1:5">
      <c r="A3" t="s">
        <v>9</v>
      </c>
      <c r="B3" t="s">
        <v>1324</v>
      </c>
      <c r="C3" t="s">
        <v>914</v>
      </c>
      <c r="D3" t="s">
        <v>1325</v>
      </c>
      <c r="E3">
        <f>HYPERLINK("https://www.britishcycling.org.uk/points?person_id=10140&amp;year=2019&amp;type=national&amp;d=6","Results")</f>
        <v/>
      </c>
    </row>
    <row r="4" spans="1:5">
      <c r="A4" t="s">
        <v>13</v>
      </c>
      <c r="B4" t="s">
        <v>1326</v>
      </c>
      <c r="C4" t="s">
        <v>23</v>
      </c>
      <c r="D4" t="s">
        <v>1327</v>
      </c>
      <c r="E4">
        <f>HYPERLINK("https://www.britishcycling.org.uk/points?person_id=14899&amp;year=2019&amp;type=national&amp;d=6","Results")</f>
        <v/>
      </c>
    </row>
    <row r="5" spans="1:5">
      <c r="A5" t="s">
        <v>17</v>
      </c>
      <c r="B5" t="s">
        <v>1328</v>
      </c>
      <c r="C5" t="s">
        <v>1329</v>
      </c>
      <c r="D5" t="s">
        <v>1330</v>
      </c>
      <c r="E5">
        <f>HYPERLINK("https://www.britishcycling.org.uk/points?person_id=177033&amp;year=2019&amp;type=national&amp;d=6","Results")</f>
        <v/>
      </c>
    </row>
    <row r="6" spans="1:5">
      <c r="A6" t="s">
        <v>21</v>
      </c>
      <c r="B6" t="s">
        <v>1331</v>
      </c>
      <c r="C6" t="s">
        <v>1332</v>
      </c>
      <c r="D6" t="s">
        <v>1333</v>
      </c>
      <c r="E6">
        <f>HYPERLINK("https://www.britishcycling.org.uk/points?person_id=226774&amp;year=2019&amp;type=national&amp;d=6","Results")</f>
        <v/>
      </c>
    </row>
    <row r="7" spans="1:5">
      <c r="A7" t="s">
        <v>25</v>
      </c>
      <c r="B7" t="s">
        <v>1334</v>
      </c>
      <c r="C7" t="s">
        <v>1335</v>
      </c>
      <c r="D7" t="s">
        <v>1336</v>
      </c>
      <c r="E7">
        <f>HYPERLINK("https://www.britishcycling.org.uk/points?person_id=197984&amp;year=2019&amp;type=national&amp;d=6","Results")</f>
        <v/>
      </c>
    </row>
    <row r="8" spans="1:5">
      <c r="A8" t="s">
        <v>28</v>
      </c>
      <c r="B8" t="s">
        <v>1337</v>
      </c>
      <c r="C8" t="s">
        <v>287</v>
      </c>
      <c r="D8" t="s">
        <v>1338</v>
      </c>
      <c r="E8">
        <f>HYPERLINK("https://www.britishcycling.org.uk/points?person_id=281698&amp;year=2019&amp;type=national&amp;d=6","Results")</f>
        <v/>
      </c>
    </row>
    <row r="9" spans="1:5">
      <c r="A9" t="s">
        <v>31</v>
      </c>
      <c r="B9" t="s">
        <v>1339</v>
      </c>
      <c r="C9" t="s">
        <v>1340</v>
      </c>
      <c r="D9" t="s">
        <v>1341</v>
      </c>
      <c r="E9">
        <f>HYPERLINK("https://www.britishcycling.org.uk/points?person_id=223307&amp;year=2019&amp;type=national&amp;d=6","Results")</f>
        <v/>
      </c>
    </row>
    <row r="10" spans="1:5">
      <c r="A10" t="s">
        <v>35</v>
      </c>
      <c r="B10" t="s">
        <v>1342</v>
      </c>
      <c r="C10" t="s">
        <v>230</v>
      </c>
      <c r="D10" t="s">
        <v>835</v>
      </c>
      <c r="E10">
        <f>HYPERLINK("https://www.britishcycling.org.uk/points?person_id=194739&amp;year=2019&amp;type=national&amp;d=6","Results")</f>
        <v/>
      </c>
    </row>
    <row r="11" spans="1:5">
      <c r="A11" t="s">
        <v>39</v>
      </c>
      <c r="B11" t="s">
        <v>1343</v>
      </c>
      <c r="C11" t="s">
        <v>1344</v>
      </c>
      <c r="D11" t="s">
        <v>747</v>
      </c>
      <c r="E11">
        <f>HYPERLINK("https://www.britishcycling.org.uk/points?person_id=228033&amp;year=2019&amp;type=national&amp;d=6","Results")</f>
        <v/>
      </c>
    </row>
    <row r="12" spans="1:5">
      <c r="A12" t="s">
        <v>43</v>
      </c>
      <c r="B12" t="s">
        <v>1345</v>
      </c>
      <c r="C12" t="s">
        <v>1346</v>
      </c>
      <c r="D12" t="s">
        <v>729</v>
      </c>
      <c r="E12">
        <f>HYPERLINK("https://www.britishcycling.org.uk/points?person_id=259172&amp;year=2019&amp;type=national&amp;d=6","Results")</f>
        <v/>
      </c>
    </row>
    <row r="13" spans="1:5">
      <c r="A13" t="s">
        <v>47</v>
      </c>
      <c r="B13" t="s">
        <v>1347</v>
      </c>
      <c r="C13" t="s">
        <v>551</v>
      </c>
      <c r="D13" t="s">
        <v>729</v>
      </c>
      <c r="E13">
        <f>HYPERLINK("https://www.britishcycling.org.uk/points?person_id=498460&amp;year=2019&amp;type=national&amp;d=6","Results")</f>
        <v/>
      </c>
    </row>
    <row r="14" spans="1:5">
      <c r="A14" t="s">
        <v>51</v>
      </c>
      <c r="B14" t="s">
        <v>1348</v>
      </c>
      <c r="C14" t="s">
        <v>1349</v>
      </c>
      <c r="D14" t="s">
        <v>682</v>
      </c>
      <c r="E14">
        <f>HYPERLINK("https://www.britishcycling.org.uk/points?person_id=322894&amp;year=2019&amp;type=national&amp;d=6","Results")</f>
        <v/>
      </c>
    </row>
    <row r="15" spans="1:5">
      <c r="A15" t="s">
        <v>55</v>
      </c>
      <c r="B15" t="s">
        <v>1350</v>
      </c>
      <c r="C15" t="s">
        <v>33</v>
      </c>
      <c r="D15" t="s">
        <v>171</v>
      </c>
      <c r="E15">
        <f>HYPERLINK("https://www.britishcycling.org.uk/points?person_id=520188&amp;year=2019&amp;type=national&amp;d=6","Results")</f>
        <v/>
      </c>
    </row>
    <row r="16" spans="1:5">
      <c r="A16" t="s">
        <v>59</v>
      </c>
      <c r="B16" t="s">
        <v>1351</v>
      </c>
      <c r="C16" t="s">
        <v>238</v>
      </c>
      <c r="D16" t="s">
        <v>568</v>
      </c>
      <c r="E16">
        <f>HYPERLINK("https://www.britishcycling.org.uk/points?person_id=174813&amp;year=2019&amp;type=national&amp;d=6","Results")</f>
        <v/>
      </c>
    </row>
    <row r="17" spans="1:5">
      <c r="A17" t="s">
        <v>63</v>
      </c>
      <c r="B17" t="s">
        <v>1352</v>
      </c>
      <c r="C17" t="s">
        <v>511</v>
      </c>
      <c r="D17" t="s">
        <v>563</v>
      </c>
      <c r="E17">
        <f>HYPERLINK("https://www.britishcycling.org.uk/points?person_id=72378&amp;year=2019&amp;type=national&amp;d=6","Results")</f>
        <v/>
      </c>
    </row>
    <row r="18" spans="1:5">
      <c r="A18" t="s">
        <v>67</v>
      </c>
      <c r="B18" t="s">
        <v>1353</v>
      </c>
      <c r="C18" t="s">
        <v>1354</v>
      </c>
      <c r="D18" t="s">
        <v>560</v>
      </c>
      <c r="E18">
        <f>HYPERLINK("https://www.britishcycling.org.uk/points?person_id=327239&amp;year=2019&amp;type=national&amp;d=6","Results")</f>
        <v/>
      </c>
    </row>
    <row r="19" spans="1:5">
      <c r="A19" t="s">
        <v>71</v>
      </c>
      <c r="B19" t="s">
        <v>1355</v>
      </c>
      <c r="C19" t="s">
        <v>53</v>
      </c>
      <c r="D19" t="s">
        <v>213</v>
      </c>
      <c r="E19">
        <f>HYPERLINK("https://www.britishcycling.org.uk/points?person_id=185770&amp;year=2019&amp;type=national&amp;d=6","Results")</f>
        <v/>
      </c>
    </row>
    <row r="20" spans="1:5">
      <c r="A20" t="s">
        <v>75</v>
      </c>
      <c r="B20" t="s">
        <v>1356</v>
      </c>
      <c r="C20" t="s">
        <v>919</v>
      </c>
      <c r="D20" t="s">
        <v>220</v>
      </c>
      <c r="E20">
        <f>HYPERLINK("https://www.britishcycling.org.uk/points?person_id=100935&amp;year=2019&amp;type=national&amp;d=6","Results")</f>
        <v/>
      </c>
    </row>
    <row r="21" spans="1:5">
      <c r="A21" t="s">
        <v>78</v>
      </c>
      <c r="B21" t="s">
        <v>1357</v>
      </c>
      <c r="C21" t="s">
        <v>1358</v>
      </c>
      <c r="D21" t="s">
        <v>452</v>
      </c>
      <c r="E21">
        <f>HYPERLINK("https://www.britishcycling.org.uk/points?person_id=175116&amp;year=2019&amp;type=national&amp;d=6","Results")</f>
        <v/>
      </c>
    </row>
    <row r="22" spans="1:5">
      <c r="A22" t="s">
        <v>82</v>
      </c>
      <c r="B22" t="s">
        <v>1359</v>
      </c>
      <c r="C22" t="s">
        <v>230</v>
      </c>
      <c r="D22" t="s">
        <v>450</v>
      </c>
      <c r="E22">
        <f>HYPERLINK("https://www.britishcycling.org.uk/points?person_id=444211&amp;year=2019&amp;type=national&amp;d=6","Results")</f>
        <v/>
      </c>
    </row>
    <row r="23" spans="1:5">
      <c r="A23" t="s">
        <v>85</v>
      </c>
      <c r="B23" t="s">
        <v>1360</v>
      </c>
      <c r="C23" t="s">
        <v>472</v>
      </c>
      <c r="D23" t="s">
        <v>448</v>
      </c>
      <c r="E23">
        <f>HYPERLINK("https://www.britishcycling.org.uk/points?person_id=129559&amp;year=2019&amp;type=national&amp;d=6","Results")</f>
        <v/>
      </c>
    </row>
    <row r="24" spans="1:5">
      <c r="A24" t="s">
        <v>89</v>
      </c>
      <c r="B24" t="s">
        <v>1361</v>
      </c>
      <c r="C24" t="s">
        <v>1329</v>
      </c>
      <c r="D24" t="s">
        <v>276</v>
      </c>
      <c r="E24">
        <f>HYPERLINK("https://www.britishcycling.org.uk/points?person_id=177830&amp;year=2019&amp;type=national&amp;d=6","Results")</f>
        <v/>
      </c>
    </row>
    <row r="25" spans="1:5">
      <c r="A25" t="s">
        <v>92</v>
      </c>
      <c r="B25" t="s">
        <v>1362</v>
      </c>
      <c r="C25" t="s">
        <v>1344</v>
      </c>
      <c r="D25" t="s">
        <v>436</v>
      </c>
      <c r="E25">
        <f>HYPERLINK("https://www.britishcycling.org.uk/points?person_id=578018&amp;year=2019&amp;type=national&amp;d=6","Results")</f>
        <v/>
      </c>
    </row>
    <row r="26" spans="1:5">
      <c r="A26" t="s">
        <v>96</v>
      </c>
      <c r="B26" t="s">
        <v>1363</v>
      </c>
      <c r="C26" t="s">
        <v>1364</v>
      </c>
      <c r="D26" t="s">
        <v>296</v>
      </c>
      <c r="E26">
        <f>HYPERLINK("https://www.britishcycling.org.uk/points?person_id=716453&amp;year=2019&amp;type=national&amp;d=6","Results")</f>
        <v/>
      </c>
    </row>
    <row r="27" spans="1:5">
      <c r="A27" t="s">
        <v>99</v>
      </c>
      <c r="B27" t="s">
        <v>1365</v>
      </c>
      <c r="C27" t="s">
        <v>101</v>
      </c>
      <c r="D27" t="s">
        <v>296</v>
      </c>
      <c r="E27">
        <f>HYPERLINK("https://www.britishcycling.org.uk/points?person_id=261621&amp;year=2019&amp;type=national&amp;d=6","Results")</f>
        <v/>
      </c>
    </row>
    <row r="28" spans="1:5">
      <c r="A28" t="s">
        <v>103</v>
      </c>
      <c r="B28" t="s">
        <v>1366</v>
      </c>
      <c r="C28" t="s">
        <v>287</v>
      </c>
      <c r="D28" t="s">
        <v>410</v>
      </c>
      <c r="E28">
        <f>HYPERLINK("https://www.britishcycling.org.uk/points?person_id=277135&amp;year=2019&amp;type=national&amp;d=6","Results")</f>
        <v/>
      </c>
    </row>
    <row r="29" spans="1:5">
      <c r="A29" t="s">
        <v>107</v>
      </c>
      <c r="B29" t="s">
        <v>1367</v>
      </c>
      <c r="C29" t="s">
        <v>23</v>
      </c>
      <c r="D29" t="s">
        <v>309</v>
      </c>
      <c r="E29">
        <f>HYPERLINK("https://www.britishcycling.org.uk/points?person_id=306228&amp;year=2019&amp;type=national&amp;d=6","Results")</f>
        <v/>
      </c>
    </row>
    <row r="30" spans="1:5">
      <c r="A30" t="s">
        <v>111</v>
      </c>
      <c r="B30" t="s">
        <v>1368</v>
      </c>
      <c r="C30" t="s">
        <v>746</v>
      </c>
      <c r="D30" t="s">
        <v>399</v>
      </c>
      <c r="E30">
        <f>HYPERLINK("https://www.britishcycling.org.uk/points?person_id=181196&amp;year=2019&amp;type=national&amp;d=6","Results")</f>
        <v/>
      </c>
    </row>
    <row r="31" spans="1:5">
      <c r="A31" t="s">
        <v>115</v>
      </c>
      <c r="B31" t="s">
        <v>1369</v>
      </c>
      <c r="C31" t="s">
        <v>1370</v>
      </c>
      <c r="D31" t="s">
        <v>332</v>
      </c>
      <c r="E31">
        <f>HYPERLINK("https://www.britishcycling.org.uk/points?person_id=311695&amp;year=2019&amp;type=national&amp;d=6","Results")</f>
        <v/>
      </c>
    </row>
    <row r="32" spans="1:5">
      <c r="A32" t="s">
        <v>119</v>
      </c>
      <c r="B32" t="s">
        <v>1371</v>
      </c>
      <c r="C32" t="s">
        <v>186</v>
      </c>
      <c r="D32" t="s">
        <v>370</v>
      </c>
      <c r="E32">
        <f>HYPERLINK("https://www.britishcycling.org.uk/points?person_id=404233&amp;year=2019&amp;type=national&amp;d=6","Results")</f>
        <v/>
      </c>
    </row>
    <row r="33" spans="1:5">
      <c r="A33" t="s">
        <v>123</v>
      </c>
      <c r="B33" t="s">
        <v>1372</v>
      </c>
      <c r="C33" t="s">
        <v>1373</v>
      </c>
      <c r="D33" t="s">
        <v>364</v>
      </c>
      <c r="E33">
        <f>HYPERLINK("https://www.britishcycling.org.uk/points?person_id=263088&amp;year=2019&amp;type=national&amp;d=6","Results")</f>
        <v/>
      </c>
    </row>
    <row r="34" spans="1:5">
      <c r="A34" t="s">
        <v>127</v>
      </c>
      <c r="B34" t="s">
        <v>1374</v>
      </c>
      <c r="C34" t="s">
        <v>403</v>
      </c>
      <c r="D34" t="s">
        <v>343</v>
      </c>
      <c r="E34">
        <f>HYPERLINK("https://www.britishcycling.org.uk/points?person_id=391471&amp;year=2019&amp;type=national&amp;d=6","Results")</f>
        <v/>
      </c>
    </row>
    <row r="35" spans="1:5">
      <c r="A35" t="s">
        <v>130</v>
      </c>
      <c r="B35" t="s">
        <v>1375</v>
      </c>
      <c r="C35" t="s">
        <v>1346</v>
      </c>
      <c r="D35" t="s">
        <v>356</v>
      </c>
      <c r="E35">
        <f>HYPERLINK("https://www.britishcycling.org.uk/points?person_id=205090&amp;year=2019&amp;type=national&amp;d=6","Results")</f>
        <v/>
      </c>
    </row>
    <row r="36" spans="1:5">
      <c r="A36" t="s">
        <v>133</v>
      </c>
      <c r="B36" t="s">
        <v>1376</v>
      </c>
      <c r="C36" t="s">
        <v>663</v>
      </c>
      <c r="D36" t="s">
        <v>344</v>
      </c>
      <c r="E36">
        <f>HYPERLINK("https://www.britishcycling.org.uk/points?person_id=465777&amp;year=2019&amp;type=national&amp;d=6","Results")</f>
        <v/>
      </c>
    </row>
    <row r="37" spans="1:5">
      <c r="A37" t="s">
        <v>137</v>
      </c>
      <c r="B37" t="s">
        <v>1377</v>
      </c>
      <c r="C37" t="s">
        <v>498</v>
      </c>
      <c r="D37" t="s">
        <v>341</v>
      </c>
      <c r="E37">
        <f>HYPERLINK("https://www.britishcycling.org.uk/points?person_id=413603&amp;year=2019&amp;type=national&amp;d=6","Results")</f>
        <v/>
      </c>
    </row>
    <row r="38" spans="1:5">
      <c r="A38" t="s">
        <v>141</v>
      </c>
      <c r="B38" t="s">
        <v>1378</v>
      </c>
      <c r="C38" t="s">
        <v>827</v>
      </c>
      <c r="D38" t="s">
        <v>317</v>
      </c>
      <c r="E38">
        <f>HYPERLINK("https://www.britishcycling.org.uk/points?person_id=296084&amp;year=2019&amp;type=national&amp;d=6","Results")</f>
        <v/>
      </c>
    </row>
    <row r="39" spans="1:5">
      <c r="A39" t="s">
        <v>145</v>
      </c>
      <c r="B39" t="s">
        <v>1379</v>
      </c>
      <c r="C39" t="s">
        <v>287</v>
      </c>
      <c r="D39" t="s">
        <v>317</v>
      </c>
      <c r="E39">
        <f>HYPERLINK("https://www.britishcycling.org.uk/points?person_id=134351&amp;year=2019&amp;type=national&amp;d=6","Results")</f>
        <v/>
      </c>
    </row>
    <row r="40" spans="1:5">
      <c r="A40" t="s">
        <v>148</v>
      </c>
      <c r="B40" t="s">
        <v>1380</v>
      </c>
      <c r="C40" t="s">
        <v>331</v>
      </c>
      <c r="D40" t="s">
        <v>317</v>
      </c>
      <c r="E40">
        <f>HYPERLINK("https://www.britishcycling.org.uk/points?person_id=176273&amp;year=2019&amp;type=national&amp;d=6","Results")</f>
        <v/>
      </c>
    </row>
    <row r="41" spans="1:5">
      <c r="A41" t="s">
        <v>151</v>
      </c>
      <c r="B41" t="s">
        <v>1381</v>
      </c>
      <c r="C41" t="s">
        <v>1382</v>
      </c>
      <c r="D41" t="s">
        <v>307</v>
      </c>
      <c r="E41">
        <f>HYPERLINK("https://www.britishcycling.org.uk/points?person_id=368133&amp;year=2019&amp;type=national&amp;d=6","Results")</f>
        <v/>
      </c>
    </row>
    <row r="42" spans="1:5">
      <c r="A42" t="s">
        <v>155</v>
      </c>
      <c r="B42" t="s">
        <v>1383</v>
      </c>
      <c r="C42" t="s">
        <v>1384</v>
      </c>
      <c r="D42" t="s">
        <v>304</v>
      </c>
      <c r="E42">
        <f>HYPERLINK("https://www.britishcycling.org.uk/points?person_id=195859&amp;year=2019&amp;type=national&amp;d=6","Results")</f>
        <v/>
      </c>
    </row>
    <row r="43" spans="1:5">
      <c r="A43" t="s">
        <v>158</v>
      </c>
      <c r="B43" t="s">
        <v>1385</v>
      </c>
      <c r="C43" t="s">
        <v>1091</v>
      </c>
      <c r="D43" t="s">
        <v>297</v>
      </c>
      <c r="E43">
        <f>HYPERLINK("https://www.britishcycling.org.uk/points?person_id=292891&amp;year=2019&amp;type=national&amp;d=6","Results")</f>
        <v/>
      </c>
    </row>
    <row r="44" spans="1:5">
      <c r="A44" t="s">
        <v>161</v>
      </c>
      <c r="B44" t="s">
        <v>1386</v>
      </c>
      <c r="C44" t="s">
        <v>469</v>
      </c>
      <c r="D44" t="s">
        <v>285</v>
      </c>
      <c r="E44">
        <f>HYPERLINK("https://www.britishcycling.org.uk/points?person_id=220386&amp;year=2019&amp;type=national&amp;d=6","Results")</f>
        <v/>
      </c>
    </row>
    <row r="45" spans="1:5">
      <c r="A45" t="s">
        <v>165</v>
      </c>
      <c r="B45" t="s">
        <v>1387</v>
      </c>
      <c r="C45" t="s">
        <v>174</v>
      </c>
      <c r="D45" t="s">
        <v>281</v>
      </c>
      <c r="E45">
        <f>HYPERLINK("https://www.britishcycling.org.uk/points?person_id=388806&amp;year=2019&amp;type=national&amp;d=6","Results")</f>
        <v/>
      </c>
    </row>
    <row r="46" spans="1:5">
      <c r="A46" t="s">
        <v>168</v>
      </c>
      <c r="B46" t="s">
        <v>1388</v>
      </c>
      <c r="C46" t="s">
        <v>80</v>
      </c>
      <c r="D46" t="s">
        <v>274</v>
      </c>
      <c r="E46">
        <f>HYPERLINK("https://www.britishcycling.org.uk/points?person_id=598859&amp;year=2019&amp;type=national&amp;d=6","Results")</f>
        <v/>
      </c>
    </row>
    <row r="47" spans="1:5">
      <c r="A47" t="s">
        <v>172</v>
      </c>
      <c r="B47" t="s">
        <v>1389</v>
      </c>
      <c r="C47" t="s">
        <v>1091</v>
      </c>
      <c r="D47" t="s">
        <v>267</v>
      </c>
      <c r="E47">
        <f>HYPERLINK("https://www.britishcycling.org.uk/points?person_id=199708&amp;year=2019&amp;type=national&amp;d=6","Results")</f>
        <v/>
      </c>
    </row>
    <row r="48" spans="1:5">
      <c r="A48" t="s">
        <v>176</v>
      </c>
      <c r="B48" t="s">
        <v>1390</v>
      </c>
      <c r="C48" t="s">
        <v>1391</v>
      </c>
      <c r="D48" t="s">
        <v>257</v>
      </c>
      <c r="E48">
        <f>HYPERLINK("https://www.britishcycling.org.uk/points?person_id=538956&amp;year=2019&amp;type=national&amp;d=6","Results")</f>
        <v/>
      </c>
    </row>
    <row r="49" spans="1:5">
      <c r="A49" t="s">
        <v>180</v>
      </c>
      <c r="B49" t="s">
        <v>1392</v>
      </c>
      <c r="C49" t="s">
        <v>919</v>
      </c>
      <c r="D49" t="s">
        <v>250</v>
      </c>
      <c r="E49">
        <f>HYPERLINK("https://www.britishcycling.org.uk/points?person_id=199327&amp;year=2019&amp;type=national&amp;d=6","Results")</f>
        <v/>
      </c>
    </row>
    <row r="50" spans="1:5">
      <c r="A50" t="s">
        <v>184</v>
      </c>
      <c r="B50" t="s">
        <v>1393</v>
      </c>
      <c r="C50" t="s">
        <v>1344</v>
      </c>
      <c r="D50" t="s">
        <v>244</v>
      </c>
      <c r="E50">
        <f>HYPERLINK("https://www.britishcycling.org.uk/points?person_id=188603&amp;year=2019&amp;type=national&amp;d=6","Results")</f>
        <v/>
      </c>
    </row>
    <row r="51" spans="1:5">
      <c r="A51" t="s">
        <v>188</v>
      </c>
      <c r="B51" t="s">
        <v>1394</v>
      </c>
      <c r="C51" t="s">
        <v>615</v>
      </c>
      <c r="D51" t="s">
        <v>236</v>
      </c>
      <c r="E51">
        <f>HYPERLINK("https://www.britishcycling.org.uk/points?person_id=238437&amp;year=2019&amp;type=national&amp;d=6","Results")</f>
        <v/>
      </c>
    </row>
    <row r="52" spans="1:5">
      <c r="A52" t="s">
        <v>192</v>
      </c>
      <c r="B52" t="s">
        <v>1395</v>
      </c>
      <c r="C52" t="s">
        <v>940</v>
      </c>
      <c r="D52" t="s">
        <v>236</v>
      </c>
      <c r="E52">
        <f>HYPERLINK("https://www.britishcycling.org.uk/points?person_id=312109&amp;year=2019&amp;type=national&amp;d=6","Results")</f>
        <v/>
      </c>
    </row>
    <row r="53" spans="1:5">
      <c r="A53" t="s">
        <v>196</v>
      </c>
      <c r="B53" t="s">
        <v>1396</v>
      </c>
      <c r="C53" t="s">
        <v>1397</v>
      </c>
      <c r="D53" t="s">
        <v>232</v>
      </c>
      <c r="E53">
        <f>HYPERLINK("https://www.britishcycling.org.uk/points?person_id=418955&amp;year=2019&amp;type=national&amp;d=6","Results")</f>
        <v/>
      </c>
    </row>
    <row r="54" spans="1:5">
      <c r="A54" t="s">
        <v>199</v>
      </c>
      <c r="B54" t="s">
        <v>1398</v>
      </c>
      <c r="C54" t="s">
        <v>1399</v>
      </c>
      <c r="D54" t="s">
        <v>232</v>
      </c>
      <c r="E54">
        <f>HYPERLINK("https://www.britishcycling.org.uk/points?person_id=39362&amp;year=2019&amp;type=national&amp;d=6","Results")</f>
        <v/>
      </c>
    </row>
    <row r="55" spans="1:5">
      <c r="A55" t="s">
        <v>203</v>
      </c>
      <c r="B55" t="s">
        <v>1400</v>
      </c>
      <c r="C55" t="s">
        <v>959</v>
      </c>
      <c r="D55" t="s">
        <v>228</v>
      </c>
      <c r="E55">
        <f>HYPERLINK("https://www.britishcycling.org.uk/points?person_id=300937&amp;year=2019&amp;type=national&amp;d=6","Results")</f>
        <v/>
      </c>
    </row>
    <row r="56" spans="1:5">
      <c r="A56" t="s">
        <v>207</v>
      </c>
      <c r="B56" t="s">
        <v>1401</v>
      </c>
      <c r="C56" t="s">
        <v>959</v>
      </c>
      <c r="D56" t="s">
        <v>225</v>
      </c>
      <c r="E56">
        <f>HYPERLINK("https://www.britishcycling.org.uk/points?person_id=402349&amp;year=2019&amp;type=national&amp;d=6","Results")</f>
        <v/>
      </c>
    </row>
    <row r="57" spans="1:5">
      <c r="A57" t="s">
        <v>210</v>
      </c>
      <c r="B57" t="s">
        <v>1402</v>
      </c>
      <c r="C57" t="s">
        <v>45</v>
      </c>
      <c r="D57" t="s">
        <v>225</v>
      </c>
      <c r="E57">
        <f>HYPERLINK("https://www.britishcycling.org.uk/points?person_id=268431&amp;year=2019&amp;type=national&amp;d=6","Results")</f>
        <v/>
      </c>
    </row>
    <row r="58" spans="1:5">
      <c r="A58" t="s">
        <v>214</v>
      </c>
      <c r="B58" t="s">
        <v>1403</v>
      </c>
      <c r="C58" t="s">
        <v>45</v>
      </c>
      <c r="D58" t="s">
        <v>221</v>
      </c>
      <c r="E58">
        <f>HYPERLINK("https://www.britishcycling.org.uk/points?person_id=707393&amp;year=2019&amp;type=national&amp;d=6","Results")</f>
        <v/>
      </c>
    </row>
    <row r="59" spans="1:5">
      <c r="A59" t="s">
        <v>218</v>
      </c>
      <c r="B59" t="s">
        <v>1404</v>
      </c>
      <c r="C59" t="s">
        <v>346</v>
      </c>
      <c r="D59" t="s">
        <v>221</v>
      </c>
      <c r="E59">
        <f>HYPERLINK("https://www.britishcycling.org.uk/points?person_id=171565&amp;year=2019&amp;type=national&amp;d=6","Results")</f>
        <v/>
      </c>
    </row>
    <row r="60" spans="1:5">
      <c r="A60" t="s">
        <v>221</v>
      </c>
      <c r="B60" t="s">
        <v>1405</v>
      </c>
      <c r="C60" t="s">
        <v>1010</v>
      </c>
      <c r="D60" t="s">
        <v>210</v>
      </c>
      <c r="E60">
        <f>HYPERLINK("https://www.britishcycling.org.uk/points?person_id=352634&amp;year=2019&amp;type=national&amp;d=6","Results")</f>
        <v/>
      </c>
    </row>
    <row r="61" spans="1:5">
      <c r="A61" t="s">
        <v>225</v>
      </c>
      <c r="B61" t="s">
        <v>1406</v>
      </c>
      <c r="C61" t="s">
        <v>429</v>
      </c>
      <c r="D61" t="s">
        <v>207</v>
      </c>
      <c r="E61">
        <f>HYPERLINK("https://www.britishcycling.org.uk/points?person_id=313490&amp;year=2019&amp;type=national&amp;d=6","Results")</f>
        <v/>
      </c>
    </row>
    <row r="62" spans="1:5">
      <c r="A62" t="s">
        <v>228</v>
      </c>
      <c r="B62" t="s">
        <v>1407</v>
      </c>
      <c r="C62" t="s">
        <v>961</v>
      </c>
      <c r="D62" t="s">
        <v>192</v>
      </c>
      <c r="E62">
        <f>HYPERLINK("https://www.britishcycling.org.uk/points?person_id=189907&amp;year=2019&amp;type=national&amp;d=6","Results")</f>
        <v/>
      </c>
    </row>
    <row r="63" spans="1:5">
      <c r="A63" t="s">
        <v>232</v>
      </c>
      <c r="B63" t="s">
        <v>1408</v>
      </c>
      <c r="C63" t="s">
        <v>1409</v>
      </c>
      <c r="D63" t="s">
        <v>180</v>
      </c>
      <c r="E63">
        <f>HYPERLINK("https://www.britishcycling.org.uk/points?person_id=405786&amp;year=2019&amp;type=national&amp;d=6","Results")</f>
        <v/>
      </c>
    </row>
    <row r="64" spans="1:5">
      <c r="A64" t="s">
        <v>236</v>
      </c>
      <c r="B64" t="s">
        <v>1410</v>
      </c>
      <c r="C64" t="s">
        <v>1411</v>
      </c>
      <c r="D64" t="s">
        <v>180</v>
      </c>
      <c r="E64">
        <f>HYPERLINK("https://www.britishcycling.org.uk/points?person_id=386480&amp;year=2019&amp;type=national&amp;d=6","Results")</f>
        <v/>
      </c>
    </row>
    <row r="65" spans="1:5">
      <c r="A65" t="s">
        <v>239</v>
      </c>
      <c r="B65" t="s">
        <v>1412</v>
      </c>
      <c r="C65" t="s">
        <v>383</v>
      </c>
      <c r="D65" t="s">
        <v>172</v>
      </c>
      <c r="E65">
        <f>HYPERLINK("https://www.britishcycling.org.uk/points?person_id=501636&amp;year=2019&amp;type=national&amp;d=6","Results")</f>
        <v/>
      </c>
    </row>
    <row r="66" spans="1:5">
      <c r="A66" t="s">
        <v>241</v>
      </c>
      <c r="B66" t="s">
        <v>1413</v>
      </c>
      <c r="C66" t="s">
        <v>101</v>
      </c>
      <c r="D66" t="s">
        <v>165</v>
      </c>
      <c r="E66">
        <f>HYPERLINK("https://www.britishcycling.org.uk/points?person_id=238872&amp;year=2019&amp;type=national&amp;d=6","Results")</f>
        <v/>
      </c>
    </row>
    <row r="67" spans="1:5">
      <c r="A67" t="s">
        <v>244</v>
      </c>
      <c r="B67" t="s">
        <v>1414</v>
      </c>
      <c r="C67" t="s">
        <v>1415</v>
      </c>
      <c r="D67" t="s">
        <v>161</v>
      </c>
      <c r="E67">
        <f>HYPERLINK("https://www.britishcycling.org.uk/points?person_id=28887&amp;year=2019&amp;type=national&amp;d=6","Results")</f>
        <v/>
      </c>
    </row>
    <row r="68" spans="1:5">
      <c r="A68" t="s">
        <v>247</v>
      </c>
      <c r="B68" t="s">
        <v>1416</v>
      </c>
      <c r="C68" t="s">
        <v>358</v>
      </c>
      <c r="D68" t="s">
        <v>151</v>
      </c>
      <c r="E68">
        <f>HYPERLINK("https://www.britishcycling.org.uk/points?person_id=297300&amp;year=2019&amp;type=national&amp;d=6","Results")</f>
        <v/>
      </c>
    </row>
    <row r="69" spans="1:5">
      <c r="A69" t="s">
        <v>250</v>
      </c>
      <c r="B69" t="s">
        <v>1417</v>
      </c>
      <c r="C69" t="s">
        <v>1418</v>
      </c>
      <c r="D69" t="s">
        <v>145</v>
      </c>
      <c r="E69">
        <f>HYPERLINK("https://www.britishcycling.org.uk/points?person_id=107278&amp;year=2019&amp;type=national&amp;d=6","Results")</f>
        <v/>
      </c>
    </row>
    <row r="70" spans="1:5">
      <c r="A70" t="s">
        <v>254</v>
      </c>
      <c r="B70" t="s">
        <v>1419</v>
      </c>
      <c r="C70" t="s">
        <v>1420</v>
      </c>
      <c r="D70" t="s">
        <v>141</v>
      </c>
      <c r="E70">
        <f>HYPERLINK("https://www.britishcycling.org.uk/points?person_id=649361&amp;year=2019&amp;type=national&amp;d=6","Results")</f>
        <v/>
      </c>
    </row>
    <row r="71" spans="1:5">
      <c r="A71" t="s">
        <v>257</v>
      </c>
      <c r="B71" t="s">
        <v>1421</v>
      </c>
      <c r="C71" t="s">
        <v>57</v>
      </c>
      <c r="D71" t="s">
        <v>141</v>
      </c>
      <c r="E71">
        <f>HYPERLINK("https://www.britishcycling.org.uk/points?person_id=224581&amp;year=2019&amp;type=national&amp;d=6","Results")</f>
        <v/>
      </c>
    </row>
    <row r="72" spans="1:5">
      <c r="A72" t="s">
        <v>260</v>
      </c>
      <c r="B72" t="s">
        <v>1422</v>
      </c>
      <c r="C72" t="s">
        <v>45</v>
      </c>
      <c r="D72" t="s">
        <v>137</v>
      </c>
      <c r="E72">
        <f>HYPERLINK("https://www.britishcycling.org.uk/points?person_id=116849&amp;year=2019&amp;type=national&amp;d=6","Results")</f>
        <v/>
      </c>
    </row>
    <row r="73" spans="1:5">
      <c r="A73" t="s">
        <v>264</v>
      </c>
      <c r="B73" t="s">
        <v>1423</v>
      </c>
      <c r="C73" t="s">
        <v>1424</v>
      </c>
      <c r="D73" t="s">
        <v>137</v>
      </c>
      <c r="E73">
        <f>HYPERLINK("https://www.britishcycling.org.uk/points?person_id=561514&amp;year=2019&amp;type=national&amp;d=6","Results")</f>
        <v/>
      </c>
    </row>
    <row r="74" spans="1:5">
      <c r="A74" t="s">
        <v>267</v>
      </c>
      <c r="B74" t="s">
        <v>1425</v>
      </c>
      <c r="C74" t="s">
        <v>283</v>
      </c>
      <c r="D74" t="s">
        <v>133</v>
      </c>
      <c r="E74">
        <f>HYPERLINK("https://www.britishcycling.org.uk/points?person_id=477623&amp;year=2019&amp;type=national&amp;d=6","Results")</f>
        <v/>
      </c>
    </row>
    <row r="75" spans="1:5">
      <c r="A75" t="s">
        <v>270</v>
      </c>
      <c r="B75" t="s">
        <v>1426</v>
      </c>
      <c r="C75" t="s"/>
      <c r="D75" t="s">
        <v>130</v>
      </c>
      <c r="E75">
        <f>HYPERLINK("https://www.britishcycling.org.uk/points?person_id=831035&amp;year=2019&amp;type=national&amp;d=6","Results")</f>
        <v/>
      </c>
    </row>
    <row r="76" spans="1:5">
      <c r="A76" t="s">
        <v>274</v>
      </c>
      <c r="B76" t="s">
        <v>1427</v>
      </c>
      <c r="C76" t="s">
        <v>57</v>
      </c>
      <c r="D76" t="s">
        <v>130</v>
      </c>
      <c r="E76">
        <f>HYPERLINK("https://www.britishcycling.org.uk/points?person_id=316796&amp;year=2019&amp;type=national&amp;d=6","Results")</f>
        <v/>
      </c>
    </row>
    <row r="77" spans="1:5">
      <c r="A77" t="s">
        <v>277</v>
      </c>
      <c r="B77" t="s">
        <v>1428</v>
      </c>
      <c r="C77" t="s">
        <v>663</v>
      </c>
      <c r="D77" t="s">
        <v>123</v>
      </c>
      <c r="E77">
        <f>HYPERLINK("https://www.britishcycling.org.uk/points?person_id=540745&amp;year=2019&amp;type=national&amp;d=6","Results")</f>
        <v/>
      </c>
    </row>
    <row r="78" spans="1:5">
      <c r="A78" t="s">
        <v>281</v>
      </c>
      <c r="B78" t="s">
        <v>1429</v>
      </c>
      <c r="C78" t="s">
        <v>919</v>
      </c>
      <c r="D78" t="s">
        <v>123</v>
      </c>
      <c r="E78">
        <f>HYPERLINK("https://www.britishcycling.org.uk/points?person_id=99435&amp;year=2019&amp;type=national&amp;d=6","Results")</f>
        <v/>
      </c>
    </row>
    <row r="79" spans="1:5">
      <c r="A79" t="s">
        <v>285</v>
      </c>
      <c r="B79" t="s">
        <v>1430</v>
      </c>
      <c r="C79" t="s">
        <v>1431</v>
      </c>
      <c r="D79" t="s">
        <v>123</v>
      </c>
      <c r="E79">
        <f>HYPERLINK("https://www.britishcycling.org.uk/points?person_id=190855&amp;year=2019&amp;type=national&amp;d=6","Results")</f>
        <v/>
      </c>
    </row>
    <row r="80" spans="1:5">
      <c r="A80" t="s">
        <v>289</v>
      </c>
      <c r="B80" t="s">
        <v>1432</v>
      </c>
      <c r="C80" t="s">
        <v>1433</v>
      </c>
      <c r="D80" t="s">
        <v>119</v>
      </c>
      <c r="E80">
        <f>HYPERLINK("https://www.britishcycling.org.uk/points?person_id=837748&amp;year=2019&amp;type=national&amp;d=6","Results")</f>
        <v/>
      </c>
    </row>
    <row r="81" spans="1:5">
      <c r="A81" t="s">
        <v>293</v>
      </c>
      <c r="B81" t="s">
        <v>1434</v>
      </c>
      <c r="C81" t="s">
        <v>198</v>
      </c>
      <c r="D81" t="s">
        <v>119</v>
      </c>
      <c r="E81">
        <f>HYPERLINK("https://www.britishcycling.org.uk/points?person_id=255116&amp;year=2019&amp;type=national&amp;d=6","Results")</f>
        <v/>
      </c>
    </row>
    <row r="82" spans="1:5">
      <c r="A82" t="s">
        <v>297</v>
      </c>
      <c r="B82" t="s">
        <v>1435</v>
      </c>
      <c r="C82" t="s">
        <v>1056</v>
      </c>
      <c r="D82" t="s">
        <v>115</v>
      </c>
      <c r="E82">
        <f>HYPERLINK("https://www.britishcycling.org.uk/points?person_id=272379&amp;year=2019&amp;type=national&amp;d=6","Results")</f>
        <v/>
      </c>
    </row>
    <row r="83" spans="1:5">
      <c r="A83" t="s">
        <v>301</v>
      </c>
      <c r="B83" t="s">
        <v>1436</v>
      </c>
      <c r="C83" t="s">
        <v>170</v>
      </c>
      <c r="D83" t="s">
        <v>115</v>
      </c>
      <c r="E83">
        <f>HYPERLINK("https://www.britishcycling.org.uk/points?person_id=290073&amp;year=2019&amp;type=national&amp;d=6","Results")</f>
        <v/>
      </c>
    </row>
    <row r="84" spans="1:5">
      <c r="A84" t="s">
        <v>304</v>
      </c>
      <c r="B84" t="s">
        <v>1437</v>
      </c>
      <c r="C84" t="s">
        <v>827</v>
      </c>
      <c r="D84" t="s">
        <v>115</v>
      </c>
      <c r="E84">
        <f>HYPERLINK("https://www.britishcycling.org.uk/points?person_id=175486&amp;year=2019&amp;type=national&amp;d=6","Results")</f>
        <v/>
      </c>
    </row>
    <row r="85" spans="1:5">
      <c r="A85" t="s">
        <v>307</v>
      </c>
      <c r="B85" t="s">
        <v>1438</v>
      </c>
      <c r="C85" t="s">
        <v>663</v>
      </c>
      <c r="D85" t="s">
        <v>115</v>
      </c>
      <c r="E85">
        <f>HYPERLINK("https://www.britishcycling.org.uk/points?person_id=515895&amp;year=2019&amp;type=national&amp;d=6","Results")</f>
        <v/>
      </c>
    </row>
    <row r="86" spans="1:5">
      <c r="A86" t="s">
        <v>310</v>
      </c>
      <c r="B86" t="s">
        <v>1439</v>
      </c>
      <c r="C86" t="s">
        <v>1440</v>
      </c>
      <c r="D86" t="s">
        <v>115</v>
      </c>
      <c r="E86">
        <f>HYPERLINK("https://www.britishcycling.org.uk/points?person_id=294312&amp;year=2019&amp;type=national&amp;d=6","Results")</f>
        <v/>
      </c>
    </row>
    <row r="87" spans="1:5">
      <c r="A87" t="s">
        <v>313</v>
      </c>
      <c r="B87" t="s">
        <v>1441</v>
      </c>
      <c r="C87" t="s">
        <v>1133</v>
      </c>
      <c r="D87" t="s">
        <v>115</v>
      </c>
      <c r="E87">
        <f>HYPERLINK("https://www.britishcycling.org.uk/points?person_id=219147&amp;year=2019&amp;type=national&amp;d=6","Results")</f>
        <v/>
      </c>
    </row>
    <row r="88" spans="1:5">
      <c r="A88" t="s">
        <v>317</v>
      </c>
      <c r="B88" t="s">
        <v>1442</v>
      </c>
      <c r="C88" t="s">
        <v>1443</v>
      </c>
      <c r="D88" t="s">
        <v>115</v>
      </c>
      <c r="E88">
        <f>HYPERLINK("https://www.britishcycling.org.uk/points?person_id=260883&amp;year=2019&amp;type=national&amp;d=6","Results")</f>
        <v/>
      </c>
    </row>
    <row r="89" spans="1:5">
      <c r="A89" t="s">
        <v>319</v>
      </c>
      <c r="B89" t="s">
        <v>1444</v>
      </c>
      <c r="C89" t="s">
        <v>198</v>
      </c>
      <c r="D89" t="s">
        <v>111</v>
      </c>
      <c r="E89">
        <f>HYPERLINK("https://www.britishcycling.org.uk/points?person_id=263950&amp;year=2019&amp;type=national&amp;d=6","Results")</f>
        <v/>
      </c>
    </row>
    <row r="90" spans="1:5">
      <c r="A90" t="s">
        <v>322</v>
      </c>
      <c r="B90" t="s">
        <v>1445</v>
      </c>
      <c r="C90" t="s">
        <v>101</v>
      </c>
      <c r="D90" t="s">
        <v>111</v>
      </c>
      <c r="E90">
        <f>HYPERLINK("https://www.britishcycling.org.uk/points?person_id=235221&amp;year=2019&amp;type=national&amp;d=6","Results")</f>
        <v/>
      </c>
    </row>
    <row r="91" spans="1:5">
      <c r="A91" t="s">
        <v>326</v>
      </c>
      <c r="B91" t="s">
        <v>1446</v>
      </c>
      <c r="C91" t="s">
        <v>592</v>
      </c>
      <c r="D91" t="s">
        <v>111</v>
      </c>
      <c r="E91">
        <f>HYPERLINK("https://www.britishcycling.org.uk/points?person_id=631977&amp;year=2019&amp;type=national&amp;d=6","Results")</f>
        <v/>
      </c>
    </row>
    <row r="92" spans="1:5">
      <c r="A92" t="s">
        <v>329</v>
      </c>
      <c r="B92" t="s">
        <v>1447</v>
      </c>
      <c r="C92" t="s">
        <v>961</v>
      </c>
      <c r="D92" t="s">
        <v>111</v>
      </c>
      <c r="E92">
        <f>HYPERLINK("https://www.britishcycling.org.uk/points?person_id=265313&amp;year=2019&amp;type=national&amp;d=6","Results")</f>
        <v/>
      </c>
    </row>
    <row r="93" spans="1:5">
      <c r="A93" t="s">
        <v>333</v>
      </c>
      <c r="B93" t="s">
        <v>1448</v>
      </c>
      <c r="C93" t="s">
        <v>94</v>
      </c>
      <c r="D93" t="s">
        <v>111</v>
      </c>
      <c r="E93">
        <f>HYPERLINK("https://www.britishcycling.org.uk/points?person_id=565813&amp;year=2019&amp;type=national&amp;d=6","Results")</f>
        <v/>
      </c>
    </row>
    <row r="94" spans="1:5">
      <c r="A94" t="s">
        <v>337</v>
      </c>
      <c r="B94" t="s">
        <v>1449</v>
      </c>
      <c r="C94" t="s">
        <v>1450</v>
      </c>
      <c r="D94" t="s">
        <v>107</v>
      </c>
      <c r="E94">
        <f>HYPERLINK("https://www.britishcycling.org.uk/points?person_id=171750&amp;year=2019&amp;type=national&amp;d=6","Results")</f>
        <v/>
      </c>
    </row>
    <row r="95" spans="1:5">
      <c r="A95" t="s">
        <v>341</v>
      </c>
      <c r="B95" t="s">
        <v>1451</v>
      </c>
      <c r="C95" t="s">
        <v>1452</v>
      </c>
      <c r="D95" t="s">
        <v>107</v>
      </c>
      <c r="E95">
        <f>HYPERLINK("https://www.britishcycling.org.uk/points?person_id=219676&amp;year=2019&amp;type=national&amp;d=6","Results")</f>
        <v/>
      </c>
    </row>
    <row r="96" spans="1:5">
      <c r="A96" t="s">
        <v>344</v>
      </c>
      <c r="B96" t="s">
        <v>1453</v>
      </c>
      <c r="C96" t="s">
        <v>73</v>
      </c>
      <c r="D96" t="s">
        <v>107</v>
      </c>
      <c r="E96">
        <f>HYPERLINK("https://www.britishcycling.org.uk/points?person_id=277814&amp;year=2019&amp;type=national&amp;d=6","Results")</f>
        <v/>
      </c>
    </row>
    <row r="97" spans="1:5">
      <c r="A97" t="s">
        <v>347</v>
      </c>
      <c r="B97" t="s">
        <v>1454</v>
      </c>
      <c r="C97" t="s">
        <v>691</v>
      </c>
      <c r="D97" t="s">
        <v>103</v>
      </c>
      <c r="E97">
        <f>HYPERLINK("https://www.britishcycling.org.uk/points?person_id=676667&amp;year=2019&amp;type=national&amp;d=6","Results")</f>
        <v/>
      </c>
    </row>
    <row r="98" spans="1:5">
      <c r="A98" t="s">
        <v>350</v>
      </c>
      <c r="B98" t="s">
        <v>1455</v>
      </c>
      <c r="C98" t="s">
        <v>1456</v>
      </c>
      <c r="D98" t="s">
        <v>99</v>
      </c>
      <c r="E98">
        <f>HYPERLINK("https://www.britishcycling.org.uk/points?person_id=832398&amp;year=2019&amp;type=national&amp;d=6","Results")</f>
        <v/>
      </c>
    </row>
    <row r="99" spans="1:5">
      <c r="A99" t="s">
        <v>352</v>
      </c>
      <c r="B99" t="s">
        <v>1457</v>
      </c>
      <c r="C99" t="s">
        <v>551</v>
      </c>
      <c r="D99" t="s">
        <v>99</v>
      </c>
      <c r="E99">
        <f>HYPERLINK("https://www.britishcycling.org.uk/points?person_id=839263&amp;year=2019&amp;type=national&amp;d=6","Results")</f>
        <v/>
      </c>
    </row>
    <row r="100" spans="1:5">
      <c r="A100" t="s">
        <v>349</v>
      </c>
      <c r="B100" t="s">
        <v>1458</v>
      </c>
      <c r="C100" t="s">
        <v>434</v>
      </c>
      <c r="D100" t="s">
        <v>99</v>
      </c>
      <c r="E100">
        <f>HYPERLINK("https://www.britishcycling.org.uk/points?person_id=101662&amp;year=2019&amp;type=national&amp;d=6","Results")</f>
        <v/>
      </c>
    </row>
    <row r="101" spans="1:5">
      <c r="A101" t="s">
        <v>356</v>
      </c>
      <c r="B101" t="s">
        <v>1459</v>
      </c>
      <c r="C101" t="s">
        <v>287</v>
      </c>
      <c r="D101" t="s">
        <v>96</v>
      </c>
      <c r="E101">
        <f>HYPERLINK("https://www.britishcycling.org.uk/points?person_id=226234&amp;year=2019&amp;type=national&amp;d=6","Results")</f>
        <v/>
      </c>
    </row>
    <row r="102" spans="1:5">
      <c r="A102" t="s">
        <v>359</v>
      </c>
      <c r="B102" t="s">
        <v>1460</v>
      </c>
      <c r="C102" t="s">
        <v>1461</v>
      </c>
      <c r="D102" t="s">
        <v>96</v>
      </c>
      <c r="E102">
        <f>HYPERLINK("https://www.britishcycling.org.uk/points?person_id=175851&amp;year=2019&amp;type=national&amp;d=6","Results")</f>
        <v/>
      </c>
    </row>
    <row r="103" spans="1:5">
      <c r="A103" t="s">
        <v>343</v>
      </c>
      <c r="B103" t="s">
        <v>1462</v>
      </c>
      <c r="C103" t="s">
        <v>1344</v>
      </c>
      <c r="D103" t="s">
        <v>96</v>
      </c>
      <c r="E103">
        <f>HYPERLINK("https://www.britishcycling.org.uk/points?person_id=200579&amp;year=2019&amp;type=national&amp;d=6","Results")</f>
        <v/>
      </c>
    </row>
    <row r="104" spans="1:5">
      <c r="A104" t="s">
        <v>364</v>
      </c>
      <c r="B104" t="s">
        <v>1463</v>
      </c>
      <c r="C104" t="s">
        <v>959</v>
      </c>
      <c r="D104" t="s">
        <v>96</v>
      </c>
      <c r="E104">
        <f>HYPERLINK("https://www.britishcycling.org.uk/points?person_id=390791&amp;year=2019&amp;type=national&amp;d=6","Results")</f>
        <v/>
      </c>
    </row>
    <row r="105" spans="1:5">
      <c r="A105" t="s">
        <v>340</v>
      </c>
      <c r="B105" t="s">
        <v>1464</v>
      </c>
      <c r="C105" t="s">
        <v>324</v>
      </c>
      <c r="D105" t="s">
        <v>92</v>
      </c>
      <c r="E105">
        <f>HYPERLINK("https://www.britishcycling.org.uk/points?person_id=702004&amp;year=2019&amp;type=national&amp;d=6","Results")</f>
        <v/>
      </c>
    </row>
    <row r="106" spans="1:5">
      <c r="A106" t="s">
        <v>368</v>
      </c>
      <c r="B106" t="s">
        <v>1465</v>
      </c>
      <c r="C106" t="s">
        <v>194</v>
      </c>
      <c r="D106" t="s">
        <v>89</v>
      </c>
      <c r="E106">
        <f>HYPERLINK("https://www.britishcycling.org.uk/points?person_id=401336&amp;year=2019&amp;type=national&amp;d=6","Results")</f>
        <v/>
      </c>
    </row>
    <row r="107" spans="1:5">
      <c r="A107" t="s">
        <v>370</v>
      </c>
      <c r="B107" t="s">
        <v>1466</v>
      </c>
      <c r="C107" t="s">
        <v>1467</v>
      </c>
      <c r="D107" t="s">
        <v>89</v>
      </c>
      <c r="E107">
        <f>HYPERLINK("https://www.britishcycling.org.uk/points?person_id=320096&amp;year=2019&amp;type=national&amp;d=6","Results")</f>
        <v/>
      </c>
    </row>
    <row r="108" spans="1:5">
      <c r="A108" t="s">
        <v>372</v>
      </c>
      <c r="B108" t="s">
        <v>1468</v>
      </c>
      <c r="C108" t="s">
        <v>153</v>
      </c>
      <c r="D108" t="s">
        <v>89</v>
      </c>
      <c r="E108">
        <f>HYPERLINK("https://www.britishcycling.org.uk/points?person_id=323441&amp;year=2019&amp;type=national&amp;d=6","Results")</f>
        <v/>
      </c>
    </row>
    <row r="109" spans="1:5">
      <c r="A109" t="s">
        <v>374</v>
      </c>
      <c r="B109" t="s">
        <v>1469</v>
      </c>
      <c r="C109" t="s">
        <v>238</v>
      </c>
      <c r="D109" t="s">
        <v>89</v>
      </c>
      <c r="E109">
        <f>HYPERLINK("https://www.britishcycling.org.uk/points?person_id=105565&amp;year=2019&amp;type=national&amp;d=6","Results")</f>
        <v/>
      </c>
    </row>
    <row r="110" spans="1:5">
      <c r="A110" t="s">
        <v>377</v>
      </c>
      <c r="B110" t="s">
        <v>1470</v>
      </c>
      <c r="C110" t="s">
        <v>174</v>
      </c>
      <c r="D110" t="s">
        <v>89</v>
      </c>
      <c r="E110">
        <f>HYPERLINK("https://www.britishcycling.org.uk/points?person_id=182693&amp;year=2019&amp;type=national&amp;d=6","Results")</f>
        <v/>
      </c>
    </row>
    <row r="111" spans="1:5">
      <c r="A111" t="s">
        <v>336</v>
      </c>
      <c r="B111" t="s">
        <v>1471</v>
      </c>
      <c r="C111" t="s">
        <v>514</v>
      </c>
      <c r="D111" t="s">
        <v>85</v>
      </c>
      <c r="E111">
        <f>HYPERLINK("https://www.britishcycling.org.uk/points?person_id=173676&amp;year=2019&amp;type=national&amp;d=6","Results")</f>
        <v/>
      </c>
    </row>
    <row r="112" spans="1:5">
      <c r="A112" t="s">
        <v>332</v>
      </c>
      <c r="B112" t="s">
        <v>1472</v>
      </c>
      <c r="C112" t="s">
        <v>514</v>
      </c>
      <c r="D112" t="s">
        <v>85</v>
      </c>
      <c r="E112">
        <f>HYPERLINK("https://www.britishcycling.org.uk/points?person_id=673320&amp;year=2019&amp;type=national&amp;d=6","Results")</f>
        <v/>
      </c>
    </row>
    <row r="113" spans="1:5">
      <c r="A113" t="s">
        <v>384</v>
      </c>
      <c r="B113" t="s">
        <v>1473</v>
      </c>
      <c r="C113" t="s">
        <v>212</v>
      </c>
      <c r="D113" t="s">
        <v>82</v>
      </c>
      <c r="E113">
        <f>HYPERLINK("https://www.britishcycling.org.uk/points?person_id=756637&amp;year=2019&amp;type=national&amp;d=6","Results")</f>
        <v/>
      </c>
    </row>
    <row r="114" spans="1:5">
      <c r="A114" t="s">
        <v>387</v>
      </c>
      <c r="B114" t="s">
        <v>1474</v>
      </c>
      <c r="C114" t="s">
        <v>1475</v>
      </c>
      <c r="D114" t="s">
        <v>82</v>
      </c>
      <c r="E114">
        <f>HYPERLINK("https://www.britishcycling.org.uk/points?person_id=257879&amp;year=2019&amp;type=national&amp;d=6","Results")</f>
        <v/>
      </c>
    </row>
    <row r="115" spans="1:5">
      <c r="A115" t="s">
        <v>389</v>
      </c>
      <c r="B115" t="s">
        <v>1476</v>
      </c>
      <c r="C115" t="s">
        <v>33</v>
      </c>
      <c r="D115" t="s">
        <v>82</v>
      </c>
      <c r="E115">
        <f>HYPERLINK("https://www.britishcycling.org.uk/points?person_id=662503&amp;year=2019&amp;type=national&amp;d=6","Results")</f>
        <v/>
      </c>
    </row>
    <row r="116" spans="1:5">
      <c r="A116" t="s">
        <v>325</v>
      </c>
      <c r="B116" t="s">
        <v>1477</v>
      </c>
      <c r="C116" t="s">
        <v>1478</v>
      </c>
      <c r="D116" t="s">
        <v>82</v>
      </c>
      <c r="E116">
        <f>HYPERLINK("https://www.britishcycling.org.uk/points?person_id=661033&amp;year=2019&amp;type=national&amp;d=6","Results")</f>
        <v/>
      </c>
    </row>
    <row r="117" spans="1:5">
      <c r="A117" t="s">
        <v>393</v>
      </c>
      <c r="B117" t="s">
        <v>1479</v>
      </c>
      <c r="C117" t="s">
        <v>427</v>
      </c>
      <c r="D117" t="s">
        <v>78</v>
      </c>
      <c r="E117">
        <f>HYPERLINK("https://www.britishcycling.org.uk/points?person_id=107468&amp;year=2019&amp;type=national&amp;d=6","Results")</f>
        <v/>
      </c>
    </row>
    <row r="118" spans="1:5">
      <c r="A118" t="s">
        <v>321</v>
      </c>
      <c r="B118" t="s">
        <v>1480</v>
      </c>
      <c r="C118" t="s">
        <v>1317</v>
      </c>
      <c r="D118" t="s">
        <v>78</v>
      </c>
      <c r="E118">
        <f>HYPERLINK("https://www.britishcycling.org.uk/points?person_id=75849&amp;year=2019&amp;type=national&amp;d=6","Results")</f>
        <v/>
      </c>
    </row>
    <row r="119" spans="1:5">
      <c r="A119" t="s">
        <v>316</v>
      </c>
      <c r="B119" t="s">
        <v>1481</v>
      </c>
      <c r="C119" t="s">
        <v>973</v>
      </c>
      <c r="D119" t="s">
        <v>71</v>
      </c>
      <c r="E119">
        <f>HYPERLINK("https://www.britishcycling.org.uk/points?person_id=103246&amp;year=2019&amp;type=national&amp;d=6","Results")</f>
        <v/>
      </c>
    </row>
    <row r="120" spans="1:5">
      <c r="A120" t="s">
        <v>399</v>
      </c>
      <c r="B120" t="s">
        <v>1482</v>
      </c>
      <c r="C120" t="s">
        <v>163</v>
      </c>
      <c r="D120" t="s">
        <v>71</v>
      </c>
      <c r="E120">
        <f>HYPERLINK("https://www.britishcycling.org.uk/points?person_id=277695&amp;year=2019&amp;type=national&amp;d=6","Results")</f>
        <v/>
      </c>
    </row>
    <row r="121" spans="1:5">
      <c r="A121" t="s">
        <v>309</v>
      </c>
      <c r="B121" t="s">
        <v>1483</v>
      </c>
      <c r="C121" t="s">
        <v>230</v>
      </c>
      <c r="D121" t="s">
        <v>71</v>
      </c>
      <c r="E121">
        <f>HYPERLINK("https://www.britishcycling.org.uk/points?person_id=509640&amp;year=2019&amp;type=national&amp;d=6","Results")</f>
        <v/>
      </c>
    </row>
    <row r="122" spans="1:5">
      <c r="A122" t="s">
        <v>306</v>
      </c>
      <c r="B122" t="s">
        <v>1484</v>
      </c>
      <c r="C122" t="s">
        <v>355</v>
      </c>
      <c r="D122" t="s">
        <v>71</v>
      </c>
      <c r="E122">
        <f>HYPERLINK("https://www.britishcycling.org.uk/points?person_id=233812&amp;year=2019&amp;type=national&amp;d=6","Results")</f>
        <v/>
      </c>
    </row>
    <row r="123" spans="1:5">
      <c r="A123" t="s">
        <v>405</v>
      </c>
      <c r="B123" t="s">
        <v>1485</v>
      </c>
      <c r="C123" t="s">
        <v>182</v>
      </c>
      <c r="D123" t="s">
        <v>71</v>
      </c>
      <c r="E123">
        <f>HYPERLINK("https://www.britishcycling.org.uk/points?person_id=173892&amp;year=2019&amp;type=national&amp;d=6","Results")</f>
        <v/>
      </c>
    </row>
    <row r="124" spans="1:5">
      <c r="A124" t="s">
        <v>408</v>
      </c>
      <c r="B124" t="s">
        <v>1486</v>
      </c>
      <c r="C124" t="s">
        <v>101</v>
      </c>
      <c r="D124" t="s">
        <v>67</v>
      </c>
      <c r="E124">
        <f>HYPERLINK("https://www.britishcycling.org.uk/points?person_id=222589&amp;year=2019&amp;type=national&amp;d=6","Results")</f>
        <v/>
      </c>
    </row>
    <row r="125" spans="1:5">
      <c r="A125" t="s">
        <v>410</v>
      </c>
      <c r="B125" t="s">
        <v>1487</v>
      </c>
      <c r="C125" t="s">
        <v>45</v>
      </c>
      <c r="D125" t="s">
        <v>67</v>
      </c>
      <c r="E125">
        <f>HYPERLINK("https://www.britishcycling.org.uk/points?person_id=306284&amp;year=2019&amp;type=national&amp;d=6","Results")</f>
        <v/>
      </c>
    </row>
    <row r="126" spans="1:5">
      <c r="A126" t="s">
        <v>303</v>
      </c>
      <c r="B126" t="s">
        <v>1488</v>
      </c>
      <c r="C126" t="s"/>
      <c r="D126" t="s">
        <v>67</v>
      </c>
      <c r="E126">
        <f>HYPERLINK("https://www.britishcycling.org.uk/points?person_id=644325&amp;year=2019&amp;type=national&amp;d=6","Results")</f>
        <v/>
      </c>
    </row>
    <row r="127" spans="1:5">
      <c r="A127" t="s">
        <v>414</v>
      </c>
      <c r="B127" t="s">
        <v>1489</v>
      </c>
      <c r="C127" t="s">
        <v>49</v>
      </c>
      <c r="D127" t="s">
        <v>67</v>
      </c>
      <c r="E127">
        <f>HYPERLINK("https://www.britishcycling.org.uk/points?person_id=653468&amp;year=2019&amp;type=national&amp;d=6","Results")</f>
        <v/>
      </c>
    </row>
    <row r="128" spans="1:5">
      <c r="A128" t="s">
        <v>416</v>
      </c>
      <c r="B128" t="s">
        <v>1490</v>
      </c>
      <c r="C128" t="s">
        <v>796</v>
      </c>
      <c r="D128" t="s">
        <v>67</v>
      </c>
      <c r="E128">
        <f>HYPERLINK("https://www.britishcycling.org.uk/points?person_id=121645&amp;year=2019&amp;type=national&amp;d=6","Results")</f>
        <v/>
      </c>
    </row>
    <row r="129" spans="1:5">
      <c r="A129" t="s">
        <v>418</v>
      </c>
      <c r="B129" t="s">
        <v>1054</v>
      </c>
      <c r="C129" t="s">
        <v>814</v>
      </c>
      <c r="D129" t="s">
        <v>63</v>
      </c>
      <c r="E129">
        <f>HYPERLINK("https://www.britishcycling.org.uk/points?person_id=553849&amp;year=2019&amp;type=national&amp;d=6","Results")</f>
        <v/>
      </c>
    </row>
    <row r="130" spans="1:5">
      <c r="A130" t="s">
        <v>300</v>
      </c>
      <c r="B130" t="s">
        <v>1491</v>
      </c>
      <c r="C130" t="s">
        <v>514</v>
      </c>
      <c r="D130" t="s">
        <v>59</v>
      </c>
      <c r="E130">
        <f>HYPERLINK("https://www.britishcycling.org.uk/points?person_id=538611&amp;year=2019&amp;type=national&amp;d=6","Results")</f>
        <v/>
      </c>
    </row>
    <row r="131" spans="1:5">
      <c r="A131" t="s">
        <v>296</v>
      </c>
      <c r="B131" t="s">
        <v>1492</v>
      </c>
      <c r="C131" t="s">
        <v>57</v>
      </c>
      <c r="D131" t="s">
        <v>59</v>
      </c>
      <c r="E131">
        <f>HYPERLINK("https://www.britishcycling.org.uk/points?person_id=320475&amp;year=2019&amp;type=national&amp;d=6","Results")</f>
        <v/>
      </c>
    </row>
    <row r="132" spans="1:5">
      <c r="A132" t="s">
        <v>292</v>
      </c>
      <c r="B132" t="s">
        <v>1493</v>
      </c>
      <c r="C132" t="s">
        <v>1494</v>
      </c>
      <c r="D132" t="s">
        <v>59</v>
      </c>
      <c r="E132">
        <f>HYPERLINK("https://www.britishcycling.org.uk/points?person_id=259401&amp;year=2019&amp;type=national&amp;d=6","Results")</f>
        <v/>
      </c>
    </row>
    <row r="133" spans="1:5">
      <c r="A133" t="s">
        <v>288</v>
      </c>
      <c r="B133" t="s">
        <v>1495</v>
      </c>
      <c r="C133" t="s">
        <v>1496</v>
      </c>
      <c r="D133" t="s">
        <v>55</v>
      </c>
      <c r="E133">
        <f>HYPERLINK("https://www.britishcycling.org.uk/points?person_id=340194&amp;year=2019&amp;type=national&amp;d=6","Results")</f>
        <v/>
      </c>
    </row>
    <row r="134" spans="1:5">
      <c r="A134" t="s">
        <v>425</v>
      </c>
      <c r="B134" t="s">
        <v>1497</v>
      </c>
      <c r="C134" t="s">
        <v>1498</v>
      </c>
      <c r="D134" t="s">
        <v>51</v>
      </c>
      <c r="E134">
        <f>HYPERLINK("https://www.britishcycling.org.uk/points?person_id=295831&amp;year=2019&amp;type=national&amp;d=6","Results")</f>
        <v/>
      </c>
    </row>
    <row r="135" spans="1:5">
      <c r="A135" t="s">
        <v>284</v>
      </c>
      <c r="B135" t="s">
        <v>1499</v>
      </c>
      <c r="C135" t="s">
        <v>1500</v>
      </c>
      <c r="D135" t="s">
        <v>51</v>
      </c>
      <c r="E135">
        <f>HYPERLINK("https://www.britishcycling.org.uk/points?person_id=892494&amp;year=2019&amp;type=national&amp;d=6","Results")</f>
        <v/>
      </c>
    </row>
    <row r="136" spans="1:5">
      <c r="A136" t="s">
        <v>430</v>
      </c>
      <c r="B136" t="s">
        <v>1501</v>
      </c>
      <c r="C136" t="s">
        <v>1502</v>
      </c>
      <c r="D136" t="s">
        <v>47</v>
      </c>
      <c r="E136">
        <f>HYPERLINK("https://www.britishcycling.org.uk/points?person_id=755981&amp;year=2019&amp;type=national&amp;d=6","Results")</f>
        <v/>
      </c>
    </row>
    <row r="137" spans="1:5">
      <c r="A137" t="s">
        <v>432</v>
      </c>
      <c r="B137" t="s">
        <v>1503</v>
      </c>
      <c r="C137" t="s">
        <v>1504</v>
      </c>
      <c r="D137" t="s">
        <v>47</v>
      </c>
      <c r="E137">
        <f>HYPERLINK("https://www.britishcycling.org.uk/points?person_id=625844&amp;year=2019&amp;type=national&amp;d=6","Results")</f>
        <v/>
      </c>
    </row>
    <row r="138" spans="1:5">
      <c r="A138" t="s">
        <v>280</v>
      </c>
      <c r="B138" t="s">
        <v>1505</v>
      </c>
      <c r="C138" t="s">
        <v>514</v>
      </c>
      <c r="D138" t="s">
        <v>47</v>
      </c>
      <c r="E138">
        <f>HYPERLINK("https://www.britishcycling.org.uk/points?person_id=341419&amp;year=2019&amp;type=national&amp;d=6","Results")</f>
        <v/>
      </c>
    </row>
    <row r="139" spans="1:5">
      <c r="A139" t="s">
        <v>436</v>
      </c>
      <c r="B139" t="s">
        <v>1506</v>
      </c>
      <c r="C139" t="s">
        <v>1507</v>
      </c>
      <c r="D139" t="s">
        <v>47</v>
      </c>
      <c r="E139">
        <f>HYPERLINK("https://www.britishcycling.org.uk/points?person_id=351001&amp;year=2019&amp;type=national&amp;d=6","Results")</f>
        <v/>
      </c>
    </row>
    <row r="140" spans="1:5">
      <c r="A140" t="s">
        <v>276</v>
      </c>
      <c r="B140" t="s">
        <v>1508</v>
      </c>
      <c r="C140" t="s">
        <v>358</v>
      </c>
      <c r="D140" t="s">
        <v>43</v>
      </c>
      <c r="E140">
        <f>HYPERLINK("https://www.britishcycling.org.uk/points?person_id=449280&amp;year=2019&amp;type=national&amp;d=6","Results")</f>
        <v/>
      </c>
    </row>
    <row r="141" spans="1:5">
      <c r="A141" t="s">
        <v>439</v>
      </c>
      <c r="B141" t="s">
        <v>1509</v>
      </c>
      <c r="C141" t="s">
        <v>656</v>
      </c>
      <c r="D141" t="s">
        <v>43</v>
      </c>
      <c r="E141">
        <f>HYPERLINK("https://www.britishcycling.org.uk/points?person_id=646313&amp;year=2019&amp;type=national&amp;d=6","Results")</f>
        <v/>
      </c>
    </row>
    <row r="142" spans="1:5">
      <c r="A142" t="s">
        <v>273</v>
      </c>
      <c r="B142" t="s">
        <v>1510</v>
      </c>
      <c r="C142" t="s"/>
      <c r="D142" t="s">
        <v>43</v>
      </c>
      <c r="E142">
        <f>HYPERLINK("https://www.britishcycling.org.uk/points?person_id=740531&amp;year=2019&amp;type=national&amp;d=6","Results")</f>
        <v/>
      </c>
    </row>
    <row r="143" spans="1:5">
      <c r="A143" t="s">
        <v>269</v>
      </c>
      <c r="B143" t="s">
        <v>1511</v>
      </c>
      <c r="C143" t="s">
        <v>551</v>
      </c>
      <c r="D143" t="s">
        <v>39</v>
      </c>
      <c r="E143">
        <f>HYPERLINK("https://www.britishcycling.org.uk/points?person_id=199866&amp;year=2019&amp;type=national&amp;d=6","Results")</f>
        <v/>
      </c>
    </row>
    <row r="144" spans="1:5">
      <c r="A144" t="s">
        <v>266</v>
      </c>
      <c r="B144" t="s">
        <v>1512</v>
      </c>
      <c r="C144" t="s">
        <v>170</v>
      </c>
      <c r="D144" t="s">
        <v>39</v>
      </c>
      <c r="E144">
        <f>HYPERLINK("https://www.britishcycling.org.uk/points?person_id=585178&amp;year=2019&amp;type=national&amp;d=6","Results")</f>
        <v/>
      </c>
    </row>
    <row r="145" spans="1:5">
      <c r="A145" t="s">
        <v>263</v>
      </c>
      <c r="B145" t="s">
        <v>1513</v>
      </c>
      <c r="C145" t="s">
        <v>395</v>
      </c>
      <c r="D145" t="s">
        <v>39</v>
      </c>
      <c r="E145">
        <f>HYPERLINK("https://www.britishcycling.org.uk/points?person_id=53306&amp;year=2019&amp;type=national&amp;d=6","Results")</f>
        <v/>
      </c>
    </row>
    <row r="146" spans="1:5">
      <c r="A146" t="s">
        <v>448</v>
      </c>
      <c r="B146" t="s">
        <v>1514</v>
      </c>
      <c r="C146" t="s">
        <v>1344</v>
      </c>
      <c r="D146" t="s">
        <v>39</v>
      </c>
      <c r="E146">
        <f>HYPERLINK("https://www.britishcycling.org.uk/points?person_id=184680&amp;year=2019&amp;type=national&amp;d=6","Results")</f>
        <v/>
      </c>
    </row>
    <row r="147" spans="1:5">
      <c r="A147" t="s">
        <v>450</v>
      </c>
      <c r="B147" t="s">
        <v>1515</v>
      </c>
      <c r="C147" t="s"/>
      <c r="D147" t="s">
        <v>35</v>
      </c>
      <c r="E147">
        <f>HYPERLINK("https://www.britishcycling.org.uk/points?person_id=553653&amp;year=2019&amp;type=national&amp;d=6","Results")</f>
        <v/>
      </c>
    </row>
    <row r="148" spans="1:5">
      <c r="A148" t="s">
        <v>452</v>
      </c>
      <c r="B148" t="s">
        <v>1516</v>
      </c>
      <c r="C148" t="s">
        <v>495</v>
      </c>
      <c r="D148" t="s">
        <v>35</v>
      </c>
      <c r="E148">
        <f>HYPERLINK("https://www.britishcycling.org.uk/points?person_id=471361&amp;year=2019&amp;type=national&amp;d=6","Results")</f>
        <v/>
      </c>
    </row>
    <row r="149" spans="1:5">
      <c r="A149" t="s">
        <v>454</v>
      </c>
      <c r="B149" t="s">
        <v>1517</v>
      </c>
      <c r="C149" t="s">
        <v>1518</v>
      </c>
      <c r="D149" t="s">
        <v>35</v>
      </c>
      <c r="E149">
        <f>HYPERLINK("https://www.britishcycling.org.uk/points?person_id=731314&amp;year=2019&amp;type=national&amp;d=6","Results")</f>
        <v/>
      </c>
    </row>
    <row r="150" spans="1:5">
      <c r="A150" t="s">
        <v>456</v>
      </c>
      <c r="B150" t="s">
        <v>1519</v>
      </c>
      <c r="C150" t="s">
        <v>584</v>
      </c>
      <c r="D150" t="s">
        <v>35</v>
      </c>
      <c r="E150">
        <f>HYPERLINK("https://www.britishcycling.org.uk/points?person_id=645343&amp;year=2019&amp;type=national&amp;d=6","Results")</f>
        <v/>
      </c>
    </row>
    <row r="151" spans="1:5">
      <c r="A151" t="s">
        <v>458</v>
      </c>
      <c r="B151" t="s">
        <v>1520</v>
      </c>
      <c r="C151" t="s">
        <v>1450</v>
      </c>
      <c r="D151" t="s">
        <v>35</v>
      </c>
      <c r="E151">
        <f>HYPERLINK("https://www.britishcycling.org.uk/points?person_id=678675&amp;year=2019&amp;type=national&amp;d=6","Results")</f>
        <v/>
      </c>
    </row>
    <row r="152" spans="1:5">
      <c r="A152" t="s">
        <v>256</v>
      </c>
      <c r="B152" t="s">
        <v>1521</v>
      </c>
      <c r="C152" t="s">
        <v>1494</v>
      </c>
      <c r="D152" t="s">
        <v>35</v>
      </c>
      <c r="E152">
        <f>HYPERLINK("https://www.britishcycling.org.uk/points?person_id=217962&amp;year=2019&amp;type=national&amp;d=6","Results")</f>
        <v/>
      </c>
    </row>
    <row r="153" spans="1:5">
      <c r="A153" t="s">
        <v>253</v>
      </c>
      <c r="B153" t="s">
        <v>1522</v>
      </c>
      <c r="C153" t="s">
        <v>53</v>
      </c>
      <c r="D153" t="s">
        <v>35</v>
      </c>
      <c r="E153">
        <f>HYPERLINK("https://www.britishcycling.org.uk/points?person_id=865710&amp;year=2019&amp;type=national&amp;d=6","Results")</f>
        <v/>
      </c>
    </row>
    <row r="154" spans="1:5">
      <c r="A154" t="s">
        <v>463</v>
      </c>
      <c r="B154" t="s">
        <v>1523</v>
      </c>
      <c r="C154" t="s">
        <v>1524</v>
      </c>
      <c r="D154" t="s">
        <v>35</v>
      </c>
      <c r="E154">
        <f>HYPERLINK("https://www.britishcycling.org.uk/points?person_id=98878&amp;year=2019&amp;type=national&amp;d=6","Results")</f>
        <v/>
      </c>
    </row>
    <row r="155" spans="1:5">
      <c r="A155" t="s">
        <v>465</v>
      </c>
      <c r="B155" t="s">
        <v>1525</v>
      </c>
      <c r="C155" t="s">
        <v>1526</v>
      </c>
      <c r="D155" t="s">
        <v>31</v>
      </c>
      <c r="E155">
        <f>HYPERLINK("https://www.britishcycling.org.uk/points?person_id=564016&amp;year=2019&amp;type=national&amp;d=6","Results")</f>
        <v/>
      </c>
    </row>
    <row r="156" spans="1:5">
      <c r="A156" t="s">
        <v>467</v>
      </c>
      <c r="B156" t="s">
        <v>1527</v>
      </c>
      <c r="C156" t="s">
        <v>1261</v>
      </c>
      <c r="D156" t="s">
        <v>31</v>
      </c>
      <c r="E156">
        <f>HYPERLINK("https://www.britishcycling.org.uk/points?person_id=738130&amp;year=2019&amp;type=national&amp;d=6","Results")</f>
        <v/>
      </c>
    </row>
    <row r="157" spans="1:5">
      <c r="A157" t="s">
        <v>470</v>
      </c>
      <c r="B157" t="s">
        <v>1528</v>
      </c>
      <c r="C157" t="s">
        <v>1529</v>
      </c>
      <c r="D157" t="s">
        <v>31</v>
      </c>
      <c r="E157">
        <f>HYPERLINK("https://www.britishcycling.org.uk/points?person_id=381613&amp;year=2019&amp;type=national&amp;d=6","Results")</f>
        <v/>
      </c>
    </row>
    <row r="158" spans="1:5">
      <c r="A158" t="s">
        <v>473</v>
      </c>
      <c r="B158" t="s">
        <v>1530</v>
      </c>
      <c r="C158" t="s">
        <v>595</v>
      </c>
      <c r="D158" t="s">
        <v>31</v>
      </c>
      <c r="E158">
        <f>HYPERLINK("https://www.britishcycling.org.uk/points?person_id=316079&amp;year=2019&amp;type=national&amp;d=6","Results")</f>
        <v/>
      </c>
    </row>
    <row r="159" spans="1:5">
      <c r="A159" t="s">
        <v>246</v>
      </c>
      <c r="B159" t="s">
        <v>1531</v>
      </c>
      <c r="C159" t="s">
        <v>1532</v>
      </c>
      <c r="D159" t="s">
        <v>31</v>
      </c>
      <c r="E159">
        <f>HYPERLINK("https://www.britishcycling.org.uk/points?person_id=673181&amp;year=2019&amp;type=national&amp;d=6","Results")</f>
        <v/>
      </c>
    </row>
    <row r="160" spans="1:5">
      <c r="A160" t="s">
        <v>477</v>
      </c>
      <c r="B160" t="s">
        <v>1533</v>
      </c>
      <c r="C160" t="s">
        <v>80</v>
      </c>
      <c r="D160" t="s">
        <v>28</v>
      </c>
      <c r="E160">
        <f>HYPERLINK("https://www.britishcycling.org.uk/points?person_id=512559&amp;year=2019&amp;type=national&amp;d=6","Results")</f>
        <v/>
      </c>
    </row>
    <row r="161" spans="1:5">
      <c r="A161" t="s">
        <v>480</v>
      </c>
      <c r="B161" t="s">
        <v>1534</v>
      </c>
      <c r="C161" t="s">
        <v>299</v>
      </c>
      <c r="D161" t="s">
        <v>28</v>
      </c>
      <c r="E161">
        <f>HYPERLINK("https://www.britishcycling.org.uk/points?person_id=180598&amp;year=2019&amp;type=national&amp;d=6","Results")</f>
        <v/>
      </c>
    </row>
    <row r="162" spans="1:5">
      <c r="A162" t="s">
        <v>482</v>
      </c>
      <c r="B162" t="s">
        <v>1535</v>
      </c>
      <c r="C162" t="s">
        <v>299</v>
      </c>
      <c r="D162" t="s">
        <v>28</v>
      </c>
      <c r="E162">
        <f>HYPERLINK("https://www.britishcycling.org.uk/points?person_id=440282&amp;year=2019&amp;type=national&amp;d=6","Results")</f>
        <v/>
      </c>
    </row>
    <row r="163" spans="1:5">
      <c r="A163" t="s">
        <v>484</v>
      </c>
      <c r="B163" t="s">
        <v>1536</v>
      </c>
      <c r="C163" t="s">
        <v>1317</v>
      </c>
      <c r="D163" t="s">
        <v>28</v>
      </c>
      <c r="E163">
        <f>HYPERLINK("https://www.britishcycling.org.uk/points?person_id=273244&amp;year=2019&amp;type=national&amp;d=6","Results")</f>
        <v/>
      </c>
    </row>
    <row r="164" spans="1:5">
      <c r="A164" t="s">
        <v>243</v>
      </c>
      <c r="B164" t="s">
        <v>1537</v>
      </c>
      <c r="C164" t="s">
        <v>1538</v>
      </c>
      <c r="D164" t="s">
        <v>28</v>
      </c>
      <c r="E164">
        <f>HYPERLINK("https://www.britishcycling.org.uk/points?person_id=194471&amp;year=2019&amp;type=national&amp;d=6","Results")</f>
        <v/>
      </c>
    </row>
    <row r="165" spans="1:5">
      <c r="A165" t="s">
        <v>235</v>
      </c>
      <c r="B165" t="s">
        <v>1539</v>
      </c>
      <c r="C165" t="s">
        <v>961</v>
      </c>
      <c r="D165" t="s">
        <v>28</v>
      </c>
      <c r="E165">
        <f>HYPERLINK("https://www.britishcycling.org.uk/points?person_id=108098&amp;year=2019&amp;type=national&amp;d=6","Results")</f>
        <v/>
      </c>
    </row>
    <row r="166" spans="1:5">
      <c r="A166" t="s">
        <v>488</v>
      </c>
      <c r="B166" t="s">
        <v>1540</v>
      </c>
      <c r="C166" t="s">
        <v>1504</v>
      </c>
      <c r="D166" t="s">
        <v>25</v>
      </c>
      <c r="E166">
        <f>HYPERLINK("https://www.britishcycling.org.uk/points?person_id=265461&amp;year=2019&amp;type=national&amp;d=6","Results")</f>
        <v/>
      </c>
    </row>
    <row r="167" spans="1:5">
      <c r="A167" t="s">
        <v>490</v>
      </c>
      <c r="B167" t="s">
        <v>1541</v>
      </c>
      <c r="C167" t="s">
        <v>339</v>
      </c>
      <c r="D167" t="s">
        <v>25</v>
      </c>
      <c r="E167">
        <f>HYPERLINK("https://www.britishcycling.org.uk/points?person_id=100282&amp;year=2019&amp;type=national&amp;d=6","Results")</f>
        <v/>
      </c>
    </row>
    <row r="168" spans="1:5">
      <c r="A168" t="s">
        <v>231</v>
      </c>
      <c r="B168" t="s">
        <v>1542</v>
      </c>
      <c r="C168" t="s">
        <v>216</v>
      </c>
      <c r="D168" t="s">
        <v>25</v>
      </c>
      <c r="E168">
        <f>HYPERLINK("https://www.britishcycling.org.uk/points?person_id=933932&amp;year=2019&amp;type=national&amp;d=6","Results")</f>
        <v/>
      </c>
    </row>
    <row r="169" spans="1:5">
      <c r="A169" t="s">
        <v>493</v>
      </c>
      <c r="B169" t="s">
        <v>1543</v>
      </c>
      <c r="C169" t="s">
        <v>1450</v>
      </c>
      <c r="D169" t="s">
        <v>25</v>
      </c>
      <c r="E169">
        <f>HYPERLINK("https://www.britishcycling.org.uk/points?person_id=243976&amp;year=2019&amp;type=national&amp;d=6","Results")</f>
        <v/>
      </c>
    </row>
    <row r="170" spans="1:5">
      <c r="A170" t="s">
        <v>496</v>
      </c>
      <c r="B170" t="s">
        <v>1544</v>
      </c>
      <c r="C170" t="s">
        <v>595</v>
      </c>
      <c r="D170" t="s">
        <v>25</v>
      </c>
      <c r="E170">
        <f>HYPERLINK("https://www.britishcycling.org.uk/points?person_id=186763&amp;year=2019&amp;type=national&amp;d=6","Results")</f>
        <v/>
      </c>
    </row>
    <row r="171" spans="1:5">
      <c r="A171" t="s">
        <v>499</v>
      </c>
      <c r="B171" t="s">
        <v>1545</v>
      </c>
      <c r="C171" t="s">
        <v>856</v>
      </c>
      <c r="D171" t="s">
        <v>25</v>
      </c>
      <c r="E171">
        <f>HYPERLINK("https://www.britishcycling.org.uk/points?person_id=809640&amp;year=2019&amp;type=national&amp;d=6","Results")</f>
        <v/>
      </c>
    </row>
    <row r="172" spans="1:5">
      <c r="A172" t="s">
        <v>501</v>
      </c>
      <c r="B172" t="s">
        <v>1546</v>
      </c>
      <c r="C172" t="s">
        <v>324</v>
      </c>
      <c r="D172" t="s">
        <v>21</v>
      </c>
      <c r="E172">
        <f>HYPERLINK("https://www.britishcycling.org.uk/points?person_id=252866&amp;year=2019&amp;type=national&amp;d=6","Results")</f>
        <v/>
      </c>
    </row>
    <row r="173" spans="1:5">
      <c r="A173" t="s">
        <v>227</v>
      </c>
      <c r="B173" t="s">
        <v>1547</v>
      </c>
      <c r="C173" t="s">
        <v>291</v>
      </c>
      <c r="D173" t="s">
        <v>21</v>
      </c>
      <c r="E173">
        <f>HYPERLINK("https://www.britishcycling.org.uk/points?person_id=523919&amp;year=2019&amp;type=national&amp;d=6","Results")</f>
        <v/>
      </c>
    </row>
    <row r="174" spans="1:5">
      <c r="A174" t="s">
        <v>224</v>
      </c>
      <c r="B174" t="s">
        <v>1548</v>
      </c>
      <c r="C174" t="s">
        <v>80</v>
      </c>
      <c r="D174" t="s">
        <v>21</v>
      </c>
      <c r="E174">
        <f>HYPERLINK("https://www.britishcycling.org.uk/points?person_id=845578&amp;year=2019&amp;type=national&amp;d=6","Results")</f>
        <v/>
      </c>
    </row>
    <row r="175" spans="1:5">
      <c r="A175" t="s">
        <v>507</v>
      </c>
      <c r="B175" t="s">
        <v>1549</v>
      </c>
      <c r="C175" t="s">
        <v>472</v>
      </c>
      <c r="D175" t="s">
        <v>21</v>
      </c>
      <c r="E175">
        <f>HYPERLINK("https://www.britishcycling.org.uk/points?person_id=268452&amp;year=2019&amp;type=national&amp;d=6","Results")</f>
        <v/>
      </c>
    </row>
    <row r="176" spans="1:5">
      <c r="A176" t="s">
        <v>509</v>
      </c>
      <c r="B176" t="s">
        <v>1550</v>
      </c>
      <c r="C176" t="s">
        <v>335</v>
      </c>
      <c r="D176" t="s">
        <v>21</v>
      </c>
      <c r="E176">
        <f>HYPERLINK("https://www.britishcycling.org.uk/points?person_id=599899&amp;year=2019&amp;type=national&amp;d=6","Results")</f>
        <v/>
      </c>
    </row>
    <row r="177" spans="1:5">
      <c r="A177" t="s">
        <v>512</v>
      </c>
      <c r="B177" t="s">
        <v>1551</v>
      </c>
      <c r="C177" t="s">
        <v>1552</v>
      </c>
      <c r="D177" t="s">
        <v>21</v>
      </c>
      <c r="E177">
        <f>HYPERLINK("https://www.britishcycling.org.uk/points?person_id=667491&amp;year=2019&amp;type=national&amp;d=6","Results")</f>
        <v/>
      </c>
    </row>
    <row r="178" spans="1:5">
      <c r="A178" t="s">
        <v>515</v>
      </c>
      <c r="B178" t="s">
        <v>1553</v>
      </c>
      <c r="C178" t="s">
        <v>469</v>
      </c>
      <c r="D178" t="s">
        <v>21</v>
      </c>
      <c r="E178">
        <f>HYPERLINK("https://www.britishcycling.org.uk/points?person_id=168995&amp;year=2019&amp;type=national&amp;d=6","Results")</f>
        <v/>
      </c>
    </row>
    <row r="179" spans="1:5">
      <c r="A179" t="s">
        <v>220</v>
      </c>
      <c r="B179" t="s">
        <v>1554</v>
      </c>
      <c r="C179" t="s">
        <v>174</v>
      </c>
      <c r="D179" t="s">
        <v>17</v>
      </c>
      <c r="E179">
        <f>HYPERLINK("https://www.britishcycling.org.uk/points?person_id=184394&amp;year=2019&amp;type=national&amp;d=6","Results")</f>
        <v/>
      </c>
    </row>
    <row r="180" spans="1:5">
      <c r="A180" t="s">
        <v>217</v>
      </c>
      <c r="B180" t="s">
        <v>1555</v>
      </c>
      <c r="C180" t="s"/>
      <c r="D180" t="s">
        <v>17</v>
      </c>
      <c r="E180">
        <f>HYPERLINK("https://www.britishcycling.org.uk/points?person_id=291596&amp;year=2019&amp;type=national&amp;d=6","Results")</f>
        <v/>
      </c>
    </row>
    <row r="181" spans="1:5">
      <c r="A181" t="s">
        <v>519</v>
      </c>
      <c r="B181" t="s">
        <v>1556</v>
      </c>
      <c r="C181" t="s">
        <v>143</v>
      </c>
      <c r="D181" t="s">
        <v>17</v>
      </c>
      <c r="E181">
        <f>HYPERLINK("https://www.britishcycling.org.uk/points?person_id=347540&amp;year=2019&amp;type=national&amp;d=6","Results")</f>
        <v/>
      </c>
    </row>
    <row r="182" spans="1:5">
      <c r="A182" t="s">
        <v>521</v>
      </c>
      <c r="B182" t="s">
        <v>1557</v>
      </c>
      <c r="C182" t="s"/>
      <c r="D182" t="s">
        <v>17</v>
      </c>
      <c r="E182">
        <f>HYPERLINK("https://www.britishcycling.org.uk/points?person_id=938854&amp;year=2019&amp;type=national&amp;d=6","Results")</f>
        <v/>
      </c>
    </row>
    <row r="183" spans="1:5">
      <c r="A183" t="s">
        <v>523</v>
      </c>
      <c r="B183" t="s">
        <v>1558</v>
      </c>
      <c r="C183" t="s">
        <v>959</v>
      </c>
      <c r="D183" t="s">
        <v>17</v>
      </c>
      <c r="E183">
        <f>HYPERLINK("https://www.britishcycling.org.uk/points?person_id=238785&amp;year=2019&amp;type=national&amp;d=6","Results")</f>
        <v/>
      </c>
    </row>
    <row r="184" spans="1:5">
      <c r="A184" t="s">
        <v>213</v>
      </c>
      <c r="B184" t="s">
        <v>1559</v>
      </c>
      <c r="C184" t="s">
        <v>1160</v>
      </c>
      <c r="D184" t="s">
        <v>17</v>
      </c>
      <c r="E184">
        <f>HYPERLINK("https://www.britishcycling.org.uk/points?person_id=282521&amp;year=2019&amp;type=national&amp;d=6","Results")</f>
        <v/>
      </c>
    </row>
    <row r="185" spans="1:5">
      <c r="A185" t="s">
        <v>209</v>
      </c>
      <c r="B185" t="s">
        <v>1560</v>
      </c>
      <c r="C185" t="s">
        <v>731</v>
      </c>
      <c r="D185" t="s">
        <v>17</v>
      </c>
      <c r="E185">
        <f>HYPERLINK("https://www.britishcycling.org.uk/points?person_id=691378&amp;year=2019&amp;type=national&amp;d=6","Results")</f>
        <v/>
      </c>
    </row>
    <row r="186" spans="1:5">
      <c r="A186" t="s">
        <v>527</v>
      </c>
      <c r="B186" t="s">
        <v>1561</v>
      </c>
      <c r="C186" t="s">
        <v>113</v>
      </c>
      <c r="D186" t="s">
        <v>17</v>
      </c>
      <c r="E186">
        <f>HYPERLINK("https://www.britishcycling.org.uk/points?person_id=406001&amp;year=2019&amp;type=national&amp;d=6","Results")</f>
        <v/>
      </c>
    </row>
    <row r="187" spans="1:5">
      <c r="A187" t="s">
        <v>529</v>
      </c>
      <c r="B187" t="s">
        <v>1562</v>
      </c>
      <c r="C187" t="s"/>
      <c r="D187" t="s">
        <v>13</v>
      </c>
      <c r="E187">
        <f>HYPERLINK("https://www.britishcycling.org.uk/points?person_id=389046&amp;year=2019&amp;type=national&amp;d=6","Results")</f>
        <v/>
      </c>
    </row>
    <row r="188" spans="1:5">
      <c r="A188" t="s">
        <v>532</v>
      </c>
      <c r="B188" t="s">
        <v>1563</v>
      </c>
      <c r="C188" t="s">
        <v>1564</v>
      </c>
      <c r="D188" t="s">
        <v>13</v>
      </c>
      <c r="E188">
        <f>HYPERLINK("https://www.britishcycling.org.uk/points?person_id=649290&amp;year=2019&amp;type=national&amp;d=6","Results")</f>
        <v/>
      </c>
    </row>
    <row r="189" spans="1:5">
      <c r="A189" t="s">
        <v>534</v>
      </c>
      <c r="B189" t="s">
        <v>1565</v>
      </c>
      <c r="C189" t="s">
        <v>182</v>
      </c>
      <c r="D189" t="s">
        <v>13</v>
      </c>
      <c r="E189">
        <f>HYPERLINK("https://www.britishcycling.org.uk/points?person_id=288463&amp;year=2019&amp;type=national&amp;d=6","Results")</f>
        <v/>
      </c>
    </row>
    <row r="190" spans="1:5">
      <c r="A190" t="s">
        <v>536</v>
      </c>
      <c r="B190" t="s">
        <v>1566</v>
      </c>
      <c r="C190" t="s">
        <v>1567</v>
      </c>
      <c r="D190" t="s">
        <v>13</v>
      </c>
      <c r="E190">
        <f>HYPERLINK("https://www.britishcycling.org.uk/points?person_id=675185&amp;year=2019&amp;type=national&amp;d=6","Results")</f>
        <v/>
      </c>
    </row>
    <row r="191" spans="1:5">
      <c r="A191" t="s">
        <v>206</v>
      </c>
      <c r="B191" t="s">
        <v>1568</v>
      </c>
      <c r="C191" t="s">
        <v>1275</v>
      </c>
      <c r="D191" t="s">
        <v>13</v>
      </c>
      <c r="E191">
        <f>HYPERLINK("https://www.britishcycling.org.uk/points?person_id=631893&amp;year=2019&amp;type=national&amp;d=6","Results")</f>
        <v/>
      </c>
    </row>
    <row r="192" spans="1:5">
      <c r="A192" t="s">
        <v>539</v>
      </c>
      <c r="B192" t="s">
        <v>1569</v>
      </c>
      <c r="C192" t="s">
        <v>182</v>
      </c>
      <c r="D192" t="s">
        <v>13</v>
      </c>
      <c r="E192">
        <f>HYPERLINK("https://www.britishcycling.org.uk/points?person_id=382272&amp;year=2019&amp;type=national&amp;d=6","Results")</f>
        <v/>
      </c>
    </row>
    <row r="193" spans="1:5">
      <c r="A193" t="s">
        <v>542</v>
      </c>
      <c r="B193" t="s">
        <v>1570</v>
      </c>
      <c r="C193" t="s"/>
      <c r="D193" t="s">
        <v>13</v>
      </c>
      <c r="E193">
        <f>HYPERLINK("https://www.britishcycling.org.uk/points?person_id=349216&amp;year=2019&amp;type=national&amp;d=6","Results")</f>
        <v/>
      </c>
    </row>
    <row r="194" spans="1:5">
      <c r="A194" t="s">
        <v>544</v>
      </c>
      <c r="B194" t="s">
        <v>1571</v>
      </c>
      <c r="C194" t="s">
        <v>355</v>
      </c>
      <c r="D194" t="s">
        <v>13</v>
      </c>
      <c r="E194">
        <f>HYPERLINK("https://www.britishcycling.org.uk/points?person_id=252259&amp;year=2019&amp;type=national&amp;d=6","Results")</f>
        <v/>
      </c>
    </row>
    <row r="195" spans="1:5">
      <c r="A195" t="s">
        <v>546</v>
      </c>
      <c r="B195" t="s">
        <v>1572</v>
      </c>
      <c r="C195" t="s">
        <v>1382</v>
      </c>
      <c r="D195" t="s">
        <v>13</v>
      </c>
      <c r="E195">
        <f>HYPERLINK("https://www.britishcycling.org.uk/points?person_id=391787&amp;year=2019&amp;type=national&amp;d=6","Results")</f>
        <v/>
      </c>
    </row>
    <row r="196" spans="1:5">
      <c r="A196" t="s">
        <v>549</v>
      </c>
      <c r="B196" t="s">
        <v>1573</v>
      </c>
      <c r="C196" t="s">
        <v>1354</v>
      </c>
      <c r="D196" t="s">
        <v>9</v>
      </c>
      <c r="E196">
        <f>HYPERLINK("https://www.britishcycling.org.uk/points?person_id=349645&amp;year=2019&amp;type=national&amp;d=6","Results")</f>
        <v/>
      </c>
    </row>
    <row r="197" spans="1:5">
      <c r="A197" t="s">
        <v>552</v>
      </c>
      <c r="B197" t="s">
        <v>1574</v>
      </c>
      <c r="C197" t="s">
        <v>1575</v>
      </c>
      <c r="D197" t="s">
        <v>9</v>
      </c>
      <c r="E197">
        <f>HYPERLINK("https://www.britishcycling.org.uk/points?person_id=495674&amp;year=2019&amp;type=national&amp;d=6","Results")</f>
        <v/>
      </c>
    </row>
    <row r="198" spans="1:5">
      <c r="A198" t="s">
        <v>555</v>
      </c>
      <c r="B198" t="s">
        <v>1576</v>
      </c>
      <c r="C198" t="s">
        <v>291</v>
      </c>
      <c r="D198" t="s">
        <v>9</v>
      </c>
      <c r="E198">
        <f>HYPERLINK("https://www.britishcycling.org.uk/points?person_id=581075&amp;year=2019&amp;type=national&amp;d=6","Results")</f>
        <v/>
      </c>
    </row>
    <row r="199" spans="1:5">
      <c r="A199" t="s">
        <v>557</v>
      </c>
      <c r="B199" t="s">
        <v>1577</v>
      </c>
      <c r="C199" t="s">
        <v>1113</v>
      </c>
      <c r="D199" t="s">
        <v>9</v>
      </c>
      <c r="E199">
        <f>HYPERLINK("https://www.britishcycling.org.uk/points?person_id=540495&amp;year=2019&amp;type=national&amp;d=6","Results")</f>
        <v/>
      </c>
    </row>
    <row r="200" spans="1:5">
      <c r="A200" t="s">
        <v>560</v>
      </c>
      <c r="B200" t="s">
        <v>1578</v>
      </c>
      <c r="C200" t="s">
        <v>170</v>
      </c>
      <c r="D200" t="s">
        <v>9</v>
      </c>
      <c r="E200">
        <f>HYPERLINK("https://www.britishcycling.org.uk/points?person_id=289366&amp;year=2019&amp;type=national&amp;d=6","Results")</f>
        <v/>
      </c>
    </row>
    <row r="201" spans="1:5">
      <c r="A201" t="s">
        <v>202</v>
      </c>
      <c r="B201" t="s">
        <v>1579</v>
      </c>
      <c r="C201" t="s">
        <v>135</v>
      </c>
      <c r="D201" t="s">
        <v>9</v>
      </c>
      <c r="E201">
        <f>HYPERLINK("https://www.britishcycling.org.uk/points?person_id=259592&amp;year=2019&amp;type=national&amp;d=6","Results")</f>
        <v/>
      </c>
    </row>
    <row r="202" spans="1:5">
      <c r="A202" t="s">
        <v>563</v>
      </c>
      <c r="B202" t="s">
        <v>1580</v>
      </c>
      <c r="C202" t="s">
        <v>355</v>
      </c>
      <c r="D202" t="s">
        <v>9</v>
      </c>
      <c r="E202">
        <f>HYPERLINK("https://www.britishcycling.org.uk/points?person_id=134893&amp;year=2019&amp;type=national&amp;d=6","Results")</f>
        <v/>
      </c>
    </row>
    <row r="203" spans="1:5">
      <c r="A203" t="s">
        <v>565</v>
      </c>
      <c r="B203" t="s">
        <v>1581</v>
      </c>
      <c r="C203" t="s">
        <v>312</v>
      </c>
      <c r="D203" t="s">
        <v>9</v>
      </c>
      <c r="E203">
        <f>HYPERLINK("https://www.britishcycling.org.uk/points?person_id=677439&amp;year=2019&amp;type=national&amp;d=6","Results")</f>
        <v/>
      </c>
    </row>
    <row r="204" spans="1:5">
      <c r="A204" t="s">
        <v>568</v>
      </c>
      <c r="B204" t="s">
        <v>1582</v>
      </c>
      <c r="C204" t="s">
        <v>61</v>
      </c>
      <c r="D204" t="s">
        <v>9</v>
      </c>
      <c r="E204">
        <f>HYPERLINK("https://www.britishcycling.org.uk/points?person_id=620969&amp;year=2019&amp;type=national&amp;d=6","Results")</f>
        <v/>
      </c>
    </row>
    <row r="205" spans="1:5">
      <c r="A205" t="s">
        <v>195</v>
      </c>
      <c r="B205" t="s">
        <v>1583</v>
      </c>
      <c r="C205" t="s">
        <v>1584</v>
      </c>
      <c r="D205" t="s">
        <v>5</v>
      </c>
      <c r="E205">
        <f>HYPERLINK("https://www.britishcycling.org.uk/points?person_id=615976&amp;year=2019&amp;type=national&amp;d=6","Results")</f>
        <v/>
      </c>
    </row>
    <row r="206" spans="1:5">
      <c r="A206" t="s">
        <v>571</v>
      </c>
      <c r="B206" t="s">
        <v>1585</v>
      </c>
      <c r="C206" t="s">
        <v>376</v>
      </c>
      <c r="D206" t="s">
        <v>5</v>
      </c>
      <c r="E206">
        <f>HYPERLINK("https://www.britishcycling.org.uk/points?person_id=201171&amp;year=2019&amp;type=national&amp;d=6","Results")</f>
        <v/>
      </c>
    </row>
    <row r="207" spans="1:5">
      <c r="A207" t="s">
        <v>573</v>
      </c>
      <c r="B207" t="s">
        <v>1586</v>
      </c>
      <c r="C207" t="s">
        <v>358</v>
      </c>
      <c r="D207" t="s">
        <v>5</v>
      </c>
      <c r="E207">
        <f>HYPERLINK("https://www.britishcycling.org.uk/points?person_id=267512&amp;year=2019&amp;type=national&amp;d=6","Results")</f>
        <v/>
      </c>
    </row>
    <row r="208" spans="1:5">
      <c r="A208" t="s">
        <v>576</v>
      </c>
      <c r="B208" t="s">
        <v>1587</v>
      </c>
      <c r="C208" t="s">
        <v>45</v>
      </c>
      <c r="D208" t="s">
        <v>5</v>
      </c>
      <c r="E208">
        <f>HYPERLINK("https://www.britishcycling.org.uk/points?person_id=746974&amp;year=2019&amp;type=national&amp;d=6","Results")</f>
        <v/>
      </c>
    </row>
    <row r="209" spans="1:5">
      <c r="A209" t="s">
        <v>191</v>
      </c>
      <c r="B209" t="s">
        <v>1588</v>
      </c>
      <c r="C209" t="s">
        <v>272</v>
      </c>
      <c r="D209" t="s">
        <v>5</v>
      </c>
      <c r="E209">
        <f>HYPERLINK("https://www.britishcycling.org.uk/points?person_id=358920&amp;year=2019&amp;type=national&amp;d=6","Results")</f>
        <v/>
      </c>
    </row>
    <row r="210" spans="1:5">
      <c r="A210" t="s">
        <v>580</v>
      </c>
      <c r="B210" t="s">
        <v>1589</v>
      </c>
      <c r="C210" t="s">
        <v>959</v>
      </c>
      <c r="D210" t="s">
        <v>5</v>
      </c>
      <c r="E210">
        <f>HYPERLINK("https://www.britishcycling.org.uk/points?person_id=253874&amp;year=2019&amp;type=national&amp;d=6","Results")</f>
        <v/>
      </c>
    </row>
    <row r="211" spans="1:5">
      <c r="A211" t="s">
        <v>582</v>
      </c>
      <c r="B211" t="s">
        <v>1590</v>
      </c>
      <c r="C211" t="s">
        <v>472</v>
      </c>
      <c r="D211" t="s">
        <v>5</v>
      </c>
      <c r="E211">
        <f>HYPERLINK("https://www.britishcycling.org.uk/points?person_id=301557&amp;year=2019&amp;type=national&amp;d=6","Results")</f>
        <v/>
      </c>
    </row>
    <row r="212" spans="1:5">
      <c r="A212" t="s">
        <v>585</v>
      </c>
      <c r="B212" t="s">
        <v>1591</v>
      </c>
      <c r="C212" t="s"/>
      <c r="D212" t="s">
        <v>5</v>
      </c>
      <c r="E212">
        <f>HYPERLINK("https://www.britishcycling.org.uk/points?person_id=894641&amp;year=2019&amp;type=national&amp;d=6","Results")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39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1592</v>
      </c>
      <c r="C2" t="s">
        <v>1593</v>
      </c>
      <c r="D2" t="s">
        <v>1594</v>
      </c>
      <c r="E2">
        <f>HYPERLINK("https://www.britishcycling.org.uk/points?person_id=43912&amp;year=2019&amp;type=national&amp;d=6","Results")</f>
        <v/>
      </c>
    </row>
    <row r="3" spans="1:5">
      <c r="A3" t="s">
        <v>9</v>
      </c>
      <c r="B3" t="s">
        <v>1595</v>
      </c>
      <c r="C3" t="s"/>
      <c r="D3" t="s">
        <v>1596</v>
      </c>
      <c r="E3">
        <f>HYPERLINK("https://www.britishcycling.org.uk/points?person_id=71625&amp;year=2019&amp;type=national&amp;d=6","Results")</f>
        <v/>
      </c>
    </row>
    <row r="4" spans="1:5">
      <c r="A4" t="s">
        <v>13</v>
      </c>
      <c r="B4" t="s">
        <v>1597</v>
      </c>
      <c r="C4" t="s">
        <v>1598</v>
      </c>
      <c r="D4" t="s">
        <v>1599</v>
      </c>
      <c r="E4">
        <f>HYPERLINK("https://www.britishcycling.org.uk/points?person_id=191628&amp;year=2019&amp;type=national&amp;d=6","Results")</f>
        <v/>
      </c>
    </row>
    <row r="5" spans="1:5">
      <c r="A5" t="s">
        <v>17</v>
      </c>
      <c r="B5" t="s">
        <v>1600</v>
      </c>
      <c r="C5" t="s">
        <v>1593</v>
      </c>
      <c r="D5" t="s">
        <v>1601</v>
      </c>
      <c r="E5">
        <f>HYPERLINK("https://www.britishcycling.org.uk/points?person_id=124842&amp;year=2019&amp;type=national&amp;d=6","Results")</f>
        <v/>
      </c>
    </row>
    <row r="6" spans="1:5">
      <c r="A6" t="s">
        <v>21</v>
      </c>
      <c r="B6" t="s">
        <v>1602</v>
      </c>
      <c r="C6" t="s">
        <v>1603</v>
      </c>
      <c r="D6" t="s">
        <v>1604</v>
      </c>
      <c r="E6">
        <f>HYPERLINK("https://www.britishcycling.org.uk/points?person_id=78277&amp;year=2019&amp;type=national&amp;d=6","Results")</f>
        <v/>
      </c>
    </row>
    <row r="7" spans="1:5">
      <c r="A7" t="s">
        <v>25</v>
      </c>
      <c r="B7" t="s">
        <v>1605</v>
      </c>
      <c r="C7" t="s">
        <v>511</v>
      </c>
      <c r="D7" t="s">
        <v>1606</v>
      </c>
      <c r="E7">
        <f>HYPERLINK("https://www.britishcycling.org.uk/points?person_id=55605&amp;year=2019&amp;type=national&amp;d=6","Results")</f>
        <v/>
      </c>
    </row>
    <row r="8" spans="1:5">
      <c r="A8" t="s">
        <v>28</v>
      </c>
      <c r="B8" t="s">
        <v>1607</v>
      </c>
      <c r="C8" t="s">
        <v>1340</v>
      </c>
      <c r="D8" t="s">
        <v>1608</v>
      </c>
      <c r="E8">
        <f>HYPERLINK("https://www.britishcycling.org.uk/points?person_id=3559&amp;year=2019&amp;type=national&amp;d=6","Results")</f>
        <v/>
      </c>
    </row>
    <row r="9" spans="1:5">
      <c r="A9" t="s">
        <v>31</v>
      </c>
      <c r="B9" t="s">
        <v>1609</v>
      </c>
      <c r="C9" t="s">
        <v>1610</v>
      </c>
      <c r="D9" t="s">
        <v>1611</v>
      </c>
      <c r="E9">
        <f>HYPERLINK("https://www.britishcycling.org.uk/points?person_id=17537&amp;year=2019&amp;type=national&amp;d=6","Results")</f>
        <v/>
      </c>
    </row>
    <row r="10" spans="1:5">
      <c r="A10" t="s">
        <v>35</v>
      </c>
      <c r="B10" t="s">
        <v>1612</v>
      </c>
      <c r="C10" t="s">
        <v>283</v>
      </c>
      <c r="D10" t="s">
        <v>1613</v>
      </c>
      <c r="E10">
        <f>HYPERLINK("https://www.britishcycling.org.uk/points?person_id=379662&amp;year=2019&amp;type=national&amp;d=6","Results")</f>
        <v/>
      </c>
    </row>
    <row r="11" spans="1:5">
      <c r="A11" t="s">
        <v>39</v>
      </c>
      <c r="B11" t="s">
        <v>1614</v>
      </c>
      <c r="C11" t="s">
        <v>914</v>
      </c>
      <c r="D11" t="s">
        <v>927</v>
      </c>
      <c r="E11">
        <f>HYPERLINK("https://www.britishcycling.org.uk/points?person_id=103190&amp;year=2019&amp;type=national&amp;d=6","Results")</f>
        <v/>
      </c>
    </row>
    <row r="12" spans="1:5">
      <c r="A12" t="s">
        <v>43</v>
      </c>
      <c r="B12" t="s">
        <v>1615</v>
      </c>
      <c r="C12" t="s">
        <v>1616</v>
      </c>
      <c r="D12" t="s">
        <v>930</v>
      </c>
      <c r="E12">
        <f>HYPERLINK("https://www.britishcycling.org.uk/points?person_id=33890&amp;year=2019&amp;type=national&amp;d=6","Results")</f>
        <v/>
      </c>
    </row>
    <row r="13" spans="1:5">
      <c r="A13" t="s">
        <v>47</v>
      </c>
      <c r="B13" t="s">
        <v>1617</v>
      </c>
      <c r="C13" t="s">
        <v>1618</v>
      </c>
      <c r="D13" t="s">
        <v>1619</v>
      </c>
      <c r="E13">
        <f>HYPERLINK("https://www.britishcycling.org.uk/points?person_id=28869&amp;year=2019&amp;type=national&amp;d=6","Results")</f>
        <v/>
      </c>
    </row>
    <row r="14" spans="1:5">
      <c r="A14" t="s">
        <v>51</v>
      </c>
      <c r="B14" t="s">
        <v>1620</v>
      </c>
      <c r="C14" t="s">
        <v>1621</v>
      </c>
      <c r="D14" t="s">
        <v>1622</v>
      </c>
      <c r="E14">
        <f>HYPERLINK("https://www.britishcycling.org.uk/points?person_id=123567&amp;year=2019&amp;type=national&amp;d=6","Results")</f>
        <v/>
      </c>
    </row>
    <row r="15" spans="1:5">
      <c r="A15" t="s">
        <v>55</v>
      </c>
      <c r="B15" t="s">
        <v>1623</v>
      </c>
      <c r="C15" t="s">
        <v>1091</v>
      </c>
      <c r="D15" t="s">
        <v>1624</v>
      </c>
      <c r="E15">
        <f>HYPERLINK("https://www.britishcycling.org.uk/points?person_id=71986&amp;year=2019&amp;type=national&amp;d=6","Results")</f>
        <v/>
      </c>
    </row>
    <row r="16" spans="1:5">
      <c r="A16" t="s">
        <v>59</v>
      </c>
      <c r="B16" t="s">
        <v>1625</v>
      </c>
      <c r="C16" t="s">
        <v>1626</v>
      </c>
      <c r="D16" t="s">
        <v>1627</v>
      </c>
      <c r="E16">
        <f>HYPERLINK("https://www.britishcycling.org.uk/points?person_id=63660&amp;year=2019&amp;type=national&amp;d=6","Results")</f>
        <v/>
      </c>
    </row>
    <row r="17" spans="1:5">
      <c r="A17" t="s">
        <v>63</v>
      </c>
      <c r="B17" t="s">
        <v>1628</v>
      </c>
      <c r="C17" t="s">
        <v>1629</v>
      </c>
      <c r="D17" t="s">
        <v>1630</v>
      </c>
      <c r="E17">
        <f>HYPERLINK("https://www.britishcycling.org.uk/points?person_id=52376&amp;year=2019&amp;type=national&amp;d=6","Results")</f>
        <v/>
      </c>
    </row>
    <row r="18" spans="1:5">
      <c r="A18" t="s">
        <v>67</v>
      </c>
      <c r="B18" t="s">
        <v>1631</v>
      </c>
      <c r="C18" t="s">
        <v>746</v>
      </c>
      <c r="D18" t="s">
        <v>934</v>
      </c>
      <c r="E18">
        <f>HYPERLINK("https://www.britishcycling.org.uk/points?person_id=189687&amp;year=2019&amp;type=national&amp;d=6","Results")</f>
        <v/>
      </c>
    </row>
    <row r="19" spans="1:5">
      <c r="A19" t="s">
        <v>71</v>
      </c>
      <c r="B19" t="s">
        <v>1632</v>
      </c>
      <c r="C19" t="s">
        <v>401</v>
      </c>
      <c r="D19" t="s">
        <v>1633</v>
      </c>
      <c r="E19">
        <f>HYPERLINK("https://www.britishcycling.org.uk/points?person_id=57116&amp;year=2019&amp;type=national&amp;d=6","Results")</f>
        <v/>
      </c>
    </row>
    <row r="20" spans="1:5">
      <c r="A20" t="s">
        <v>75</v>
      </c>
      <c r="B20" t="s">
        <v>1634</v>
      </c>
      <c r="C20" t="s">
        <v>1635</v>
      </c>
      <c r="D20" t="s">
        <v>1633</v>
      </c>
      <c r="E20">
        <f>HYPERLINK("https://www.britishcycling.org.uk/points?person_id=105905&amp;year=2019&amp;type=national&amp;d=6","Results")</f>
        <v/>
      </c>
    </row>
    <row r="21" spans="1:5">
      <c r="A21" t="s">
        <v>78</v>
      </c>
      <c r="B21" t="s">
        <v>1636</v>
      </c>
      <c r="C21" t="s">
        <v>1349</v>
      </c>
      <c r="D21" t="s">
        <v>1637</v>
      </c>
      <c r="E21">
        <f>HYPERLINK("https://www.britishcycling.org.uk/points?person_id=18459&amp;year=2019&amp;type=national&amp;d=6","Results")</f>
        <v/>
      </c>
    </row>
    <row r="22" spans="1:5">
      <c r="A22" t="s">
        <v>82</v>
      </c>
      <c r="B22" t="s">
        <v>1638</v>
      </c>
      <c r="C22" t="s">
        <v>1507</v>
      </c>
      <c r="D22" t="s">
        <v>1639</v>
      </c>
      <c r="E22">
        <f>HYPERLINK("https://www.britishcycling.org.uk/points?person_id=262111&amp;year=2019&amp;type=national&amp;d=6","Results")</f>
        <v/>
      </c>
    </row>
    <row r="23" spans="1:5">
      <c r="A23" t="s">
        <v>85</v>
      </c>
      <c r="B23" t="s">
        <v>1640</v>
      </c>
      <c r="C23" t="s">
        <v>1440</v>
      </c>
      <c r="D23" t="s">
        <v>1641</v>
      </c>
      <c r="E23">
        <f>HYPERLINK("https://www.britishcycling.org.uk/points?person_id=410195&amp;year=2019&amp;type=national&amp;d=6","Results")</f>
        <v/>
      </c>
    </row>
    <row r="24" spans="1:5">
      <c r="A24" t="s">
        <v>89</v>
      </c>
      <c r="B24" t="s">
        <v>1642</v>
      </c>
      <c r="C24" t="s">
        <v>135</v>
      </c>
      <c r="D24" t="s">
        <v>1643</v>
      </c>
      <c r="E24">
        <f>HYPERLINK("https://www.britishcycling.org.uk/points?person_id=48201&amp;year=2019&amp;type=national&amp;d=6","Results")</f>
        <v/>
      </c>
    </row>
    <row r="25" spans="1:5">
      <c r="A25" t="s">
        <v>92</v>
      </c>
      <c r="B25" t="s">
        <v>1644</v>
      </c>
      <c r="C25" t="s">
        <v>1645</v>
      </c>
      <c r="D25" t="s">
        <v>1646</v>
      </c>
      <c r="E25">
        <f>HYPERLINK("https://www.britishcycling.org.uk/points?person_id=525858&amp;year=2019&amp;type=national&amp;d=6","Results")</f>
        <v/>
      </c>
    </row>
    <row r="26" spans="1:5">
      <c r="A26" t="s">
        <v>96</v>
      </c>
      <c r="B26" t="s">
        <v>1647</v>
      </c>
      <c r="C26" t="s">
        <v>1648</v>
      </c>
      <c r="D26" t="s">
        <v>1649</v>
      </c>
      <c r="E26">
        <f>HYPERLINK("https://www.britishcycling.org.uk/points?person_id=101457&amp;year=2019&amp;type=national&amp;d=6","Results")</f>
        <v/>
      </c>
    </row>
    <row r="27" spans="1:5">
      <c r="A27" t="s">
        <v>99</v>
      </c>
      <c r="B27" t="s">
        <v>1650</v>
      </c>
      <c r="C27" t="s">
        <v>1651</v>
      </c>
      <c r="D27" t="s">
        <v>91</v>
      </c>
      <c r="E27">
        <f>HYPERLINK("https://www.britishcycling.org.uk/points?person_id=526569&amp;year=2019&amp;type=national&amp;d=6","Results")</f>
        <v/>
      </c>
    </row>
    <row r="28" spans="1:5">
      <c r="A28" t="s">
        <v>103</v>
      </c>
      <c r="B28" t="s">
        <v>1652</v>
      </c>
      <c r="C28" t="s"/>
      <c r="D28" t="s">
        <v>892</v>
      </c>
      <c r="E28">
        <f>HYPERLINK("https://www.britishcycling.org.uk/points?person_id=721&amp;year=2019&amp;type=national&amp;d=6","Results")</f>
        <v/>
      </c>
    </row>
    <row r="29" spans="1:5">
      <c r="A29" t="s">
        <v>107</v>
      </c>
      <c r="B29" t="s">
        <v>1653</v>
      </c>
      <c r="C29" t="s">
        <v>1654</v>
      </c>
      <c r="D29" t="s">
        <v>875</v>
      </c>
      <c r="E29">
        <f>HYPERLINK("https://www.britishcycling.org.uk/points?person_id=213373&amp;year=2019&amp;type=national&amp;d=6","Results")</f>
        <v/>
      </c>
    </row>
    <row r="30" spans="1:5">
      <c r="A30" t="s">
        <v>111</v>
      </c>
      <c r="B30" t="s">
        <v>1655</v>
      </c>
      <c r="C30" t="s">
        <v>1002</v>
      </c>
      <c r="D30" t="s">
        <v>871</v>
      </c>
      <c r="E30">
        <f>HYPERLINK("https://www.britishcycling.org.uk/points?person_id=235127&amp;year=2019&amp;type=national&amp;d=6","Results")</f>
        <v/>
      </c>
    </row>
    <row r="31" spans="1:5">
      <c r="A31" t="s">
        <v>115</v>
      </c>
      <c r="B31" t="s">
        <v>1656</v>
      </c>
      <c r="C31" t="s">
        <v>1657</v>
      </c>
      <c r="D31" t="s">
        <v>854</v>
      </c>
      <c r="E31">
        <f>HYPERLINK("https://www.britishcycling.org.uk/points?person_id=304599&amp;year=2019&amp;type=national&amp;d=6","Results")</f>
        <v/>
      </c>
    </row>
    <row r="32" spans="1:5">
      <c r="A32" t="s">
        <v>119</v>
      </c>
      <c r="B32" t="s">
        <v>1658</v>
      </c>
      <c r="C32" t="s">
        <v>1397</v>
      </c>
      <c r="D32" t="s">
        <v>851</v>
      </c>
      <c r="E32">
        <f>HYPERLINK("https://www.britishcycling.org.uk/points?person_id=621460&amp;year=2019&amp;type=national&amp;d=6","Results")</f>
        <v/>
      </c>
    </row>
    <row r="33" spans="1:5">
      <c r="A33" t="s">
        <v>123</v>
      </c>
      <c r="B33" t="s">
        <v>1659</v>
      </c>
      <c r="C33" t="s">
        <v>511</v>
      </c>
      <c r="D33" t="s">
        <v>848</v>
      </c>
      <c r="E33">
        <f>HYPERLINK("https://www.britishcycling.org.uk/points?person_id=77447&amp;year=2019&amp;type=national&amp;d=6","Results")</f>
        <v/>
      </c>
    </row>
    <row r="34" spans="1:5">
      <c r="A34" t="s">
        <v>127</v>
      </c>
      <c r="B34" t="s">
        <v>1660</v>
      </c>
      <c r="C34" t="s">
        <v>1648</v>
      </c>
      <c r="D34" t="s">
        <v>825</v>
      </c>
      <c r="E34">
        <f>HYPERLINK("https://www.britishcycling.org.uk/points?person_id=44717&amp;year=2019&amp;type=national&amp;d=6","Results")</f>
        <v/>
      </c>
    </row>
    <row r="35" spans="1:5">
      <c r="A35" t="s">
        <v>130</v>
      </c>
      <c r="B35" t="s">
        <v>1661</v>
      </c>
      <c r="C35" t="s">
        <v>1662</v>
      </c>
      <c r="D35" t="s">
        <v>823</v>
      </c>
      <c r="E35">
        <f>HYPERLINK("https://www.britishcycling.org.uk/points?person_id=69398&amp;year=2019&amp;type=national&amp;d=6","Results")</f>
        <v/>
      </c>
    </row>
    <row r="36" spans="1:5">
      <c r="A36" t="s">
        <v>133</v>
      </c>
      <c r="B36" t="s">
        <v>1663</v>
      </c>
      <c r="C36" t="s">
        <v>1664</v>
      </c>
      <c r="D36" t="s">
        <v>820</v>
      </c>
      <c r="E36">
        <f>HYPERLINK("https://www.britishcycling.org.uk/points?person_id=37471&amp;year=2019&amp;type=national&amp;d=6","Results")</f>
        <v/>
      </c>
    </row>
    <row r="37" spans="1:5">
      <c r="A37" t="s">
        <v>137</v>
      </c>
      <c r="B37" t="s">
        <v>1665</v>
      </c>
      <c r="C37" t="s">
        <v>1666</v>
      </c>
      <c r="D37" t="s">
        <v>818</v>
      </c>
      <c r="E37">
        <f>HYPERLINK("https://www.britishcycling.org.uk/points?person_id=227130&amp;year=2019&amp;type=national&amp;d=6","Results")</f>
        <v/>
      </c>
    </row>
    <row r="38" spans="1:5">
      <c r="A38" t="s">
        <v>141</v>
      </c>
      <c r="B38" t="s">
        <v>1667</v>
      </c>
      <c r="C38" t="s">
        <v>1332</v>
      </c>
      <c r="D38" t="s">
        <v>815</v>
      </c>
      <c r="E38">
        <f>HYPERLINK("https://www.britishcycling.org.uk/points?person_id=282136&amp;year=2019&amp;type=national&amp;d=6","Results")</f>
        <v/>
      </c>
    </row>
    <row r="39" spans="1:5">
      <c r="A39" t="s">
        <v>145</v>
      </c>
      <c r="B39" t="s">
        <v>1668</v>
      </c>
      <c r="C39" t="s">
        <v>1452</v>
      </c>
      <c r="D39" t="s">
        <v>110</v>
      </c>
      <c r="E39">
        <f>HYPERLINK("https://www.britishcycling.org.uk/points?person_id=729968&amp;year=2019&amp;type=national&amp;d=6","Results")</f>
        <v/>
      </c>
    </row>
    <row r="40" spans="1:5">
      <c r="A40" t="s">
        <v>148</v>
      </c>
      <c r="B40" t="s">
        <v>1669</v>
      </c>
      <c r="C40" t="s">
        <v>1346</v>
      </c>
      <c r="D40" t="s">
        <v>790</v>
      </c>
      <c r="E40">
        <f>HYPERLINK("https://www.britishcycling.org.uk/points?person_id=126705&amp;year=2019&amp;type=national&amp;d=6","Results")</f>
        <v/>
      </c>
    </row>
    <row r="41" spans="1:5">
      <c r="A41" t="s">
        <v>151</v>
      </c>
      <c r="B41" t="s">
        <v>1670</v>
      </c>
      <c r="C41" t="s">
        <v>1671</v>
      </c>
      <c r="D41" t="s">
        <v>765</v>
      </c>
      <c r="E41">
        <f>HYPERLINK("https://www.britishcycling.org.uk/points?person_id=184875&amp;year=2019&amp;type=national&amp;d=6","Results")</f>
        <v/>
      </c>
    </row>
    <row r="42" spans="1:5">
      <c r="A42" t="s">
        <v>155</v>
      </c>
      <c r="B42" t="s">
        <v>1672</v>
      </c>
      <c r="C42" t="s">
        <v>1635</v>
      </c>
      <c r="D42" t="s">
        <v>758</v>
      </c>
      <c r="E42">
        <f>HYPERLINK("https://www.britishcycling.org.uk/points?person_id=56422&amp;year=2019&amp;type=national&amp;d=6","Results")</f>
        <v/>
      </c>
    </row>
    <row r="43" spans="1:5">
      <c r="A43" t="s">
        <v>158</v>
      </c>
      <c r="B43" t="s">
        <v>1673</v>
      </c>
      <c r="C43" t="s">
        <v>1645</v>
      </c>
      <c r="D43" t="s">
        <v>758</v>
      </c>
      <c r="E43">
        <f>HYPERLINK("https://www.britishcycling.org.uk/points?person_id=10012&amp;year=2019&amp;type=national&amp;d=6","Results")</f>
        <v/>
      </c>
    </row>
    <row r="44" spans="1:5">
      <c r="A44" t="s">
        <v>161</v>
      </c>
      <c r="B44" t="s">
        <v>1674</v>
      </c>
      <c r="C44" t="s">
        <v>1675</v>
      </c>
      <c r="D44" t="s">
        <v>749</v>
      </c>
      <c r="E44">
        <f>HYPERLINK("https://www.britishcycling.org.uk/points?person_id=105650&amp;year=2019&amp;type=national&amp;d=6","Results")</f>
        <v/>
      </c>
    </row>
    <row r="45" spans="1:5">
      <c r="A45" t="s">
        <v>165</v>
      </c>
      <c r="B45" t="s">
        <v>1676</v>
      </c>
      <c r="C45" t="s">
        <v>1677</v>
      </c>
      <c r="D45" t="s">
        <v>737</v>
      </c>
      <c r="E45">
        <f>HYPERLINK("https://www.britishcycling.org.uk/points?person_id=540842&amp;year=2019&amp;type=national&amp;d=6","Results")</f>
        <v/>
      </c>
    </row>
    <row r="46" spans="1:5">
      <c r="A46" t="s">
        <v>168</v>
      </c>
      <c r="B46" t="s">
        <v>1678</v>
      </c>
      <c r="C46" t="s">
        <v>223</v>
      </c>
      <c r="D46" t="s">
        <v>735</v>
      </c>
      <c r="E46">
        <f>HYPERLINK("https://www.britishcycling.org.uk/points?person_id=34557&amp;year=2019&amp;type=national&amp;d=6","Results")</f>
        <v/>
      </c>
    </row>
    <row r="47" spans="1:5">
      <c r="A47" t="s">
        <v>172</v>
      </c>
      <c r="B47" t="s">
        <v>1679</v>
      </c>
      <c r="C47" t="s">
        <v>1603</v>
      </c>
      <c r="D47" t="s">
        <v>729</v>
      </c>
      <c r="E47">
        <f>HYPERLINK("https://www.britishcycling.org.uk/points?person_id=79292&amp;year=2019&amp;type=national&amp;d=6","Results")</f>
        <v/>
      </c>
    </row>
    <row r="48" spans="1:5">
      <c r="A48" t="s">
        <v>176</v>
      </c>
      <c r="B48" t="s">
        <v>1280</v>
      </c>
      <c r="C48" t="s">
        <v>1397</v>
      </c>
      <c r="D48" t="s">
        <v>726</v>
      </c>
      <c r="E48">
        <f>HYPERLINK("https://www.britishcycling.org.uk/points?person_id=502173&amp;year=2019&amp;type=national&amp;d=6","Results")</f>
        <v/>
      </c>
    </row>
    <row r="49" spans="1:5">
      <c r="A49" t="s">
        <v>180</v>
      </c>
      <c r="B49" t="s">
        <v>1680</v>
      </c>
      <c r="C49" t="s">
        <v>1681</v>
      </c>
      <c r="D49" t="s">
        <v>129</v>
      </c>
      <c r="E49">
        <f>HYPERLINK("https://www.britishcycling.org.uk/points?person_id=235228&amp;year=2019&amp;type=national&amp;d=6","Results")</f>
        <v/>
      </c>
    </row>
    <row r="50" spans="1:5">
      <c r="A50" t="s">
        <v>184</v>
      </c>
      <c r="B50" t="s">
        <v>1682</v>
      </c>
      <c r="C50" t="s"/>
      <c r="D50" t="s">
        <v>129</v>
      </c>
      <c r="E50">
        <f>HYPERLINK("https://www.britishcycling.org.uk/points?person_id=179284&amp;year=2019&amp;type=national&amp;d=6","Results")</f>
        <v/>
      </c>
    </row>
    <row r="51" spans="1:5">
      <c r="A51" t="s">
        <v>188</v>
      </c>
      <c r="B51" t="s">
        <v>1683</v>
      </c>
      <c r="C51" t="s">
        <v>1684</v>
      </c>
      <c r="D51" t="s">
        <v>716</v>
      </c>
      <c r="E51">
        <f>HYPERLINK("https://www.britishcycling.org.uk/points?person_id=127690&amp;year=2019&amp;type=national&amp;d=6","Results")</f>
        <v/>
      </c>
    </row>
    <row r="52" spans="1:5">
      <c r="A52" t="s">
        <v>192</v>
      </c>
      <c r="B52" t="s">
        <v>1685</v>
      </c>
      <c r="C52" t="s">
        <v>1686</v>
      </c>
      <c r="D52" t="s">
        <v>712</v>
      </c>
      <c r="E52">
        <f>HYPERLINK("https://www.britishcycling.org.uk/points?person_id=8310&amp;year=2019&amp;type=national&amp;d=6","Results")</f>
        <v/>
      </c>
    </row>
    <row r="53" spans="1:5">
      <c r="A53" t="s">
        <v>196</v>
      </c>
      <c r="B53" t="s">
        <v>1687</v>
      </c>
      <c r="C53" t="s">
        <v>401</v>
      </c>
      <c r="D53" t="s">
        <v>694</v>
      </c>
      <c r="E53">
        <f>HYPERLINK("https://www.britishcycling.org.uk/points?person_id=764909&amp;year=2019&amp;type=national&amp;d=6","Results")</f>
        <v/>
      </c>
    </row>
    <row r="54" spans="1:5">
      <c r="A54" t="s">
        <v>199</v>
      </c>
      <c r="B54" t="s">
        <v>1688</v>
      </c>
      <c r="C54" t="s">
        <v>1689</v>
      </c>
      <c r="D54" t="s">
        <v>132</v>
      </c>
      <c r="E54">
        <f>HYPERLINK("https://www.britishcycling.org.uk/points?person_id=232411&amp;year=2019&amp;type=national&amp;d=6","Results")</f>
        <v/>
      </c>
    </row>
    <row r="55" spans="1:5">
      <c r="A55" t="s">
        <v>203</v>
      </c>
      <c r="B55" t="s">
        <v>1690</v>
      </c>
      <c r="C55" t="s">
        <v>1666</v>
      </c>
      <c r="D55" t="s">
        <v>140</v>
      </c>
      <c r="E55">
        <f>HYPERLINK("https://www.britishcycling.org.uk/points?person_id=12100&amp;year=2019&amp;type=national&amp;d=6","Results")</f>
        <v/>
      </c>
    </row>
    <row r="56" spans="1:5">
      <c r="A56" t="s">
        <v>207</v>
      </c>
      <c r="B56" t="s">
        <v>1691</v>
      </c>
      <c r="C56" t="s">
        <v>955</v>
      </c>
      <c r="D56" t="s">
        <v>674</v>
      </c>
      <c r="E56">
        <f>HYPERLINK("https://www.britishcycling.org.uk/points?person_id=307362&amp;year=2019&amp;type=national&amp;d=6","Results")</f>
        <v/>
      </c>
    </row>
    <row r="57" spans="1:5">
      <c r="A57" t="s">
        <v>210</v>
      </c>
      <c r="B57" t="s">
        <v>1692</v>
      </c>
      <c r="C57" t="s">
        <v>23</v>
      </c>
      <c r="D57" t="s">
        <v>668</v>
      </c>
      <c r="E57">
        <f>HYPERLINK("https://www.britishcycling.org.uk/points?person_id=189592&amp;year=2019&amp;type=national&amp;d=6","Results")</f>
        <v/>
      </c>
    </row>
    <row r="58" spans="1:5">
      <c r="A58" t="s">
        <v>214</v>
      </c>
      <c r="B58" t="s">
        <v>1693</v>
      </c>
      <c r="C58" t="s">
        <v>1694</v>
      </c>
      <c r="D58" t="s">
        <v>150</v>
      </c>
      <c r="E58">
        <f>HYPERLINK("https://www.britishcycling.org.uk/points?person_id=502030&amp;year=2019&amp;type=national&amp;d=6","Results")</f>
        <v/>
      </c>
    </row>
    <row r="59" spans="1:5">
      <c r="A59" t="s">
        <v>218</v>
      </c>
      <c r="B59" t="s">
        <v>1695</v>
      </c>
      <c r="C59" t="s">
        <v>1696</v>
      </c>
      <c r="D59" t="s">
        <v>664</v>
      </c>
      <c r="E59">
        <f>HYPERLINK("https://www.britishcycling.org.uk/points?person_id=175030&amp;year=2019&amp;type=national&amp;d=6","Results")</f>
        <v/>
      </c>
    </row>
    <row r="60" spans="1:5">
      <c r="A60" t="s">
        <v>221</v>
      </c>
      <c r="B60" t="s">
        <v>1697</v>
      </c>
      <c r="C60" t="s">
        <v>1332</v>
      </c>
      <c r="D60" t="s">
        <v>160</v>
      </c>
      <c r="E60">
        <f>HYPERLINK("https://www.britishcycling.org.uk/points?person_id=242503&amp;year=2019&amp;type=national&amp;d=6","Results")</f>
        <v/>
      </c>
    </row>
    <row r="61" spans="1:5">
      <c r="A61" t="s">
        <v>225</v>
      </c>
      <c r="B61" t="s">
        <v>1698</v>
      </c>
      <c r="C61" t="s">
        <v>1699</v>
      </c>
      <c r="D61" t="s">
        <v>651</v>
      </c>
      <c r="E61">
        <f>HYPERLINK("https://www.britishcycling.org.uk/points?person_id=64390&amp;year=2019&amp;type=national&amp;d=6","Results")</f>
        <v/>
      </c>
    </row>
    <row r="62" spans="1:5">
      <c r="A62" t="s">
        <v>228</v>
      </c>
      <c r="B62" t="s">
        <v>1700</v>
      </c>
      <c r="C62" t="s">
        <v>1701</v>
      </c>
      <c r="D62" t="s">
        <v>639</v>
      </c>
      <c r="E62">
        <f>HYPERLINK("https://www.britishcycling.org.uk/points?person_id=231820&amp;year=2019&amp;type=national&amp;d=6","Results")</f>
        <v/>
      </c>
    </row>
    <row r="63" spans="1:5">
      <c r="A63" t="s">
        <v>232</v>
      </c>
      <c r="B63" t="s">
        <v>1702</v>
      </c>
      <c r="C63" t="s"/>
      <c r="D63" t="s">
        <v>637</v>
      </c>
      <c r="E63">
        <f>HYPERLINK("https://www.britishcycling.org.uk/points?person_id=39612&amp;year=2019&amp;type=national&amp;d=6","Results")</f>
        <v/>
      </c>
    </row>
    <row r="64" spans="1:5">
      <c r="A64" t="s">
        <v>236</v>
      </c>
      <c r="B64" t="s">
        <v>1703</v>
      </c>
      <c r="C64" t="s">
        <v>1704</v>
      </c>
      <c r="D64" t="s">
        <v>634</v>
      </c>
      <c r="E64">
        <f>HYPERLINK("https://www.britishcycling.org.uk/points?person_id=188827&amp;year=2019&amp;type=national&amp;d=6","Results")</f>
        <v/>
      </c>
    </row>
    <row r="65" spans="1:5">
      <c r="A65" t="s">
        <v>239</v>
      </c>
      <c r="B65" t="s">
        <v>1705</v>
      </c>
      <c r="C65" t="s">
        <v>1706</v>
      </c>
      <c r="D65" t="s">
        <v>634</v>
      </c>
      <c r="E65">
        <f>HYPERLINK("https://www.britishcycling.org.uk/points?person_id=506476&amp;year=2019&amp;type=national&amp;d=6","Results")</f>
        <v/>
      </c>
    </row>
    <row r="66" spans="1:5">
      <c r="A66" t="s">
        <v>241</v>
      </c>
      <c r="B66" t="s">
        <v>1707</v>
      </c>
      <c r="C66" t="s">
        <v>636</v>
      </c>
      <c r="D66" t="s">
        <v>630</v>
      </c>
      <c r="E66">
        <f>HYPERLINK("https://www.britishcycling.org.uk/points?person_id=69812&amp;year=2019&amp;type=national&amp;d=6","Results")</f>
        <v/>
      </c>
    </row>
    <row r="67" spans="1:5">
      <c r="A67" t="s">
        <v>244</v>
      </c>
      <c r="B67" t="s">
        <v>1708</v>
      </c>
      <c r="C67" t="s">
        <v>1709</v>
      </c>
      <c r="D67" t="s">
        <v>621</v>
      </c>
      <c r="E67">
        <f>HYPERLINK("https://www.britishcycling.org.uk/points?person_id=16165&amp;year=2019&amp;type=national&amp;d=6","Results")</f>
        <v/>
      </c>
    </row>
    <row r="68" spans="1:5">
      <c r="A68" t="s">
        <v>247</v>
      </c>
      <c r="B68" t="s">
        <v>1710</v>
      </c>
      <c r="C68" t="s">
        <v>1711</v>
      </c>
      <c r="D68" t="s">
        <v>621</v>
      </c>
      <c r="E68">
        <f>HYPERLINK("https://www.britishcycling.org.uk/points?person_id=497423&amp;year=2019&amp;type=national&amp;d=6","Results")</f>
        <v/>
      </c>
    </row>
    <row r="69" spans="1:5">
      <c r="A69" t="s">
        <v>250</v>
      </c>
      <c r="B69" t="s">
        <v>1712</v>
      </c>
      <c r="C69" t="s">
        <v>283</v>
      </c>
      <c r="D69" t="s">
        <v>619</v>
      </c>
      <c r="E69">
        <f>HYPERLINK("https://www.britishcycling.org.uk/points?person_id=38117&amp;year=2019&amp;type=national&amp;d=6","Results")</f>
        <v/>
      </c>
    </row>
    <row r="70" spans="1:5">
      <c r="A70" t="s">
        <v>254</v>
      </c>
      <c r="B70" t="s">
        <v>1713</v>
      </c>
      <c r="C70" t="s">
        <v>1603</v>
      </c>
      <c r="D70" t="s">
        <v>611</v>
      </c>
      <c r="E70">
        <f>HYPERLINK("https://www.britishcycling.org.uk/points?person_id=75812&amp;year=2019&amp;type=national&amp;d=6","Results")</f>
        <v/>
      </c>
    </row>
    <row r="71" spans="1:5">
      <c r="A71" t="s">
        <v>257</v>
      </c>
      <c r="B71" t="s">
        <v>1345</v>
      </c>
      <c r="C71" t="s">
        <v>1346</v>
      </c>
      <c r="D71" t="s">
        <v>604</v>
      </c>
      <c r="E71">
        <f>HYPERLINK("https://www.britishcycling.org.uk/points?person_id=259172&amp;year=2019&amp;type=national&amp;d=6","Results")</f>
        <v/>
      </c>
    </row>
    <row r="72" spans="1:5">
      <c r="A72" t="s">
        <v>260</v>
      </c>
      <c r="B72" t="s">
        <v>1714</v>
      </c>
      <c r="C72" t="s">
        <v>1715</v>
      </c>
      <c r="D72" t="s">
        <v>598</v>
      </c>
      <c r="E72">
        <f>HYPERLINK("https://www.britishcycling.org.uk/points?person_id=16930&amp;year=2019&amp;type=national&amp;d=6","Results")</f>
        <v/>
      </c>
    </row>
    <row r="73" spans="1:5">
      <c r="A73" t="s">
        <v>264</v>
      </c>
      <c r="B73" t="s">
        <v>1716</v>
      </c>
      <c r="C73" t="s">
        <v>1717</v>
      </c>
      <c r="D73" t="s">
        <v>598</v>
      </c>
      <c r="E73">
        <f>HYPERLINK("https://www.britishcycling.org.uk/points?person_id=29665&amp;year=2019&amp;type=national&amp;d=6","Results")</f>
        <v/>
      </c>
    </row>
    <row r="74" spans="1:5">
      <c r="A74" t="s">
        <v>267</v>
      </c>
      <c r="B74" t="s">
        <v>1718</v>
      </c>
      <c r="C74" t="s">
        <v>1719</v>
      </c>
      <c r="D74" t="s">
        <v>187</v>
      </c>
      <c r="E74">
        <f>HYPERLINK("https://www.britishcycling.org.uk/points?person_id=58508&amp;year=2019&amp;type=national&amp;d=6","Results")</f>
        <v/>
      </c>
    </row>
    <row r="75" spans="1:5">
      <c r="A75" t="s">
        <v>270</v>
      </c>
      <c r="B75" t="s">
        <v>1720</v>
      </c>
      <c r="C75" t="s">
        <v>1721</v>
      </c>
      <c r="D75" t="s">
        <v>585</v>
      </c>
      <c r="E75">
        <f>HYPERLINK("https://www.britishcycling.org.uk/points?person_id=201614&amp;year=2019&amp;type=national&amp;d=6","Results")</f>
        <v/>
      </c>
    </row>
    <row r="76" spans="1:5">
      <c r="A76" t="s">
        <v>274</v>
      </c>
      <c r="B76" t="s">
        <v>1722</v>
      </c>
      <c r="C76" t="s">
        <v>615</v>
      </c>
      <c r="D76" t="s">
        <v>573</v>
      </c>
      <c r="E76">
        <f>HYPERLINK("https://www.britishcycling.org.uk/points?person_id=191169&amp;year=2019&amp;type=national&amp;d=6","Results")</f>
        <v/>
      </c>
    </row>
    <row r="77" spans="1:5">
      <c r="A77" t="s">
        <v>277</v>
      </c>
      <c r="B77" t="s">
        <v>1723</v>
      </c>
      <c r="C77" t="s">
        <v>1724</v>
      </c>
      <c r="D77" t="s">
        <v>195</v>
      </c>
      <c r="E77">
        <f>HYPERLINK("https://www.britishcycling.org.uk/points?person_id=616877&amp;year=2019&amp;type=national&amp;d=6","Results")</f>
        <v/>
      </c>
    </row>
    <row r="78" spans="1:5">
      <c r="A78" t="s">
        <v>281</v>
      </c>
      <c r="B78" t="s">
        <v>1725</v>
      </c>
      <c r="C78" t="s">
        <v>1726</v>
      </c>
      <c r="D78" t="s">
        <v>568</v>
      </c>
      <c r="E78">
        <f>HYPERLINK("https://www.britishcycling.org.uk/points?person_id=51499&amp;year=2019&amp;type=national&amp;d=6","Results")</f>
        <v/>
      </c>
    </row>
    <row r="79" spans="1:5">
      <c r="A79" t="s">
        <v>285</v>
      </c>
      <c r="B79" t="s">
        <v>1348</v>
      </c>
      <c r="C79" t="s">
        <v>1349</v>
      </c>
      <c r="D79" t="s">
        <v>202</v>
      </c>
      <c r="E79">
        <f>HYPERLINK("https://www.britishcycling.org.uk/points?person_id=322894&amp;year=2019&amp;type=national&amp;d=6","Results")</f>
        <v/>
      </c>
    </row>
    <row r="80" spans="1:5">
      <c r="A80" t="s">
        <v>289</v>
      </c>
      <c r="B80" t="s">
        <v>1727</v>
      </c>
      <c r="C80" t="s">
        <v>551</v>
      </c>
      <c r="D80" t="s">
        <v>557</v>
      </c>
      <c r="E80">
        <f>HYPERLINK("https://www.britishcycling.org.uk/points?person_id=690364&amp;year=2019&amp;type=national&amp;d=6","Results")</f>
        <v/>
      </c>
    </row>
    <row r="81" spans="1:5">
      <c r="A81" t="s">
        <v>293</v>
      </c>
      <c r="B81" t="s">
        <v>1728</v>
      </c>
      <c r="C81" t="s">
        <v>1729</v>
      </c>
      <c r="D81" t="s">
        <v>544</v>
      </c>
      <c r="E81">
        <f>HYPERLINK("https://www.britishcycling.org.uk/points?person_id=174036&amp;year=2019&amp;type=national&amp;d=6","Results")</f>
        <v/>
      </c>
    </row>
    <row r="82" spans="1:5">
      <c r="A82" t="s">
        <v>297</v>
      </c>
      <c r="B82" t="s">
        <v>1730</v>
      </c>
      <c r="C82" t="s"/>
      <c r="D82" t="s">
        <v>542</v>
      </c>
      <c r="E82">
        <f>HYPERLINK("https://www.britishcycling.org.uk/points?person_id=315217&amp;year=2019&amp;type=national&amp;d=6","Results")</f>
        <v/>
      </c>
    </row>
    <row r="83" spans="1:5">
      <c r="A83" t="s">
        <v>301</v>
      </c>
      <c r="B83" t="s">
        <v>1731</v>
      </c>
      <c r="C83" t="s">
        <v>1732</v>
      </c>
      <c r="D83" t="s">
        <v>539</v>
      </c>
      <c r="E83">
        <f>HYPERLINK("https://www.britishcycling.org.uk/points?person_id=377705&amp;year=2019&amp;type=national&amp;d=6","Results")</f>
        <v/>
      </c>
    </row>
    <row r="84" spans="1:5">
      <c r="A84" t="s">
        <v>304</v>
      </c>
      <c r="B84" t="s">
        <v>1733</v>
      </c>
      <c r="C84" t="s">
        <v>1734</v>
      </c>
      <c r="D84" t="s">
        <v>206</v>
      </c>
      <c r="E84">
        <f>HYPERLINK("https://www.britishcycling.org.uk/points?person_id=172147&amp;year=2019&amp;type=national&amp;d=6","Results")</f>
        <v/>
      </c>
    </row>
    <row r="85" spans="1:5">
      <c r="A85" t="s">
        <v>307</v>
      </c>
      <c r="B85" t="s">
        <v>1124</v>
      </c>
      <c r="C85" t="s">
        <v>1370</v>
      </c>
      <c r="D85" t="s">
        <v>206</v>
      </c>
      <c r="E85">
        <f>HYPERLINK("https://www.britishcycling.org.uk/points?person_id=133419&amp;year=2019&amp;type=national&amp;d=6","Results")</f>
        <v/>
      </c>
    </row>
    <row r="86" spans="1:5">
      <c r="A86" t="s">
        <v>310</v>
      </c>
      <c r="B86" t="s">
        <v>1735</v>
      </c>
      <c r="C86" t="s">
        <v>1736</v>
      </c>
      <c r="D86" t="s">
        <v>206</v>
      </c>
      <c r="E86">
        <f>HYPERLINK("https://www.britishcycling.org.uk/points?person_id=338697&amp;year=2019&amp;type=national&amp;d=6","Results")</f>
        <v/>
      </c>
    </row>
    <row r="87" spans="1:5">
      <c r="A87" t="s">
        <v>313</v>
      </c>
      <c r="B87" t="s">
        <v>1737</v>
      </c>
      <c r="C87" t="s">
        <v>1738</v>
      </c>
      <c r="D87" t="s">
        <v>534</v>
      </c>
      <c r="E87">
        <f>HYPERLINK("https://www.britishcycling.org.uk/points?person_id=77268&amp;year=2019&amp;type=national&amp;d=6","Results")</f>
        <v/>
      </c>
    </row>
    <row r="88" spans="1:5">
      <c r="A88" t="s">
        <v>317</v>
      </c>
      <c r="B88" t="s">
        <v>1739</v>
      </c>
      <c r="C88" t="s">
        <v>1740</v>
      </c>
      <c r="D88" t="s">
        <v>532</v>
      </c>
      <c r="E88">
        <f>HYPERLINK("https://www.britishcycling.org.uk/points?person_id=48781&amp;year=2019&amp;type=national&amp;d=6","Results")</f>
        <v/>
      </c>
    </row>
    <row r="89" spans="1:5">
      <c r="A89" t="s">
        <v>319</v>
      </c>
      <c r="B89" t="s">
        <v>1361</v>
      </c>
      <c r="C89" t="s">
        <v>1329</v>
      </c>
      <c r="D89" t="s">
        <v>532</v>
      </c>
      <c r="E89">
        <f>HYPERLINK("https://www.britishcycling.org.uk/points?person_id=177830&amp;year=2019&amp;type=national&amp;d=6","Results")</f>
        <v/>
      </c>
    </row>
    <row r="90" spans="1:5">
      <c r="A90" t="s">
        <v>322</v>
      </c>
      <c r="B90" t="s">
        <v>1741</v>
      </c>
      <c r="C90" t="s">
        <v>1696</v>
      </c>
      <c r="D90" t="s">
        <v>529</v>
      </c>
      <c r="E90">
        <f>HYPERLINK("https://www.britishcycling.org.uk/points?person_id=24300&amp;year=2019&amp;type=national&amp;d=6","Results")</f>
        <v/>
      </c>
    </row>
    <row r="91" spans="1:5">
      <c r="A91" t="s">
        <v>326</v>
      </c>
      <c r="B91" t="s">
        <v>1742</v>
      </c>
      <c r="C91" t="s">
        <v>1743</v>
      </c>
      <c r="D91" t="s">
        <v>529</v>
      </c>
      <c r="E91">
        <f>HYPERLINK("https://www.britishcycling.org.uk/points?person_id=42482&amp;year=2019&amp;type=national&amp;d=6","Results")</f>
        <v/>
      </c>
    </row>
    <row r="92" spans="1:5">
      <c r="A92" t="s">
        <v>329</v>
      </c>
      <c r="B92" t="s">
        <v>1744</v>
      </c>
      <c r="C92" t="s">
        <v>1397</v>
      </c>
      <c r="D92" t="s">
        <v>213</v>
      </c>
      <c r="E92">
        <f>HYPERLINK("https://www.britishcycling.org.uk/points?person_id=55436&amp;year=2019&amp;type=national&amp;d=6","Results")</f>
        <v/>
      </c>
    </row>
    <row r="93" spans="1:5">
      <c r="A93" t="s">
        <v>333</v>
      </c>
      <c r="B93" t="s">
        <v>1745</v>
      </c>
      <c r="C93" t="s">
        <v>1746</v>
      </c>
      <c r="D93" t="s">
        <v>523</v>
      </c>
      <c r="E93">
        <f>HYPERLINK("https://www.britishcycling.org.uk/points?person_id=219950&amp;year=2019&amp;type=national&amp;d=6","Results")</f>
        <v/>
      </c>
    </row>
    <row r="94" spans="1:5">
      <c r="A94" t="s">
        <v>337</v>
      </c>
      <c r="B94" t="s">
        <v>1747</v>
      </c>
      <c r="C94" t="s">
        <v>361</v>
      </c>
      <c r="D94" t="s">
        <v>523</v>
      </c>
      <c r="E94">
        <f>HYPERLINK("https://www.britishcycling.org.uk/points?person_id=117123&amp;year=2019&amp;type=national&amp;d=6","Results")</f>
        <v/>
      </c>
    </row>
    <row r="95" spans="1:5">
      <c r="A95" t="s">
        <v>341</v>
      </c>
      <c r="B95" t="s">
        <v>1748</v>
      </c>
      <c r="C95" t="s"/>
      <c r="D95" t="s">
        <v>217</v>
      </c>
      <c r="E95">
        <f>HYPERLINK("https://www.britishcycling.org.uk/points?person_id=289725&amp;year=2019&amp;type=national&amp;d=6","Results")</f>
        <v/>
      </c>
    </row>
    <row r="96" spans="1:5">
      <c r="A96" t="s">
        <v>344</v>
      </c>
      <c r="B96" t="s">
        <v>1357</v>
      </c>
      <c r="C96" t="s">
        <v>1358</v>
      </c>
      <c r="D96" t="s">
        <v>217</v>
      </c>
      <c r="E96">
        <f>HYPERLINK("https://www.britishcycling.org.uk/points?person_id=175116&amp;year=2019&amp;type=national&amp;d=6","Results")</f>
        <v/>
      </c>
    </row>
    <row r="97" spans="1:5">
      <c r="A97" t="s">
        <v>347</v>
      </c>
      <c r="B97" t="s">
        <v>1749</v>
      </c>
      <c r="C97" t="s">
        <v>1750</v>
      </c>
      <c r="D97" t="s">
        <v>509</v>
      </c>
      <c r="E97">
        <f>HYPERLINK("https://www.britishcycling.org.uk/points?person_id=397055&amp;year=2019&amp;type=national&amp;d=6","Results")</f>
        <v/>
      </c>
    </row>
    <row r="98" spans="1:5">
      <c r="A98" t="s">
        <v>350</v>
      </c>
      <c r="B98" t="s">
        <v>1751</v>
      </c>
      <c r="C98" t="s">
        <v>1752</v>
      </c>
      <c r="D98" t="s">
        <v>507</v>
      </c>
      <c r="E98">
        <f>HYPERLINK("https://www.britishcycling.org.uk/points?person_id=67082&amp;year=2019&amp;type=national&amp;d=6","Results")</f>
        <v/>
      </c>
    </row>
    <row r="99" spans="1:5">
      <c r="A99" t="s">
        <v>352</v>
      </c>
      <c r="B99" t="s">
        <v>1753</v>
      </c>
      <c r="C99" t="s">
        <v>216</v>
      </c>
      <c r="D99" t="s">
        <v>224</v>
      </c>
      <c r="E99">
        <f>HYPERLINK("https://www.britishcycling.org.uk/points?person_id=129343&amp;year=2019&amp;type=national&amp;d=6","Results")</f>
        <v/>
      </c>
    </row>
    <row r="100" spans="1:5">
      <c r="A100" t="s">
        <v>349</v>
      </c>
      <c r="B100" t="s">
        <v>1754</v>
      </c>
      <c r="C100" t="s">
        <v>1349</v>
      </c>
      <c r="D100" t="s">
        <v>227</v>
      </c>
      <c r="E100">
        <f>HYPERLINK("https://www.britishcycling.org.uk/points?person_id=288642&amp;year=2019&amp;type=national&amp;d=6","Results")</f>
        <v/>
      </c>
    </row>
    <row r="101" spans="1:5">
      <c r="A101" t="s">
        <v>356</v>
      </c>
      <c r="B101" t="s">
        <v>1755</v>
      </c>
      <c r="C101" t="s">
        <v>1746</v>
      </c>
      <c r="D101" t="s">
        <v>499</v>
      </c>
      <c r="E101">
        <f>HYPERLINK("https://www.britishcycling.org.uk/points?person_id=606418&amp;year=2019&amp;type=national&amp;d=6","Results")</f>
        <v/>
      </c>
    </row>
    <row r="102" spans="1:5">
      <c r="A102" t="s">
        <v>359</v>
      </c>
      <c r="B102" t="s">
        <v>1756</v>
      </c>
      <c r="C102" t="s"/>
      <c r="D102" t="s">
        <v>499</v>
      </c>
      <c r="E102">
        <f>HYPERLINK("https://www.britishcycling.org.uk/points?person_id=108853&amp;year=2019&amp;type=national&amp;d=6","Results")</f>
        <v/>
      </c>
    </row>
    <row r="103" spans="1:5">
      <c r="A103" t="s">
        <v>343</v>
      </c>
      <c r="B103" t="s">
        <v>1757</v>
      </c>
      <c r="C103" t="s">
        <v>1507</v>
      </c>
      <c r="D103" t="s">
        <v>493</v>
      </c>
      <c r="E103">
        <f>HYPERLINK("https://www.britishcycling.org.uk/points?person_id=348436&amp;year=2019&amp;type=national&amp;d=6","Results")</f>
        <v/>
      </c>
    </row>
    <row r="104" spans="1:5">
      <c r="A104" t="s">
        <v>364</v>
      </c>
      <c r="B104" t="s">
        <v>1350</v>
      </c>
      <c r="C104" t="s">
        <v>33</v>
      </c>
      <c r="D104" t="s">
        <v>231</v>
      </c>
      <c r="E104">
        <f>HYPERLINK("https://www.britishcycling.org.uk/points?person_id=520188&amp;year=2019&amp;type=national&amp;d=6","Results")</f>
        <v/>
      </c>
    </row>
    <row r="105" spans="1:5">
      <c r="A105" t="s">
        <v>340</v>
      </c>
      <c r="B105" t="s">
        <v>1758</v>
      </c>
      <c r="C105" t="s">
        <v>1736</v>
      </c>
      <c r="D105" t="s">
        <v>484</v>
      </c>
      <c r="E105">
        <f>HYPERLINK("https://www.britishcycling.org.uk/points?person_id=15203&amp;year=2019&amp;type=national&amp;d=6","Results")</f>
        <v/>
      </c>
    </row>
    <row r="106" spans="1:5">
      <c r="A106" t="s">
        <v>368</v>
      </c>
      <c r="B106" t="s">
        <v>1759</v>
      </c>
      <c r="C106" t="s">
        <v>1760</v>
      </c>
      <c r="D106" t="s">
        <v>477</v>
      </c>
      <c r="E106">
        <f>HYPERLINK("https://www.britishcycling.org.uk/points?person_id=379717&amp;year=2019&amp;type=national&amp;d=6","Results")</f>
        <v/>
      </c>
    </row>
    <row r="107" spans="1:5">
      <c r="A107" t="s">
        <v>370</v>
      </c>
      <c r="B107" t="s">
        <v>1761</v>
      </c>
      <c r="C107" t="s">
        <v>1762</v>
      </c>
      <c r="D107" t="s">
        <v>467</v>
      </c>
      <c r="E107">
        <f>HYPERLINK("https://www.britishcycling.org.uk/points?person_id=314152&amp;year=2019&amp;type=national&amp;d=6","Results")</f>
        <v/>
      </c>
    </row>
    <row r="108" spans="1:5">
      <c r="A108" t="s">
        <v>372</v>
      </c>
      <c r="B108" t="s">
        <v>1763</v>
      </c>
      <c r="C108" t="s">
        <v>511</v>
      </c>
      <c r="D108" t="s">
        <v>465</v>
      </c>
      <c r="E108">
        <f>HYPERLINK("https://www.britishcycling.org.uk/points?person_id=29240&amp;year=2019&amp;type=national&amp;d=6","Results")</f>
        <v/>
      </c>
    </row>
    <row r="109" spans="1:5">
      <c r="A109" t="s">
        <v>374</v>
      </c>
      <c r="B109" t="s">
        <v>1764</v>
      </c>
      <c r="C109" t="s">
        <v>1765</v>
      </c>
      <c r="D109" t="s">
        <v>253</v>
      </c>
      <c r="E109">
        <f>HYPERLINK("https://www.britishcycling.org.uk/points?person_id=240650&amp;year=2019&amp;type=national&amp;d=6","Results")</f>
        <v/>
      </c>
    </row>
    <row r="110" spans="1:5">
      <c r="A110" t="s">
        <v>377</v>
      </c>
      <c r="B110" t="s">
        <v>1766</v>
      </c>
      <c r="C110" t="s">
        <v>1440</v>
      </c>
      <c r="D110" t="s">
        <v>253</v>
      </c>
      <c r="E110">
        <f>HYPERLINK("https://www.britishcycling.org.uk/points?person_id=602267&amp;year=2019&amp;type=national&amp;d=6","Results")</f>
        <v/>
      </c>
    </row>
    <row r="111" spans="1:5">
      <c r="A111" t="s">
        <v>336</v>
      </c>
      <c r="B111" t="s">
        <v>1767</v>
      </c>
      <c r="C111" t="s">
        <v>1768</v>
      </c>
      <c r="D111" t="s">
        <v>458</v>
      </c>
      <c r="E111">
        <f>HYPERLINK("https://www.britishcycling.org.uk/points?person_id=61194&amp;year=2019&amp;type=national&amp;d=6","Results")</f>
        <v/>
      </c>
    </row>
    <row r="112" spans="1:5">
      <c r="A112" t="s">
        <v>332</v>
      </c>
      <c r="B112" t="s">
        <v>1769</v>
      </c>
      <c r="C112" t="s">
        <v>401</v>
      </c>
      <c r="D112" t="s">
        <v>458</v>
      </c>
      <c r="E112">
        <f>HYPERLINK("https://www.britishcycling.org.uk/points?person_id=22353&amp;year=2019&amp;type=national&amp;d=6","Results")</f>
        <v/>
      </c>
    </row>
    <row r="113" spans="1:5">
      <c r="A113" t="s">
        <v>384</v>
      </c>
      <c r="B113" t="s">
        <v>1770</v>
      </c>
      <c r="C113" t="s">
        <v>1091</v>
      </c>
      <c r="D113" t="s">
        <v>458</v>
      </c>
      <c r="E113">
        <f>HYPERLINK("https://www.britishcycling.org.uk/points?person_id=185354&amp;year=2019&amp;type=national&amp;d=6","Results")</f>
        <v/>
      </c>
    </row>
    <row r="114" spans="1:5">
      <c r="A114" t="s">
        <v>387</v>
      </c>
      <c r="B114" t="s">
        <v>1771</v>
      </c>
      <c r="C114" t="s"/>
      <c r="D114" t="s">
        <v>456</v>
      </c>
      <c r="E114">
        <f>HYPERLINK("https://www.britishcycling.org.uk/points?person_id=427709&amp;year=2019&amp;type=national&amp;d=6","Results")</f>
        <v/>
      </c>
    </row>
    <row r="115" spans="1:5">
      <c r="A115" t="s">
        <v>389</v>
      </c>
      <c r="B115" t="s">
        <v>1772</v>
      </c>
      <c r="C115" t="s">
        <v>1760</v>
      </c>
      <c r="D115" t="s">
        <v>450</v>
      </c>
      <c r="E115">
        <f>HYPERLINK("https://www.britishcycling.org.uk/points?person_id=304586&amp;year=2019&amp;type=national&amp;d=6","Results")</f>
        <v/>
      </c>
    </row>
    <row r="116" spans="1:5">
      <c r="A116" t="s">
        <v>325</v>
      </c>
      <c r="B116" t="s">
        <v>1773</v>
      </c>
      <c r="C116" t="s">
        <v>1774</v>
      </c>
      <c r="D116" t="s">
        <v>450</v>
      </c>
      <c r="E116">
        <f>HYPERLINK("https://www.britishcycling.org.uk/points?person_id=20732&amp;year=2019&amp;type=national&amp;d=6","Results")</f>
        <v/>
      </c>
    </row>
    <row r="117" spans="1:5">
      <c r="A117" t="s">
        <v>393</v>
      </c>
      <c r="B117" t="s">
        <v>1775</v>
      </c>
      <c r="C117" t="s">
        <v>401</v>
      </c>
      <c r="D117" t="s">
        <v>450</v>
      </c>
      <c r="E117">
        <f>HYPERLINK("https://www.britishcycling.org.uk/points?person_id=39724&amp;year=2019&amp;type=national&amp;d=6","Results")</f>
        <v/>
      </c>
    </row>
    <row r="118" spans="1:5">
      <c r="A118" t="s">
        <v>321</v>
      </c>
      <c r="B118" t="s">
        <v>1776</v>
      </c>
      <c r="C118" t="s">
        <v>401</v>
      </c>
      <c r="D118" t="s">
        <v>448</v>
      </c>
      <c r="E118">
        <f>HYPERLINK("https://www.britishcycling.org.uk/points?person_id=63128&amp;year=2019&amp;type=national&amp;d=6","Results")</f>
        <v/>
      </c>
    </row>
    <row r="119" spans="1:5">
      <c r="A119" t="s">
        <v>316</v>
      </c>
      <c r="B119" t="s">
        <v>1353</v>
      </c>
      <c r="C119" t="s">
        <v>1354</v>
      </c>
      <c r="D119" t="s">
        <v>448</v>
      </c>
      <c r="E119">
        <f>HYPERLINK("https://www.britishcycling.org.uk/points?person_id=327239&amp;year=2019&amp;type=national&amp;d=6","Results")</f>
        <v/>
      </c>
    </row>
    <row r="120" spans="1:5">
      <c r="A120" t="s">
        <v>399</v>
      </c>
      <c r="B120" t="s">
        <v>1339</v>
      </c>
      <c r="C120" t="s">
        <v>1340</v>
      </c>
      <c r="D120" t="s">
        <v>263</v>
      </c>
      <c r="E120">
        <f>HYPERLINK("https://www.britishcycling.org.uk/points?person_id=223307&amp;year=2019&amp;type=national&amp;d=6","Results")</f>
        <v/>
      </c>
    </row>
    <row r="121" spans="1:5">
      <c r="A121" t="s">
        <v>309</v>
      </c>
      <c r="B121" t="s">
        <v>1392</v>
      </c>
      <c r="C121" t="s">
        <v>919</v>
      </c>
      <c r="D121" t="s">
        <v>269</v>
      </c>
      <c r="E121">
        <f>HYPERLINK("https://www.britishcycling.org.uk/points?person_id=199327&amp;year=2019&amp;type=national&amp;d=6","Results")</f>
        <v/>
      </c>
    </row>
    <row r="122" spans="1:5">
      <c r="A122" t="s">
        <v>306</v>
      </c>
      <c r="B122" t="s">
        <v>1777</v>
      </c>
      <c r="C122" t="s">
        <v>1344</v>
      </c>
      <c r="D122" t="s">
        <v>439</v>
      </c>
      <c r="E122">
        <f>HYPERLINK("https://www.britishcycling.org.uk/points?person_id=289480&amp;year=2019&amp;type=national&amp;d=6","Results")</f>
        <v/>
      </c>
    </row>
    <row r="123" spans="1:5">
      <c r="A123" t="s">
        <v>405</v>
      </c>
      <c r="B123" t="s">
        <v>1778</v>
      </c>
      <c r="C123" t="s">
        <v>1779</v>
      </c>
      <c r="D123" t="s">
        <v>276</v>
      </c>
      <c r="E123">
        <f>HYPERLINK("https://www.britishcycling.org.uk/points?person_id=77603&amp;year=2019&amp;type=national&amp;d=6","Results")</f>
        <v/>
      </c>
    </row>
    <row r="124" spans="1:5">
      <c r="A124" t="s">
        <v>408</v>
      </c>
      <c r="B124" t="s">
        <v>1383</v>
      </c>
      <c r="C124" t="s">
        <v>1384</v>
      </c>
      <c r="D124" t="s">
        <v>276</v>
      </c>
      <c r="E124">
        <f>HYPERLINK("https://www.britishcycling.org.uk/points?person_id=195859&amp;year=2019&amp;type=national&amp;d=6","Results")</f>
        <v/>
      </c>
    </row>
    <row r="125" spans="1:5">
      <c r="A125" t="s">
        <v>410</v>
      </c>
      <c r="B125" t="s">
        <v>1780</v>
      </c>
      <c r="C125" t="s">
        <v>1452</v>
      </c>
      <c r="D125" t="s">
        <v>436</v>
      </c>
      <c r="E125">
        <f>HYPERLINK("https://www.britishcycling.org.uk/points?person_id=56563&amp;year=2019&amp;type=national&amp;d=6","Results")</f>
        <v/>
      </c>
    </row>
    <row r="126" spans="1:5">
      <c r="A126" t="s">
        <v>303</v>
      </c>
      <c r="B126" t="s">
        <v>1781</v>
      </c>
      <c r="C126" t="s">
        <v>1782</v>
      </c>
      <c r="D126" t="s">
        <v>432</v>
      </c>
      <c r="E126">
        <f>HYPERLINK("https://www.britishcycling.org.uk/points?person_id=238402&amp;year=2019&amp;type=national&amp;d=6","Results")</f>
        <v/>
      </c>
    </row>
    <row r="127" spans="1:5">
      <c r="A127" t="s">
        <v>414</v>
      </c>
      <c r="B127" t="s">
        <v>1783</v>
      </c>
      <c r="C127" t="s">
        <v>1784</v>
      </c>
      <c r="D127" t="s">
        <v>430</v>
      </c>
      <c r="E127">
        <f>HYPERLINK("https://www.britishcycling.org.uk/points?person_id=102086&amp;year=2019&amp;type=national&amp;d=6","Results")</f>
        <v/>
      </c>
    </row>
    <row r="128" spans="1:5">
      <c r="A128" t="s">
        <v>416</v>
      </c>
      <c r="B128" t="s">
        <v>1375</v>
      </c>
      <c r="C128" t="s">
        <v>1346</v>
      </c>
      <c r="D128" t="s">
        <v>430</v>
      </c>
      <c r="E128">
        <f>HYPERLINK("https://www.britishcycling.org.uk/points?person_id=205090&amp;year=2019&amp;type=national&amp;d=6","Results")</f>
        <v/>
      </c>
    </row>
    <row r="129" spans="1:5">
      <c r="A129" t="s">
        <v>418</v>
      </c>
      <c r="B129" t="s">
        <v>1785</v>
      </c>
      <c r="C129" t="s">
        <v>511</v>
      </c>
      <c r="D129" t="s">
        <v>425</v>
      </c>
      <c r="E129">
        <f>HYPERLINK("https://www.britishcycling.org.uk/points?person_id=17395&amp;year=2019&amp;type=national&amp;d=6","Results")</f>
        <v/>
      </c>
    </row>
    <row r="130" spans="1:5">
      <c r="A130" t="s">
        <v>300</v>
      </c>
      <c r="B130" t="s">
        <v>1786</v>
      </c>
      <c r="C130" t="s">
        <v>1787</v>
      </c>
      <c r="D130" t="s">
        <v>425</v>
      </c>
      <c r="E130">
        <f>HYPERLINK("https://www.britishcycling.org.uk/points?person_id=10335&amp;year=2019&amp;type=national&amp;d=6","Results")</f>
        <v/>
      </c>
    </row>
    <row r="131" spans="1:5">
      <c r="A131" t="s">
        <v>296</v>
      </c>
      <c r="B131" t="s">
        <v>1788</v>
      </c>
      <c r="C131" t="s">
        <v>1789</v>
      </c>
      <c r="D131" t="s">
        <v>288</v>
      </c>
      <c r="E131">
        <f>HYPERLINK("https://www.britishcycling.org.uk/points?person_id=10608&amp;year=2019&amp;type=national&amp;d=6","Results")</f>
        <v/>
      </c>
    </row>
    <row r="132" spans="1:5">
      <c r="A132" t="s">
        <v>292</v>
      </c>
      <c r="B132" t="s">
        <v>1790</v>
      </c>
      <c r="C132" t="s">
        <v>135</v>
      </c>
      <c r="D132" t="s">
        <v>288</v>
      </c>
      <c r="E132">
        <f>HYPERLINK("https://www.britishcycling.org.uk/points?person_id=106107&amp;year=2019&amp;type=national&amp;d=6","Results")</f>
        <v/>
      </c>
    </row>
    <row r="133" spans="1:5">
      <c r="A133" t="s">
        <v>288</v>
      </c>
      <c r="B133" t="s">
        <v>1791</v>
      </c>
      <c r="C133" t="s">
        <v>1332</v>
      </c>
      <c r="D133" t="s">
        <v>292</v>
      </c>
      <c r="E133">
        <f>HYPERLINK("https://www.britishcycling.org.uk/points?person_id=326265&amp;year=2019&amp;type=national&amp;d=6","Results")</f>
        <v/>
      </c>
    </row>
    <row r="134" spans="1:5">
      <c r="A134" t="s">
        <v>425</v>
      </c>
      <c r="B134" t="s">
        <v>1792</v>
      </c>
      <c r="C134" t="s">
        <v>1793</v>
      </c>
      <c r="D134" t="s">
        <v>292</v>
      </c>
      <c r="E134">
        <f>HYPERLINK("https://www.britishcycling.org.uk/points?person_id=136881&amp;year=2019&amp;type=national&amp;d=6","Results")</f>
        <v/>
      </c>
    </row>
    <row r="135" spans="1:5">
      <c r="A135" t="s">
        <v>284</v>
      </c>
      <c r="B135" t="s">
        <v>1794</v>
      </c>
      <c r="C135" t="s">
        <v>1795</v>
      </c>
      <c r="D135" t="s">
        <v>292</v>
      </c>
      <c r="E135">
        <f>HYPERLINK("https://www.britishcycling.org.uk/points?person_id=26013&amp;year=2019&amp;type=national&amp;d=6","Results")</f>
        <v/>
      </c>
    </row>
    <row r="136" spans="1:5">
      <c r="A136" t="s">
        <v>430</v>
      </c>
      <c r="B136" t="s">
        <v>1796</v>
      </c>
      <c r="C136" t="s"/>
      <c r="D136" t="s">
        <v>296</v>
      </c>
      <c r="E136">
        <f>HYPERLINK("https://www.britishcycling.org.uk/points?person_id=44566&amp;year=2019&amp;type=national&amp;d=6","Results")</f>
        <v/>
      </c>
    </row>
    <row r="137" spans="1:5">
      <c r="A137" t="s">
        <v>432</v>
      </c>
      <c r="B137" t="s">
        <v>1797</v>
      </c>
      <c r="C137" t="s">
        <v>1798</v>
      </c>
      <c r="D137" t="s">
        <v>296</v>
      </c>
      <c r="E137">
        <f>HYPERLINK("https://www.britishcycling.org.uk/points?person_id=28429&amp;year=2019&amp;type=national&amp;d=6","Results")</f>
        <v/>
      </c>
    </row>
    <row r="138" spans="1:5">
      <c r="A138" t="s">
        <v>280</v>
      </c>
      <c r="B138" t="s">
        <v>1799</v>
      </c>
      <c r="C138" t="s">
        <v>1800</v>
      </c>
      <c r="D138" t="s">
        <v>300</v>
      </c>
      <c r="E138">
        <f>HYPERLINK("https://www.britishcycling.org.uk/points?person_id=402823&amp;year=2019&amp;type=national&amp;d=6","Results")</f>
        <v/>
      </c>
    </row>
    <row r="139" spans="1:5">
      <c r="A139" t="s">
        <v>436</v>
      </c>
      <c r="B139" t="s">
        <v>1801</v>
      </c>
      <c r="C139" t="s">
        <v>230</v>
      </c>
      <c r="D139" t="s">
        <v>300</v>
      </c>
      <c r="E139">
        <f>HYPERLINK("https://www.britishcycling.org.uk/points?person_id=13333&amp;year=2019&amp;type=national&amp;d=6","Results")</f>
        <v/>
      </c>
    </row>
    <row r="140" spans="1:5">
      <c r="A140" t="s">
        <v>276</v>
      </c>
      <c r="B140" t="s">
        <v>1802</v>
      </c>
      <c r="C140" t="s">
        <v>1397</v>
      </c>
      <c r="D140" t="s">
        <v>416</v>
      </c>
      <c r="E140">
        <f>HYPERLINK("https://www.britishcycling.org.uk/points?person_id=14968&amp;year=2019&amp;type=national&amp;d=6","Results")</f>
        <v/>
      </c>
    </row>
    <row r="141" spans="1:5">
      <c r="A141" t="s">
        <v>439</v>
      </c>
      <c r="B141" t="s">
        <v>1634</v>
      </c>
      <c r="C141" t="s">
        <v>1803</v>
      </c>
      <c r="D141" t="s">
        <v>414</v>
      </c>
      <c r="E141">
        <f>HYPERLINK("https://www.britishcycling.org.uk/points?person_id=131876&amp;year=2019&amp;type=national&amp;d=6","Results")</f>
        <v/>
      </c>
    </row>
    <row r="142" spans="1:5">
      <c r="A142" t="s">
        <v>273</v>
      </c>
      <c r="B142" t="s">
        <v>1804</v>
      </c>
      <c r="C142" t="s">
        <v>1654</v>
      </c>
      <c r="D142" t="s">
        <v>414</v>
      </c>
      <c r="E142">
        <f>HYPERLINK("https://www.britishcycling.org.uk/points?person_id=33102&amp;year=2019&amp;type=national&amp;d=6","Results")</f>
        <v/>
      </c>
    </row>
    <row r="143" spans="1:5">
      <c r="A143" t="s">
        <v>269</v>
      </c>
      <c r="B143" t="s">
        <v>1805</v>
      </c>
      <c r="C143" t="s">
        <v>1603</v>
      </c>
      <c r="D143" t="s">
        <v>410</v>
      </c>
      <c r="E143">
        <f>HYPERLINK("https://www.britishcycling.org.uk/points?person_id=27371&amp;year=2019&amp;type=national&amp;d=6","Results")</f>
        <v/>
      </c>
    </row>
    <row r="144" spans="1:5">
      <c r="A144" t="s">
        <v>266</v>
      </c>
      <c r="B144" t="s">
        <v>1806</v>
      </c>
      <c r="C144" t="s">
        <v>1807</v>
      </c>
      <c r="D144" t="s">
        <v>405</v>
      </c>
      <c r="E144">
        <f>HYPERLINK("https://www.britishcycling.org.uk/points?person_id=184947&amp;year=2019&amp;type=national&amp;d=6","Results")</f>
        <v/>
      </c>
    </row>
    <row r="145" spans="1:5">
      <c r="A145" t="s">
        <v>263</v>
      </c>
      <c r="B145" t="s">
        <v>1808</v>
      </c>
      <c r="C145" t="s">
        <v>514</v>
      </c>
      <c r="D145" t="s">
        <v>405</v>
      </c>
      <c r="E145">
        <f>HYPERLINK("https://www.britishcycling.org.uk/points?person_id=51728&amp;year=2019&amp;type=national&amp;d=6","Results")</f>
        <v/>
      </c>
    </row>
    <row r="146" spans="1:5">
      <c r="A146" t="s">
        <v>448</v>
      </c>
      <c r="B146" t="s">
        <v>1809</v>
      </c>
      <c r="C146" t="s">
        <v>1810</v>
      </c>
      <c r="D146" t="s">
        <v>309</v>
      </c>
      <c r="E146">
        <f>HYPERLINK("https://www.britishcycling.org.uk/points?person_id=334920&amp;year=2019&amp;type=national&amp;d=6","Results")</f>
        <v/>
      </c>
    </row>
    <row r="147" spans="1:5">
      <c r="A147" t="s">
        <v>450</v>
      </c>
      <c r="B147" t="s">
        <v>1381</v>
      </c>
      <c r="C147" t="s">
        <v>1382</v>
      </c>
      <c r="D147" t="s">
        <v>399</v>
      </c>
      <c r="E147">
        <f>HYPERLINK("https://www.britishcycling.org.uk/points?person_id=368133&amp;year=2019&amp;type=national&amp;d=6","Results")</f>
        <v/>
      </c>
    </row>
    <row r="148" spans="1:5">
      <c r="A148" t="s">
        <v>452</v>
      </c>
      <c r="B148" t="s">
        <v>1811</v>
      </c>
      <c r="C148" t="s">
        <v>584</v>
      </c>
      <c r="D148" t="s">
        <v>393</v>
      </c>
      <c r="E148">
        <f>HYPERLINK("https://www.britishcycling.org.uk/points?person_id=29364&amp;year=2019&amp;type=national&amp;d=6","Results")</f>
        <v/>
      </c>
    </row>
    <row r="149" spans="1:5">
      <c r="A149" t="s">
        <v>454</v>
      </c>
      <c r="B149" t="s">
        <v>1812</v>
      </c>
      <c r="C149" t="s">
        <v>212</v>
      </c>
      <c r="D149" t="s">
        <v>393</v>
      </c>
      <c r="E149">
        <f>HYPERLINK("https://www.britishcycling.org.uk/points?person_id=139619&amp;year=2019&amp;type=national&amp;d=6","Results")</f>
        <v/>
      </c>
    </row>
    <row r="150" spans="1:5">
      <c r="A150" t="s">
        <v>456</v>
      </c>
      <c r="B150" t="s">
        <v>1813</v>
      </c>
      <c r="C150" t="s">
        <v>1814</v>
      </c>
      <c r="D150" t="s">
        <v>387</v>
      </c>
      <c r="E150">
        <f>HYPERLINK("https://www.britishcycling.org.uk/points?person_id=25660&amp;year=2019&amp;type=national&amp;d=6","Results")</f>
        <v/>
      </c>
    </row>
    <row r="151" spans="1:5">
      <c r="A151" t="s">
        <v>458</v>
      </c>
      <c r="B151" t="s">
        <v>1815</v>
      </c>
      <c r="C151" t="s">
        <v>1779</v>
      </c>
      <c r="D151" t="s">
        <v>387</v>
      </c>
      <c r="E151">
        <f>HYPERLINK("https://www.britishcycling.org.uk/points?person_id=921829&amp;year=2019&amp;type=national&amp;d=6","Results")</f>
        <v/>
      </c>
    </row>
    <row r="152" spans="1:5">
      <c r="A152" t="s">
        <v>256</v>
      </c>
      <c r="B152" t="s">
        <v>1816</v>
      </c>
      <c r="C152" t="s">
        <v>1760</v>
      </c>
      <c r="D152" t="s">
        <v>384</v>
      </c>
      <c r="E152">
        <f>HYPERLINK("https://www.britishcycling.org.uk/points?person_id=731664&amp;year=2019&amp;type=national&amp;d=6","Results")</f>
        <v/>
      </c>
    </row>
    <row r="153" spans="1:5">
      <c r="A153" t="s">
        <v>253</v>
      </c>
      <c r="B153" t="s">
        <v>1817</v>
      </c>
      <c r="C153" t="s">
        <v>1711</v>
      </c>
      <c r="D153" t="s">
        <v>332</v>
      </c>
      <c r="E153">
        <f>HYPERLINK("https://www.britishcycling.org.uk/points?person_id=512146&amp;year=2019&amp;type=national&amp;d=6","Results")</f>
        <v/>
      </c>
    </row>
    <row r="154" spans="1:5">
      <c r="A154" t="s">
        <v>463</v>
      </c>
      <c r="B154" t="s">
        <v>1818</v>
      </c>
      <c r="C154" t="s">
        <v>1819</v>
      </c>
      <c r="D154" t="s">
        <v>336</v>
      </c>
      <c r="E154">
        <f>HYPERLINK("https://www.britishcycling.org.uk/points?person_id=13974&amp;year=2019&amp;type=national&amp;d=6","Results")</f>
        <v/>
      </c>
    </row>
    <row r="155" spans="1:5">
      <c r="A155" t="s">
        <v>465</v>
      </c>
      <c r="B155" t="s">
        <v>1820</v>
      </c>
      <c r="C155" t="s">
        <v>827</v>
      </c>
      <c r="D155" t="s">
        <v>336</v>
      </c>
      <c r="E155">
        <f>HYPERLINK("https://www.britishcycling.org.uk/points?person_id=77668&amp;year=2019&amp;type=national&amp;d=6","Results")</f>
        <v/>
      </c>
    </row>
    <row r="156" spans="1:5">
      <c r="A156" t="s">
        <v>467</v>
      </c>
      <c r="B156" t="s">
        <v>1821</v>
      </c>
      <c r="C156" t="s">
        <v>223</v>
      </c>
      <c r="D156" t="s">
        <v>336</v>
      </c>
      <c r="E156">
        <f>HYPERLINK("https://www.britishcycling.org.uk/points?person_id=243871&amp;year=2019&amp;type=national&amp;d=6","Results")</f>
        <v/>
      </c>
    </row>
    <row r="157" spans="1:5">
      <c r="A157" t="s">
        <v>470</v>
      </c>
      <c r="B157" t="s">
        <v>1822</v>
      </c>
      <c r="C157" t="s">
        <v>1823</v>
      </c>
      <c r="D157" t="s">
        <v>374</v>
      </c>
      <c r="E157">
        <f>HYPERLINK("https://www.britishcycling.org.uk/points?person_id=289358&amp;year=2019&amp;type=national&amp;d=6","Results")</f>
        <v/>
      </c>
    </row>
    <row r="158" spans="1:5">
      <c r="A158" t="s">
        <v>473</v>
      </c>
      <c r="B158" t="s">
        <v>1824</v>
      </c>
      <c r="C158" t="s">
        <v>1825</v>
      </c>
      <c r="D158" t="s">
        <v>374</v>
      </c>
      <c r="E158">
        <f>HYPERLINK("https://www.britishcycling.org.uk/points?person_id=492094&amp;year=2019&amp;type=national&amp;d=6","Results")</f>
        <v/>
      </c>
    </row>
    <row r="159" spans="1:5">
      <c r="A159" t="s">
        <v>246</v>
      </c>
      <c r="B159" t="s">
        <v>1826</v>
      </c>
      <c r="C159" t="s">
        <v>1721</v>
      </c>
      <c r="D159" t="s">
        <v>374</v>
      </c>
      <c r="E159">
        <f>HYPERLINK("https://www.britishcycling.org.uk/points?person_id=346410&amp;year=2019&amp;type=national&amp;d=6","Results")</f>
        <v/>
      </c>
    </row>
    <row r="160" spans="1:5">
      <c r="A160" t="s">
        <v>477</v>
      </c>
      <c r="B160" t="s">
        <v>1827</v>
      </c>
      <c r="C160" t="s"/>
      <c r="D160" t="s">
        <v>374</v>
      </c>
      <c r="E160">
        <f>HYPERLINK("https://www.britishcycling.org.uk/points?person_id=51266&amp;year=2019&amp;type=national&amp;d=6","Results")</f>
        <v/>
      </c>
    </row>
    <row r="161" spans="1:5">
      <c r="A161" t="s">
        <v>480</v>
      </c>
      <c r="B161" t="s">
        <v>1124</v>
      </c>
      <c r="C161" t="s">
        <v>1002</v>
      </c>
      <c r="D161" t="s">
        <v>372</v>
      </c>
      <c r="E161">
        <f>HYPERLINK("https://www.britishcycling.org.uk/points?person_id=301951&amp;year=2019&amp;type=national&amp;d=6","Results")</f>
        <v/>
      </c>
    </row>
    <row r="162" spans="1:5">
      <c r="A162" t="s">
        <v>482</v>
      </c>
      <c r="B162" t="s">
        <v>1828</v>
      </c>
      <c r="C162" t="s">
        <v>1829</v>
      </c>
      <c r="D162" t="s">
        <v>372</v>
      </c>
      <c r="E162">
        <f>HYPERLINK("https://www.britishcycling.org.uk/points?person_id=246535&amp;year=2019&amp;type=national&amp;d=6","Results")</f>
        <v/>
      </c>
    </row>
    <row r="163" spans="1:5">
      <c r="A163" t="s">
        <v>484</v>
      </c>
      <c r="B163" t="s">
        <v>1830</v>
      </c>
      <c r="C163" t="s">
        <v>1701</v>
      </c>
      <c r="D163" t="s">
        <v>370</v>
      </c>
      <c r="E163">
        <f>HYPERLINK("https://www.britishcycling.org.uk/points?person_id=77719&amp;year=2019&amp;type=national&amp;d=6","Results")</f>
        <v/>
      </c>
    </row>
    <row r="164" spans="1:5">
      <c r="A164" t="s">
        <v>243</v>
      </c>
      <c r="B164" t="s">
        <v>1831</v>
      </c>
      <c r="C164" t="s">
        <v>1832</v>
      </c>
      <c r="D164" t="s">
        <v>370</v>
      </c>
      <c r="E164">
        <f>HYPERLINK("https://www.britishcycling.org.uk/points?person_id=261668&amp;year=2019&amp;type=national&amp;d=6","Results")</f>
        <v/>
      </c>
    </row>
    <row r="165" spans="1:5">
      <c r="A165" t="s">
        <v>235</v>
      </c>
      <c r="B165" t="s">
        <v>1833</v>
      </c>
      <c r="C165" t="s">
        <v>1760</v>
      </c>
      <c r="D165" t="s">
        <v>368</v>
      </c>
      <c r="E165">
        <f>HYPERLINK("https://www.britishcycling.org.uk/points?person_id=183994&amp;year=2019&amp;type=national&amp;d=6","Results")</f>
        <v/>
      </c>
    </row>
    <row r="166" spans="1:5">
      <c r="A166" t="s">
        <v>488</v>
      </c>
      <c r="B166" t="s">
        <v>1834</v>
      </c>
      <c r="C166" t="s">
        <v>1835</v>
      </c>
      <c r="D166" t="s">
        <v>368</v>
      </c>
      <c r="E166">
        <f>HYPERLINK("https://www.britishcycling.org.uk/points?person_id=401267&amp;year=2019&amp;type=national&amp;d=6","Results")</f>
        <v/>
      </c>
    </row>
    <row r="167" spans="1:5">
      <c r="A167" t="s">
        <v>490</v>
      </c>
      <c r="B167" t="s">
        <v>1836</v>
      </c>
      <c r="C167" t="s">
        <v>1837</v>
      </c>
      <c r="D167" t="s">
        <v>364</v>
      </c>
      <c r="E167">
        <f>HYPERLINK("https://www.britishcycling.org.uk/points?person_id=137425&amp;year=2019&amp;type=national&amp;d=6","Results")</f>
        <v/>
      </c>
    </row>
    <row r="168" spans="1:5">
      <c r="A168" t="s">
        <v>231</v>
      </c>
      <c r="B168" t="s">
        <v>1838</v>
      </c>
      <c r="C168" t="s">
        <v>1839</v>
      </c>
      <c r="D168" t="s">
        <v>364</v>
      </c>
      <c r="E168">
        <f>HYPERLINK("https://www.britishcycling.org.uk/points?person_id=62462&amp;year=2019&amp;type=national&amp;d=6","Results")</f>
        <v/>
      </c>
    </row>
    <row r="169" spans="1:5">
      <c r="A169" t="s">
        <v>493</v>
      </c>
      <c r="B169" t="s">
        <v>1840</v>
      </c>
      <c r="C169" t="s">
        <v>1841</v>
      </c>
      <c r="D169" t="s">
        <v>364</v>
      </c>
      <c r="E169">
        <f>HYPERLINK("https://www.britishcycling.org.uk/points?person_id=395858&amp;year=2019&amp;type=national&amp;d=6","Results")</f>
        <v/>
      </c>
    </row>
    <row r="170" spans="1:5">
      <c r="A170" t="s">
        <v>496</v>
      </c>
      <c r="B170" t="s">
        <v>1842</v>
      </c>
      <c r="C170" t="s">
        <v>615</v>
      </c>
      <c r="D170" t="s">
        <v>364</v>
      </c>
      <c r="E170">
        <f>HYPERLINK("https://www.britishcycling.org.uk/points?person_id=188680&amp;year=2019&amp;type=national&amp;d=6","Results")</f>
        <v/>
      </c>
    </row>
    <row r="171" spans="1:5">
      <c r="A171" t="s">
        <v>499</v>
      </c>
      <c r="B171" t="s">
        <v>1843</v>
      </c>
      <c r="C171" t="s">
        <v>299</v>
      </c>
      <c r="D171" t="s">
        <v>352</v>
      </c>
      <c r="E171">
        <f>HYPERLINK("https://www.britishcycling.org.uk/points?person_id=224695&amp;year=2019&amp;type=national&amp;d=6","Results")</f>
        <v/>
      </c>
    </row>
    <row r="172" spans="1:5">
      <c r="A172" t="s">
        <v>501</v>
      </c>
      <c r="B172" t="s">
        <v>1844</v>
      </c>
      <c r="C172" t="s"/>
      <c r="D172" t="s">
        <v>352</v>
      </c>
      <c r="E172">
        <f>HYPERLINK("https://www.britishcycling.org.uk/points?person_id=78309&amp;year=2019&amp;type=national&amp;d=6","Results")</f>
        <v/>
      </c>
    </row>
    <row r="173" spans="1:5">
      <c r="A173" t="s">
        <v>227</v>
      </c>
      <c r="B173" t="s">
        <v>1845</v>
      </c>
      <c r="C173" t="s">
        <v>1746</v>
      </c>
      <c r="D173" t="s">
        <v>352</v>
      </c>
      <c r="E173">
        <f>HYPERLINK("https://www.britishcycling.org.uk/points?person_id=540329&amp;year=2019&amp;type=national&amp;d=6","Results")</f>
        <v/>
      </c>
    </row>
    <row r="174" spans="1:5">
      <c r="A174" t="s">
        <v>224</v>
      </c>
      <c r="B174" t="s">
        <v>1846</v>
      </c>
      <c r="C174" t="s">
        <v>1340</v>
      </c>
      <c r="D174" t="s">
        <v>352</v>
      </c>
      <c r="E174">
        <f>HYPERLINK("https://www.britishcycling.org.uk/points?person_id=61154&amp;year=2019&amp;type=national&amp;d=6","Results")</f>
        <v/>
      </c>
    </row>
    <row r="175" spans="1:5">
      <c r="A175" t="s">
        <v>507</v>
      </c>
      <c r="B175" t="s">
        <v>1847</v>
      </c>
      <c r="C175" t="s"/>
      <c r="D175" t="s">
        <v>347</v>
      </c>
      <c r="E175">
        <f>HYPERLINK("https://www.britishcycling.org.uk/points?person_id=13258&amp;year=2019&amp;type=national&amp;d=6","Results")</f>
        <v/>
      </c>
    </row>
    <row r="176" spans="1:5">
      <c r="A176" t="s">
        <v>509</v>
      </c>
      <c r="B176" t="s">
        <v>1848</v>
      </c>
      <c r="C176" t="s">
        <v>1849</v>
      </c>
      <c r="D176" t="s">
        <v>347</v>
      </c>
      <c r="E176">
        <f>HYPERLINK("https://www.britishcycling.org.uk/points?person_id=376315&amp;year=2019&amp;type=national&amp;d=6","Results")</f>
        <v/>
      </c>
    </row>
    <row r="177" spans="1:5">
      <c r="A177" t="s">
        <v>512</v>
      </c>
      <c r="B177" t="s">
        <v>1850</v>
      </c>
      <c r="C177" t="s">
        <v>973</v>
      </c>
      <c r="D177" t="s">
        <v>344</v>
      </c>
      <c r="E177">
        <f>HYPERLINK("https://www.britishcycling.org.uk/points?person_id=101998&amp;year=2019&amp;type=national&amp;d=6","Results")</f>
        <v/>
      </c>
    </row>
    <row r="178" spans="1:5">
      <c r="A178" t="s">
        <v>515</v>
      </c>
      <c r="B178" t="s">
        <v>1851</v>
      </c>
      <c r="C178" t="s">
        <v>1526</v>
      </c>
      <c r="D178" t="s">
        <v>344</v>
      </c>
      <c r="E178">
        <f>HYPERLINK("https://www.britishcycling.org.uk/points?person_id=181481&amp;year=2019&amp;type=national&amp;d=6","Results")</f>
        <v/>
      </c>
    </row>
    <row r="179" spans="1:5">
      <c r="A179" t="s">
        <v>220</v>
      </c>
      <c r="B179" t="s">
        <v>1376</v>
      </c>
      <c r="C179" t="s">
        <v>663</v>
      </c>
      <c r="D179" t="s">
        <v>344</v>
      </c>
      <c r="E179">
        <f>HYPERLINK("https://www.britishcycling.org.uk/points?person_id=465777&amp;year=2019&amp;type=national&amp;d=6","Results")</f>
        <v/>
      </c>
    </row>
    <row r="180" spans="1:5">
      <c r="A180" t="s">
        <v>217</v>
      </c>
      <c r="B180" t="s">
        <v>1852</v>
      </c>
      <c r="C180" t="s">
        <v>1853</v>
      </c>
      <c r="D180" t="s">
        <v>341</v>
      </c>
      <c r="E180">
        <f>HYPERLINK("https://www.britishcycling.org.uk/points?person_id=132803&amp;year=2019&amp;type=national&amp;d=6","Results")</f>
        <v/>
      </c>
    </row>
    <row r="181" spans="1:5">
      <c r="A181" t="s">
        <v>519</v>
      </c>
      <c r="B181" t="s">
        <v>1854</v>
      </c>
      <c r="C181" t="s">
        <v>1803</v>
      </c>
      <c r="D181" t="s">
        <v>337</v>
      </c>
      <c r="E181">
        <f>HYPERLINK("https://www.britishcycling.org.uk/points?person_id=39686&amp;year=2019&amp;type=national&amp;d=6","Results")</f>
        <v/>
      </c>
    </row>
    <row r="182" spans="1:5">
      <c r="A182" t="s">
        <v>521</v>
      </c>
      <c r="B182" t="s">
        <v>1855</v>
      </c>
      <c r="C182" t="s">
        <v>1856</v>
      </c>
      <c r="D182" t="s">
        <v>337</v>
      </c>
      <c r="E182">
        <f>HYPERLINK("https://www.britishcycling.org.uk/points?person_id=174746&amp;year=2019&amp;type=national&amp;d=6","Results")</f>
        <v/>
      </c>
    </row>
    <row r="183" spans="1:5">
      <c r="A183" t="s">
        <v>523</v>
      </c>
      <c r="B183" t="s">
        <v>1857</v>
      </c>
      <c r="C183" t="s">
        <v>1858</v>
      </c>
      <c r="D183" t="s">
        <v>333</v>
      </c>
      <c r="E183">
        <f>HYPERLINK("https://www.britishcycling.org.uk/points?person_id=61525&amp;year=2019&amp;type=national&amp;d=6","Results")</f>
        <v/>
      </c>
    </row>
    <row r="184" spans="1:5">
      <c r="A184" t="s">
        <v>213</v>
      </c>
      <c r="B184" t="s">
        <v>1859</v>
      </c>
      <c r="C184" t="s">
        <v>139</v>
      </c>
      <c r="D184" t="s">
        <v>329</v>
      </c>
      <c r="E184">
        <f>HYPERLINK("https://www.britishcycling.org.uk/points?person_id=246437&amp;year=2019&amp;type=national&amp;d=6","Results")</f>
        <v/>
      </c>
    </row>
    <row r="185" spans="1:5">
      <c r="A185" t="s">
        <v>209</v>
      </c>
      <c r="B185" t="s">
        <v>1860</v>
      </c>
      <c r="C185" t="s">
        <v>1861</v>
      </c>
      <c r="D185" t="s">
        <v>329</v>
      </c>
      <c r="E185">
        <f>HYPERLINK("https://www.britishcycling.org.uk/points?person_id=183130&amp;year=2019&amp;type=national&amp;d=6","Results")</f>
        <v/>
      </c>
    </row>
    <row r="186" spans="1:5">
      <c r="A186" t="s">
        <v>527</v>
      </c>
      <c r="B186" t="s">
        <v>1862</v>
      </c>
      <c r="C186" t="s">
        <v>1863</v>
      </c>
      <c r="D186" t="s">
        <v>329</v>
      </c>
      <c r="E186">
        <f>HYPERLINK("https://www.britishcycling.org.uk/points?person_id=3279&amp;year=2019&amp;type=national&amp;d=6","Results")</f>
        <v/>
      </c>
    </row>
    <row r="187" spans="1:5">
      <c r="A187" t="s">
        <v>529</v>
      </c>
      <c r="B187" t="s">
        <v>1864</v>
      </c>
      <c r="C187" t="s">
        <v>1865</v>
      </c>
      <c r="D187" t="s">
        <v>322</v>
      </c>
      <c r="E187">
        <f>HYPERLINK("https://www.britishcycling.org.uk/points?person_id=380273&amp;year=2019&amp;type=national&amp;d=6","Results")</f>
        <v/>
      </c>
    </row>
    <row r="188" spans="1:5">
      <c r="A188" t="s">
        <v>532</v>
      </c>
      <c r="B188" t="s">
        <v>1866</v>
      </c>
      <c r="C188" t="s">
        <v>1867</v>
      </c>
      <c r="D188" t="s">
        <v>317</v>
      </c>
      <c r="E188">
        <f>HYPERLINK("https://www.britishcycling.org.uk/points?person_id=222719&amp;year=2019&amp;type=national&amp;d=6","Results")</f>
        <v/>
      </c>
    </row>
    <row r="189" spans="1:5">
      <c r="A189" t="s">
        <v>534</v>
      </c>
      <c r="B189" t="s">
        <v>1868</v>
      </c>
      <c r="C189" t="s">
        <v>1869</v>
      </c>
      <c r="D189" t="s">
        <v>317</v>
      </c>
      <c r="E189">
        <f>HYPERLINK("https://www.britishcycling.org.uk/points?person_id=130574&amp;year=2019&amp;type=national&amp;d=6","Results")</f>
        <v/>
      </c>
    </row>
    <row r="190" spans="1:5">
      <c r="A190" t="s">
        <v>536</v>
      </c>
      <c r="B190" t="s">
        <v>1870</v>
      </c>
      <c r="C190" t="s"/>
      <c r="D190" t="s">
        <v>313</v>
      </c>
      <c r="E190">
        <f>HYPERLINK("https://www.britishcycling.org.uk/points?person_id=756777&amp;year=2019&amp;type=national&amp;d=6","Results")</f>
        <v/>
      </c>
    </row>
    <row r="191" spans="1:5">
      <c r="A191" t="s">
        <v>206</v>
      </c>
      <c r="B191" t="s">
        <v>1871</v>
      </c>
      <c r="C191" t="s">
        <v>1872</v>
      </c>
      <c r="D191" t="s">
        <v>313</v>
      </c>
      <c r="E191">
        <f>HYPERLINK("https://www.britishcycling.org.uk/points?person_id=197391&amp;year=2019&amp;type=national&amp;d=6","Results")</f>
        <v/>
      </c>
    </row>
    <row r="192" spans="1:5">
      <c r="A192" t="s">
        <v>539</v>
      </c>
      <c r="B192" t="s">
        <v>1873</v>
      </c>
      <c r="C192" t="s">
        <v>1874</v>
      </c>
      <c r="D192" t="s">
        <v>313</v>
      </c>
      <c r="E192">
        <f>HYPERLINK("https://www.britishcycling.org.uk/points?person_id=264703&amp;year=2019&amp;type=national&amp;d=6","Results")</f>
        <v/>
      </c>
    </row>
    <row r="193" spans="1:5">
      <c r="A193" t="s">
        <v>542</v>
      </c>
      <c r="B193" t="s">
        <v>1875</v>
      </c>
      <c r="C193" t="s">
        <v>1699</v>
      </c>
      <c r="D193" t="s">
        <v>313</v>
      </c>
      <c r="E193">
        <f>HYPERLINK("https://www.britishcycling.org.uk/points?person_id=174693&amp;year=2019&amp;type=national&amp;d=6","Results")</f>
        <v/>
      </c>
    </row>
    <row r="194" spans="1:5">
      <c r="A194" t="s">
        <v>544</v>
      </c>
      <c r="B194" t="s">
        <v>1876</v>
      </c>
      <c r="C194" t="s">
        <v>1709</v>
      </c>
      <c r="D194" t="s">
        <v>310</v>
      </c>
      <c r="E194">
        <f>HYPERLINK("https://www.britishcycling.org.uk/points?person_id=100523&amp;year=2019&amp;type=national&amp;d=6","Results")</f>
        <v/>
      </c>
    </row>
    <row r="195" spans="1:5">
      <c r="A195" t="s">
        <v>546</v>
      </c>
      <c r="B195" t="s">
        <v>1877</v>
      </c>
      <c r="C195" t="s"/>
      <c r="D195" t="s">
        <v>310</v>
      </c>
      <c r="E195">
        <f>HYPERLINK("https://www.britishcycling.org.uk/points?person_id=295905&amp;year=2019&amp;type=national&amp;d=6","Results")</f>
        <v/>
      </c>
    </row>
    <row r="196" spans="1:5">
      <c r="A196" t="s">
        <v>549</v>
      </c>
      <c r="B196" t="s">
        <v>1878</v>
      </c>
      <c r="C196" t="s">
        <v>615</v>
      </c>
      <c r="D196" t="s">
        <v>310</v>
      </c>
      <c r="E196">
        <f>HYPERLINK("https://www.britishcycling.org.uk/points?person_id=830640&amp;year=2019&amp;type=national&amp;d=6","Results")</f>
        <v/>
      </c>
    </row>
    <row r="197" spans="1:5">
      <c r="A197" t="s">
        <v>552</v>
      </c>
      <c r="B197" t="s">
        <v>1879</v>
      </c>
      <c r="C197" t="s"/>
      <c r="D197" t="s">
        <v>304</v>
      </c>
      <c r="E197">
        <f>HYPERLINK("https://www.britishcycling.org.uk/points?person_id=6766&amp;year=2019&amp;type=national&amp;d=6","Results")</f>
        <v/>
      </c>
    </row>
    <row r="198" spans="1:5">
      <c r="A198" t="s">
        <v>555</v>
      </c>
      <c r="B198" t="s">
        <v>1880</v>
      </c>
      <c r="C198" t="s">
        <v>1881</v>
      </c>
      <c r="D198" t="s">
        <v>304</v>
      </c>
      <c r="E198">
        <f>HYPERLINK("https://www.britishcycling.org.uk/points?person_id=199093&amp;year=2019&amp;type=national&amp;d=6","Results")</f>
        <v/>
      </c>
    </row>
    <row r="199" spans="1:5">
      <c r="A199" t="s">
        <v>557</v>
      </c>
      <c r="B199" t="s">
        <v>1882</v>
      </c>
      <c r="C199" t="s">
        <v>1736</v>
      </c>
      <c r="D199" t="s">
        <v>301</v>
      </c>
      <c r="E199">
        <f>HYPERLINK("https://www.britishcycling.org.uk/points?person_id=580121&amp;year=2019&amp;type=national&amp;d=6","Results")</f>
        <v/>
      </c>
    </row>
    <row r="200" spans="1:5">
      <c r="A200" t="s">
        <v>560</v>
      </c>
      <c r="B200" t="s">
        <v>1883</v>
      </c>
      <c r="C200" t="s">
        <v>121</v>
      </c>
      <c r="D200" t="s">
        <v>301</v>
      </c>
      <c r="E200">
        <f>HYPERLINK("https://www.britishcycling.org.uk/points?person_id=302422&amp;year=2019&amp;type=national&amp;d=6","Results")</f>
        <v/>
      </c>
    </row>
    <row r="201" spans="1:5">
      <c r="A201" t="s">
        <v>202</v>
      </c>
      <c r="B201" t="s">
        <v>1884</v>
      </c>
      <c r="C201" t="s">
        <v>1626</v>
      </c>
      <c r="D201" t="s">
        <v>301</v>
      </c>
      <c r="E201">
        <f>HYPERLINK("https://www.britishcycling.org.uk/points?person_id=70970&amp;year=2019&amp;type=national&amp;d=6","Results")</f>
        <v/>
      </c>
    </row>
    <row r="202" spans="1:5">
      <c r="A202" t="s">
        <v>563</v>
      </c>
      <c r="B202" t="s">
        <v>1885</v>
      </c>
      <c r="C202" t="s">
        <v>1863</v>
      </c>
      <c r="D202" t="s">
        <v>297</v>
      </c>
      <c r="E202">
        <f>HYPERLINK("https://www.britishcycling.org.uk/points?person_id=35806&amp;year=2019&amp;type=national&amp;d=6","Results")</f>
        <v/>
      </c>
    </row>
    <row r="203" spans="1:5">
      <c r="A203" t="s">
        <v>565</v>
      </c>
      <c r="B203" t="s">
        <v>1886</v>
      </c>
      <c r="C203" t="s">
        <v>1887</v>
      </c>
      <c r="D203" t="s">
        <v>297</v>
      </c>
      <c r="E203">
        <f>HYPERLINK("https://www.britishcycling.org.uk/points?person_id=29049&amp;year=2019&amp;type=national&amp;d=6","Results")</f>
        <v/>
      </c>
    </row>
    <row r="204" spans="1:5">
      <c r="A204" t="s">
        <v>568</v>
      </c>
      <c r="B204" t="s">
        <v>1324</v>
      </c>
      <c r="C204" t="s">
        <v>914</v>
      </c>
      <c r="D204" t="s">
        <v>293</v>
      </c>
      <c r="E204">
        <f>HYPERLINK("https://www.britishcycling.org.uk/points?person_id=10140&amp;year=2019&amp;type=national&amp;d=6","Results")</f>
        <v/>
      </c>
    </row>
    <row r="205" spans="1:5">
      <c r="A205" t="s">
        <v>195</v>
      </c>
      <c r="B205" t="s">
        <v>1888</v>
      </c>
      <c r="C205" t="s">
        <v>1635</v>
      </c>
      <c r="D205" t="s">
        <v>293</v>
      </c>
      <c r="E205">
        <f>HYPERLINK("https://www.britishcycling.org.uk/points?person_id=188708&amp;year=2019&amp;type=national&amp;d=6","Results")</f>
        <v/>
      </c>
    </row>
    <row r="206" spans="1:5">
      <c r="A206" t="s">
        <v>571</v>
      </c>
      <c r="B206" t="s">
        <v>1889</v>
      </c>
      <c r="C206" t="s">
        <v>427</v>
      </c>
      <c r="D206" t="s">
        <v>289</v>
      </c>
      <c r="E206">
        <f>HYPERLINK("https://www.britishcycling.org.uk/points?person_id=252787&amp;year=2019&amp;type=national&amp;d=6","Results")</f>
        <v/>
      </c>
    </row>
    <row r="207" spans="1:5">
      <c r="A207" t="s">
        <v>573</v>
      </c>
      <c r="B207" t="s">
        <v>1890</v>
      </c>
      <c r="C207" t="s">
        <v>1863</v>
      </c>
      <c r="D207" t="s">
        <v>281</v>
      </c>
      <c r="E207">
        <f>HYPERLINK("https://www.britishcycling.org.uk/points?person_id=274764&amp;year=2019&amp;type=national&amp;d=6","Results")</f>
        <v/>
      </c>
    </row>
    <row r="208" spans="1:5">
      <c r="A208" t="s">
        <v>576</v>
      </c>
      <c r="B208" t="s">
        <v>1891</v>
      </c>
      <c r="C208" t="s">
        <v>1892</v>
      </c>
      <c r="D208" t="s">
        <v>281</v>
      </c>
      <c r="E208">
        <f>HYPERLINK("https://www.britishcycling.org.uk/points?person_id=11379&amp;year=2019&amp;type=national&amp;d=6","Results")</f>
        <v/>
      </c>
    </row>
    <row r="209" spans="1:5">
      <c r="A209" t="s">
        <v>191</v>
      </c>
      <c r="B209" t="s">
        <v>1893</v>
      </c>
      <c r="C209" t="s"/>
      <c r="D209" t="s">
        <v>277</v>
      </c>
      <c r="E209">
        <f>HYPERLINK("https://www.britishcycling.org.uk/points?person_id=821561&amp;year=2019&amp;type=national&amp;d=6","Results")</f>
        <v/>
      </c>
    </row>
    <row r="210" spans="1:5">
      <c r="A210" t="s">
        <v>580</v>
      </c>
      <c r="B210" t="s">
        <v>1894</v>
      </c>
      <c r="C210" t="s">
        <v>1895</v>
      </c>
      <c r="D210" t="s">
        <v>270</v>
      </c>
      <c r="E210">
        <f>HYPERLINK("https://www.britishcycling.org.uk/points?person_id=28042&amp;year=2019&amp;type=national&amp;d=6","Results")</f>
        <v/>
      </c>
    </row>
    <row r="211" spans="1:5">
      <c r="A211" t="s">
        <v>582</v>
      </c>
      <c r="B211" t="s">
        <v>1896</v>
      </c>
      <c r="C211" t="s">
        <v>1686</v>
      </c>
      <c r="D211" t="s">
        <v>270</v>
      </c>
      <c r="E211">
        <f>HYPERLINK("https://www.britishcycling.org.uk/points?person_id=20008&amp;year=2019&amp;type=national&amp;d=6","Results")</f>
        <v/>
      </c>
    </row>
    <row r="212" spans="1:5">
      <c r="A212" t="s">
        <v>585</v>
      </c>
      <c r="B212" t="s">
        <v>1209</v>
      </c>
      <c r="C212" t="s">
        <v>1897</v>
      </c>
      <c r="D212" t="s">
        <v>267</v>
      </c>
      <c r="E212">
        <f>HYPERLINK("https://www.britishcycling.org.uk/points?person_id=186227&amp;year=2019&amp;type=national&amp;d=6","Results")</f>
        <v/>
      </c>
    </row>
    <row r="213" spans="1:5">
      <c r="A213" t="s">
        <v>587</v>
      </c>
      <c r="B213" t="s">
        <v>1898</v>
      </c>
      <c r="C213" t="s">
        <v>595</v>
      </c>
      <c r="D213" t="s">
        <v>267</v>
      </c>
      <c r="E213">
        <f>HYPERLINK("https://www.britishcycling.org.uk/points?person_id=328054&amp;year=2019&amp;type=national&amp;d=6","Results")</f>
        <v/>
      </c>
    </row>
    <row r="214" spans="1:5">
      <c r="A214" t="s">
        <v>590</v>
      </c>
      <c r="B214" t="s">
        <v>1899</v>
      </c>
      <c r="C214" t="s">
        <v>1900</v>
      </c>
      <c r="D214" t="s">
        <v>267</v>
      </c>
      <c r="E214">
        <f>HYPERLINK("https://www.britishcycling.org.uk/points?person_id=76589&amp;year=2019&amp;type=national&amp;d=6","Results")</f>
        <v/>
      </c>
    </row>
    <row r="215" spans="1:5">
      <c r="A215" t="s">
        <v>593</v>
      </c>
      <c r="B215" t="s">
        <v>1901</v>
      </c>
      <c r="C215" t="s">
        <v>1902</v>
      </c>
      <c r="D215" t="s">
        <v>267</v>
      </c>
      <c r="E215">
        <f>HYPERLINK("https://www.britishcycling.org.uk/points?person_id=808085&amp;year=2019&amp;type=national&amp;d=6","Results")</f>
        <v/>
      </c>
    </row>
    <row r="216" spans="1:5">
      <c r="A216" t="s">
        <v>187</v>
      </c>
      <c r="B216" t="s">
        <v>1903</v>
      </c>
      <c r="C216" t="s">
        <v>1706</v>
      </c>
      <c r="D216" t="s">
        <v>267</v>
      </c>
      <c r="E216">
        <f>HYPERLINK("https://www.britishcycling.org.uk/points?person_id=25401&amp;year=2019&amp;type=national&amp;d=6","Results")</f>
        <v/>
      </c>
    </row>
    <row r="217" spans="1:5">
      <c r="A217" t="s">
        <v>183</v>
      </c>
      <c r="B217" t="s">
        <v>1380</v>
      </c>
      <c r="C217" t="s">
        <v>331</v>
      </c>
      <c r="D217" t="s">
        <v>264</v>
      </c>
      <c r="E217">
        <f>HYPERLINK("https://www.britishcycling.org.uk/points?person_id=176273&amp;year=2019&amp;type=national&amp;d=6","Results")</f>
        <v/>
      </c>
    </row>
    <row r="218" spans="1:5">
      <c r="A218" t="s">
        <v>598</v>
      </c>
      <c r="B218" t="s">
        <v>1904</v>
      </c>
      <c r="C218" t="s">
        <v>283</v>
      </c>
      <c r="D218" t="s">
        <v>264</v>
      </c>
      <c r="E218">
        <f>HYPERLINK("https://www.britishcycling.org.uk/points?person_id=2125&amp;year=2019&amp;type=national&amp;d=6","Results")</f>
        <v/>
      </c>
    </row>
    <row r="219" spans="1:5">
      <c r="A219" t="s">
        <v>600</v>
      </c>
      <c r="B219" t="s">
        <v>1905</v>
      </c>
      <c r="C219" t="s">
        <v>23</v>
      </c>
      <c r="D219" t="s">
        <v>264</v>
      </c>
      <c r="E219">
        <f>HYPERLINK("https://www.britishcycling.org.uk/points?person_id=541650&amp;year=2019&amp;type=national&amp;d=6","Results")</f>
        <v/>
      </c>
    </row>
    <row r="220" spans="1:5">
      <c r="A220" t="s">
        <v>602</v>
      </c>
      <c r="B220" t="s">
        <v>1906</v>
      </c>
      <c r="C220" t="s">
        <v>1907</v>
      </c>
      <c r="D220" t="s">
        <v>260</v>
      </c>
      <c r="E220">
        <f>HYPERLINK("https://www.britishcycling.org.uk/points?person_id=102932&amp;year=2019&amp;type=national&amp;d=6","Results")</f>
        <v/>
      </c>
    </row>
    <row r="221" spans="1:5">
      <c r="A221" t="s">
        <v>604</v>
      </c>
      <c r="B221" t="s">
        <v>1908</v>
      </c>
      <c r="C221" t="s">
        <v>1909</v>
      </c>
      <c r="D221" t="s">
        <v>260</v>
      </c>
      <c r="E221">
        <f>HYPERLINK("https://www.britishcycling.org.uk/points?person_id=535683&amp;year=2019&amp;type=national&amp;d=6","Results")</f>
        <v/>
      </c>
    </row>
    <row r="222" spans="1:5">
      <c r="A222" t="s">
        <v>606</v>
      </c>
      <c r="B222" t="s">
        <v>1910</v>
      </c>
      <c r="C222" t="s"/>
      <c r="D222" t="s">
        <v>260</v>
      </c>
      <c r="E222">
        <f>HYPERLINK("https://www.britishcycling.org.uk/points?person_id=543342&amp;year=2019&amp;type=national&amp;d=6","Results")</f>
        <v/>
      </c>
    </row>
    <row r="223" spans="1:5">
      <c r="A223" t="s">
        <v>609</v>
      </c>
      <c r="B223" t="s">
        <v>1911</v>
      </c>
      <c r="C223" t="s"/>
      <c r="D223" t="s">
        <v>260</v>
      </c>
      <c r="E223">
        <f>HYPERLINK("https://www.britishcycling.org.uk/points?person_id=1550&amp;year=2019&amp;type=national&amp;d=6","Results")</f>
        <v/>
      </c>
    </row>
    <row r="224" spans="1:5">
      <c r="A224" t="s">
        <v>611</v>
      </c>
      <c r="B224" t="s">
        <v>1912</v>
      </c>
      <c r="C224" t="s">
        <v>1913</v>
      </c>
      <c r="D224" t="s">
        <v>257</v>
      </c>
      <c r="E224">
        <f>HYPERLINK("https://www.britishcycling.org.uk/points?person_id=452886&amp;year=2019&amp;type=national&amp;d=6","Results")</f>
        <v/>
      </c>
    </row>
    <row r="225" spans="1:5">
      <c r="A225" t="s">
        <v>613</v>
      </c>
      <c r="B225" t="s">
        <v>1914</v>
      </c>
      <c r="C225" t="s">
        <v>1915</v>
      </c>
      <c r="D225" t="s">
        <v>254</v>
      </c>
      <c r="E225">
        <f>HYPERLINK("https://www.britishcycling.org.uk/points?person_id=73130&amp;year=2019&amp;type=national&amp;d=6","Results")</f>
        <v/>
      </c>
    </row>
    <row r="226" spans="1:5">
      <c r="A226" t="s">
        <v>616</v>
      </c>
      <c r="B226" t="s">
        <v>1422</v>
      </c>
      <c r="C226" t="s">
        <v>45</v>
      </c>
      <c r="D226" t="s">
        <v>254</v>
      </c>
      <c r="E226">
        <f>HYPERLINK("https://www.britishcycling.org.uk/points?person_id=116849&amp;year=2019&amp;type=national&amp;d=6","Results")</f>
        <v/>
      </c>
    </row>
    <row r="227" spans="1:5">
      <c r="A227" t="s">
        <v>179</v>
      </c>
      <c r="B227" t="s">
        <v>1351</v>
      </c>
      <c r="C227" t="s">
        <v>238</v>
      </c>
      <c r="D227" t="s">
        <v>250</v>
      </c>
      <c r="E227">
        <f>HYPERLINK("https://www.britishcycling.org.uk/points?person_id=174813&amp;year=2019&amp;type=national&amp;d=6","Results")</f>
        <v/>
      </c>
    </row>
    <row r="228" spans="1:5">
      <c r="A228" t="s">
        <v>619</v>
      </c>
      <c r="B228" t="s">
        <v>1916</v>
      </c>
      <c r="C228" t="s">
        <v>1917</v>
      </c>
      <c r="D228" t="s">
        <v>250</v>
      </c>
      <c r="E228">
        <f>HYPERLINK("https://www.britishcycling.org.uk/points?person_id=870104&amp;year=2019&amp;type=national&amp;d=6","Results")</f>
        <v/>
      </c>
    </row>
    <row r="229" spans="1:5">
      <c r="A229" t="s">
        <v>621</v>
      </c>
      <c r="B229" t="s">
        <v>1918</v>
      </c>
      <c r="C229" t="s">
        <v>1919</v>
      </c>
      <c r="D229" t="s">
        <v>250</v>
      </c>
      <c r="E229">
        <f>HYPERLINK("https://www.britishcycling.org.uk/points?person_id=38453&amp;year=2019&amp;type=national&amp;d=6","Results")</f>
        <v/>
      </c>
    </row>
    <row r="230" spans="1:5">
      <c r="A230" t="s">
        <v>623</v>
      </c>
      <c r="B230" t="s">
        <v>1920</v>
      </c>
      <c r="C230" t="s">
        <v>1921</v>
      </c>
      <c r="D230" t="s">
        <v>250</v>
      </c>
      <c r="E230">
        <f>HYPERLINK("https://www.britishcycling.org.uk/points?person_id=108244&amp;year=2019&amp;type=national&amp;d=6","Results")</f>
        <v/>
      </c>
    </row>
    <row r="231" spans="1:5">
      <c r="A231" t="s">
        <v>625</v>
      </c>
      <c r="B231" t="s">
        <v>1922</v>
      </c>
      <c r="C231" t="s">
        <v>1923</v>
      </c>
      <c r="D231" t="s">
        <v>247</v>
      </c>
      <c r="E231">
        <f>HYPERLINK("https://www.britishcycling.org.uk/points?person_id=384501&amp;year=2019&amp;type=national&amp;d=6","Results")</f>
        <v/>
      </c>
    </row>
    <row r="232" spans="1:5">
      <c r="A232" t="s">
        <v>175</v>
      </c>
      <c r="B232" t="s">
        <v>1924</v>
      </c>
      <c r="C232" t="s">
        <v>1925</v>
      </c>
      <c r="D232" t="s">
        <v>247</v>
      </c>
      <c r="E232">
        <f>HYPERLINK("https://www.britishcycling.org.uk/points?person_id=265363&amp;year=2019&amp;type=national&amp;d=6","Results")</f>
        <v/>
      </c>
    </row>
    <row r="233" spans="1:5">
      <c r="A233" t="s">
        <v>171</v>
      </c>
      <c r="B233" t="s">
        <v>1926</v>
      </c>
      <c r="C233" t="s">
        <v>1332</v>
      </c>
      <c r="D233" t="s">
        <v>247</v>
      </c>
      <c r="E233">
        <f>HYPERLINK("https://www.britishcycling.org.uk/points?person_id=196735&amp;year=2019&amp;type=national&amp;d=6","Results")</f>
        <v/>
      </c>
    </row>
    <row r="234" spans="1:5">
      <c r="A234" t="s">
        <v>164</v>
      </c>
      <c r="B234" t="s">
        <v>1927</v>
      </c>
      <c r="C234" t="s">
        <v>973</v>
      </c>
      <c r="D234" t="s">
        <v>244</v>
      </c>
      <c r="E234">
        <f>HYPERLINK("https://www.britishcycling.org.uk/points?person_id=70620&amp;year=2019&amp;type=national&amp;d=6","Results")</f>
        <v/>
      </c>
    </row>
    <row r="235" spans="1:5">
      <c r="A235" t="s">
        <v>630</v>
      </c>
      <c r="B235" t="s">
        <v>1928</v>
      </c>
      <c r="C235" t="s">
        <v>1929</v>
      </c>
      <c r="D235" t="s">
        <v>239</v>
      </c>
      <c r="E235">
        <f>HYPERLINK("https://www.britishcycling.org.uk/points?person_id=69692&amp;year=2019&amp;type=national&amp;d=6","Results")</f>
        <v/>
      </c>
    </row>
    <row r="236" spans="1:5">
      <c r="A236" t="s">
        <v>632</v>
      </c>
      <c r="B236" t="s">
        <v>1930</v>
      </c>
      <c r="C236" t="s">
        <v>1931</v>
      </c>
      <c r="D236" t="s">
        <v>236</v>
      </c>
      <c r="E236">
        <f>HYPERLINK("https://www.britishcycling.org.uk/points?person_id=64391&amp;year=2019&amp;type=national&amp;d=6","Results")</f>
        <v/>
      </c>
    </row>
    <row r="237" spans="1:5">
      <c r="A237" t="s">
        <v>634</v>
      </c>
      <c r="B237" t="s">
        <v>1932</v>
      </c>
      <c r="C237" t="s">
        <v>1349</v>
      </c>
      <c r="D237" t="s">
        <v>236</v>
      </c>
      <c r="E237">
        <f>HYPERLINK("https://www.britishcycling.org.uk/points?person_id=79193&amp;year=2019&amp;type=national&amp;d=6","Results")</f>
        <v/>
      </c>
    </row>
    <row r="238" spans="1:5">
      <c r="A238" t="s">
        <v>637</v>
      </c>
      <c r="B238" t="s">
        <v>1933</v>
      </c>
      <c r="C238" t="s">
        <v>1699</v>
      </c>
      <c r="D238" t="s">
        <v>236</v>
      </c>
      <c r="E238">
        <f>HYPERLINK("https://www.britishcycling.org.uk/points?person_id=631828&amp;year=2019&amp;type=national&amp;d=6","Results")</f>
        <v/>
      </c>
    </row>
    <row r="239" spans="1:5">
      <c r="A239" t="s">
        <v>639</v>
      </c>
      <c r="B239" t="s">
        <v>1934</v>
      </c>
      <c r="C239" t="s"/>
      <c r="D239" t="s">
        <v>232</v>
      </c>
      <c r="E239">
        <f>HYPERLINK("https://www.britishcycling.org.uk/points?person_id=28561&amp;year=2019&amp;type=national&amp;d=6","Results")</f>
        <v/>
      </c>
    </row>
    <row r="240" spans="1:5">
      <c r="A240" t="s">
        <v>641</v>
      </c>
      <c r="B240" t="s">
        <v>1935</v>
      </c>
      <c r="C240" t="s">
        <v>1936</v>
      </c>
      <c r="D240" t="s">
        <v>232</v>
      </c>
      <c r="E240">
        <f>HYPERLINK("https://www.britishcycling.org.uk/points?person_id=192925&amp;year=2019&amp;type=national&amp;d=6","Results")</f>
        <v/>
      </c>
    </row>
    <row r="241" spans="1:5">
      <c r="A241" t="s">
        <v>644</v>
      </c>
      <c r="B241" t="s">
        <v>1937</v>
      </c>
      <c r="C241" t="s">
        <v>1938</v>
      </c>
      <c r="D241" t="s">
        <v>232</v>
      </c>
      <c r="E241">
        <f>HYPERLINK("https://www.britishcycling.org.uk/points?person_id=150658&amp;year=2019&amp;type=national&amp;d=6","Results")</f>
        <v/>
      </c>
    </row>
    <row r="242" spans="1:5">
      <c r="A242" t="s">
        <v>647</v>
      </c>
      <c r="B242" t="s">
        <v>1939</v>
      </c>
      <c r="C242" t="s">
        <v>1940</v>
      </c>
      <c r="D242" t="s">
        <v>228</v>
      </c>
      <c r="E242">
        <f>HYPERLINK("https://www.britishcycling.org.uk/points?person_id=99755&amp;year=2019&amp;type=national&amp;d=6","Results")</f>
        <v/>
      </c>
    </row>
    <row r="243" spans="1:5">
      <c r="A243" t="s">
        <v>649</v>
      </c>
      <c r="B243" t="s">
        <v>1941</v>
      </c>
      <c r="C243" t="s"/>
      <c r="D243" t="s">
        <v>228</v>
      </c>
      <c r="E243">
        <f>HYPERLINK("https://www.britishcycling.org.uk/points?person_id=6470&amp;year=2019&amp;type=national&amp;d=6","Results")</f>
        <v/>
      </c>
    </row>
    <row r="244" spans="1:5">
      <c r="A244" t="s">
        <v>651</v>
      </c>
      <c r="B244" t="s">
        <v>1942</v>
      </c>
      <c r="C244" t="s">
        <v>1943</v>
      </c>
      <c r="D244" t="s">
        <v>225</v>
      </c>
      <c r="E244">
        <f>HYPERLINK("https://www.britishcycling.org.uk/points?person_id=585475&amp;year=2019&amp;type=national&amp;d=6","Results")</f>
        <v/>
      </c>
    </row>
    <row r="245" spans="1:5">
      <c r="A245" t="s">
        <v>654</v>
      </c>
      <c r="B245" t="s">
        <v>1944</v>
      </c>
      <c r="C245" t="s">
        <v>1945</v>
      </c>
      <c r="D245" t="s">
        <v>221</v>
      </c>
      <c r="E245">
        <f>HYPERLINK("https://www.britishcycling.org.uk/points?person_id=327564&amp;year=2019&amp;type=national&amp;d=6","Results")</f>
        <v/>
      </c>
    </row>
    <row r="246" spans="1:5">
      <c r="A246" t="s">
        <v>160</v>
      </c>
      <c r="B246" t="s">
        <v>1946</v>
      </c>
      <c r="C246" t="s">
        <v>1947</v>
      </c>
      <c r="D246" t="s">
        <v>218</v>
      </c>
      <c r="E246">
        <f>HYPERLINK("https://www.britishcycling.org.uk/points?person_id=426068&amp;year=2019&amp;type=national&amp;d=6","Results")</f>
        <v/>
      </c>
    </row>
    <row r="247" spans="1:5">
      <c r="A247" t="s">
        <v>154</v>
      </c>
      <c r="B247" t="s">
        <v>1948</v>
      </c>
      <c r="C247" t="s">
        <v>1819</v>
      </c>
      <c r="D247" t="s">
        <v>218</v>
      </c>
      <c r="E247">
        <f>HYPERLINK("https://www.britishcycling.org.uk/points?person_id=78224&amp;year=2019&amp;type=national&amp;d=6","Results")</f>
        <v/>
      </c>
    </row>
    <row r="248" spans="1:5">
      <c r="A248" t="s">
        <v>659</v>
      </c>
      <c r="B248" t="s">
        <v>1949</v>
      </c>
      <c r="C248" t="s">
        <v>1424</v>
      </c>
      <c r="D248" t="s">
        <v>218</v>
      </c>
      <c r="E248">
        <f>HYPERLINK("https://www.britishcycling.org.uk/points?person_id=53099&amp;year=2019&amp;type=national&amp;d=6","Results")</f>
        <v/>
      </c>
    </row>
    <row r="249" spans="1:5">
      <c r="A249" t="s">
        <v>661</v>
      </c>
      <c r="B249" t="s">
        <v>1950</v>
      </c>
      <c r="C249" t="s">
        <v>1677</v>
      </c>
      <c r="D249" t="s">
        <v>218</v>
      </c>
      <c r="E249">
        <f>HYPERLINK("https://www.britishcycling.org.uk/points?person_id=31437&amp;year=2019&amp;type=national&amp;d=6","Results")</f>
        <v/>
      </c>
    </row>
    <row r="250" spans="1:5">
      <c r="A250" t="s">
        <v>664</v>
      </c>
      <c r="B250" t="s">
        <v>1951</v>
      </c>
      <c r="C250" t="s">
        <v>1952</v>
      </c>
      <c r="D250" t="s">
        <v>214</v>
      </c>
      <c r="E250">
        <f>HYPERLINK("https://www.britishcycling.org.uk/points?person_id=733322&amp;year=2019&amp;type=national&amp;d=6","Results")</f>
        <v/>
      </c>
    </row>
    <row r="251" spans="1:5">
      <c r="A251" t="s">
        <v>150</v>
      </c>
      <c r="B251" t="s">
        <v>1953</v>
      </c>
      <c r="C251" t="s">
        <v>1626</v>
      </c>
      <c r="D251" t="s">
        <v>210</v>
      </c>
      <c r="E251">
        <f>HYPERLINK("https://www.britishcycling.org.uk/points?person_id=43354&amp;year=2019&amp;type=national&amp;d=6","Results")</f>
        <v/>
      </c>
    </row>
    <row r="252" spans="1:5">
      <c r="A252" t="s">
        <v>147</v>
      </c>
      <c r="B252" t="s">
        <v>1954</v>
      </c>
      <c r="C252" t="s">
        <v>1955</v>
      </c>
      <c r="D252" t="s">
        <v>210</v>
      </c>
      <c r="E252">
        <f>HYPERLINK("https://www.britishcycling.org.uk/points?person_id=657417&amp;year=2019&amp;type=national&amp;d=6","Results")</f>
        <v/>
      </c>
    </row>
    <row r="253" spans="1:5">
      <c r="A253" t="s">
        <v>668</v>
      </c>
      <c r="B253" t="s">
        <v>1956</v>
      </c>
      <c r="C253" t="s">
        <v>194</v>
      </c>
      <c r="D253" t="s">
        <v>210</v>
      </c>
      <c r="E253">
        <f>HYPERLINK("https://www.britishcycling.org.uk/points?person_id=401335&amp;year=2019&amp;type=national&amp;d=6","Results")</f>
        <v/>
      </c>
    </row>
    <row r="254" spans="1:5">
      <c r="A254" t="s">
        <v>144</v>
      </c>
      <c r="B254" t="s">
        <v>1957</v>
      </c>
      <c r="C254" t="s">
        <v>961</v>
      </c>
      <c r="D254" t="s">
        <v>210</v>
      </c>
      <c r="E254">
        <f>HYPERLINK("https://www.britishcycling.org.uk/points?person_id=34945&amp;year=2019&amp;type=national&amp;d=6","Results")</f>
        <v/>
      </c>
    </row>
    <row r="255" spans="1:5">
      <c r="A255" t="s">
        <v>672</v>
      </c>
      <c r="B255" t="s">
        <v>1958</v>
      </c>
      <c r="C255" t="s"/>
      <c r="D255" t="s">
        <v>210</v>
      </c>
      <c r="E255">
        <f>HYPERLINK("https://www.britishcycling.org.uk/points?person_id=199232&amp;year=2019&amp;type=national&amp;d=6","Results")</f>
        <v/>
      </c>
    </row>
    <row r="256" spans="1:5">
      <c r="A256" t="s">
        <v>674</v>
      </c>
      <c r="B256" t="s">
        <v>1959</v>
      </c>
      <c r="C256" t="s">
        <v>1694</v>
      </c>
      <c r="D256" t="s">
        <v>210</v>
      </c>
      <c r="E256">
        <f>HYPERLINK("https://www.britishcycling.org.uk/points?person_id=653734&amp;year=2019&amp;type=national&amp;d=6","Results")</f>
        <v/>
      </c>
    </row>
    <row r="257" spans="1:5">
      <c r="A257" t="s">
        <v>677</v>
      </c>
      <c r="B257" t="s">
        <v>1960</v>
      </c>
      <c r="C257" t="s">
        <v>1961</v>
      </c>
      <c r="D257" t="s">
        <v>203</v>
      </c>
      <c r="E257">
        <f>HYPERLINK("https://www.britishcycling.org.uk/points?person_id=327566&amp;year=2019&amp;type=national&amp;d=6","Results")</f>
        <v/>
      </c>
    </row>
    <row r="258" spans="1:5">
      <c r="A258" t="s">
        <v>679</v>
      </c>
      <c r="B258" t="s">
        <v>1962</v>
      </c>
      <c r="C258" t="s">
        <v>1963</v>
      </c>
      <c r="D258" t="s">
        <v>203</v>
      </c>
      <c r="E258">
        <f>HYPERLINK("https://www.britishcycling.org.uk/points?person_id=646060&amp;year=2019&amp;type=national&amp;d=6","Results")</f>
        <v/>
      </c>
    </row>
    <row r="259" spans="1:5">
      <c r="A259" t="s">
        <v>140</v>
      </c>
      <c r="B259" t="s">
        <v>1395</v>
      </c>
      <c r="C259" t="s">
        <v>940</v>
      </c>
      <c r="D259" t="s">
        <v>203</v>
      </c>
      <c r="E259">
        <f>HYPERLINK("https://www.britishcycling.org.uk/points?person_id=312109&amp;year=2019&amp;type=national&amp;d=6","Results")</f>
        <v/>
      </c>
    </row>
    <row r="260" spans="1:5">
      <c r="A260" t="s">
        <v>682</v>
      </c>
      <c r="B260" t="s">
        <v>1964</v>
      </c>
      <c r="C260" t="s">
        <v>1789</v>
      </c>
      <c r="D260" t="s">
        <v>196</v>
      </c>
      <c r="E260">
        <f>HYPERLINK("https://www.britishcycling.org.uk/points?person_id=185209&amp;year=2019&amp;type=national&amp;d=6","Results")</f>
        <v/>
      </c>
    </row>
    <row r="261" spans="1:5">
      <c r="A261" t="s">
        <v>136</v>
      </c>
      <c r="B261" t="s">
        <v>1965</v>
      </c>
      <c r="C261" t="s">
        <v>1657</v>
      </c>
      <c r="D261" t="s">
        <v>196</v>
      </c>
      <c r="E261">
        <f>HYPERLINK("https://www.britishcycling.org.uk/points?person_id=10664&amp;year=2019&amp;type=national&amp;d=6","Results")</f>
        <v/>
      </c>
    </row>
    <row r="262" spans="1:5">
      <c r="A262" t="s">
        <v>685</v>
      </c>
      <c r="B262" t="s">
        <v>1966</v>
      </c>
      <c r="C262" t="s"/>
      <c r="D262" t="s">
        <v>192</v>
      </c>
      <c r="E262">
        <f>HYPERLINK("https://www.britishcycling.org.uk/points?person_id=632906&amp;year=2019&amp;type=national&amp;d=6","Results")</f>
        <v/>
      </c>
    </row>
    <row r="263" spans="1:5">
      <c r="A263" t="s">
        <v>687</v>
      </c>
      <c r="B263" t="s">
        <v>1967</v>
      </c>
      <c r="C263" t="s">
        <v>1968</v>
      </c>
      <c r="D263" t="s">
        <v>192</v>
      </c>
      <c r="E263">
        <f>HYPERLINK("https://www.britishcycling.org.uk/points?person_id=288497&amp;year=2019&amp;type=national&amp;d=6","Results")</f>
        <v/>
      </c>
    </row>
    <row r="264" spans="1:5">
      <c r="A264" t="s">
        <v>689</v>
      </c>
      <c r="B264" t="s">
        <v>1969</v>
      </c>
      <c r="C264" t="s">
        <v>1370</v>
      </c>
      <c r="D264" t="s">
        <v>192</v>
      </c>
      <c r="E264">
        <f>HYPERLINK("https://www.britishcycling.org.uk/points?person_id=381552&amp;year=2019&amp;type=national&amp;d=6","Results")</f>
        <v/>
      </c>
    </row>
    <row r="265" spans="1:5">
      <c r="A265" t="s">
        <v>132</v>
      </c>
      <c r="B265" t="s">
        <v>1970</v>
      </c>
      <c r="C265" t="s">
        <v>1971</v>
      </c>
      <c r="D265" t="s">
        <v>188</v>
      </c>
      <c r="E265">
        <f>HYPERLINK("https://www.britishcycling.org.uk/points?person_id=129846&amp;year=2019&amp;type=national&amp;d=6","Results")</f>
        <v/>
      </c>
    </row>
    <row r="266" spans="1:5">
      <c r="A266" t="s">
        <v>694</v>
      </c>
      <c r="B266" t="s">
        <v>1972</v>
      </c>
      <c r="C266" t="s">
        <v>223</v>
      </c>
      <c r="D266" t="s">
        <v>188</v>
      </c>
      <c r="E266">
        <f>HYPERLINK("https://www.britishcycling.org.uk/points?person_id=744701&amp;year=2019&amp;type=national&amp;d=6","Results")</f>
        <v/>
      </c>
    </row>
    <row r="267" spans="1:5">
      <c r="A267" t="s">
        <v>697</v>
      </c>
      <c r="B267" t="s">
        <v>1973</v>
      </c>
      <c r="C267" t="s">
        <v>1340</v>
      </c>
      <c r="D267" t="s">
        <v>184</v>
      </c>
      <c r="E267">
        <f>HYPERLINK("https://www.britishcycling.org.uk/points?person_id=557987&amp;year=2019&amp;type=national&amp;d=6","Results")</f>
        <v/>
      </c>
    </row>
    <row r="268" spans="1:5">
      <c r="A268" t="s">
        <v>699</v>
      </c>
      <c r="B268" t="s">
        <v>1974</v>
      </c>
      <c r="C268" t="s">
        <v>1626</v>
      </c>
      <c r="D268" t="s">
        <v>184</v>
      </c>
      <c r="E268">
        <f>HYPERLINK("https://www.britishcycling.org.uk/points?person_id=255959&amp;year=2019&amp;type=national&amp;d=6","Results")</f>
        <v/>
      </c>
    </row>
    <row r="269" spans="1:5">
      <c r="A269" t="s">
        <v>701</v>
      </c>
      <c r="B269" t="s">
        <v>1975</v>
      </c>
      <c r="C269" t="s">
        <v>1945</v>
      </c>
      <c r="D269" t="s">
        <v>180</v>
      </c>
      <c r="E269">
        <f>HYPERLINK("https://www.britishcycling.org.uk/points?person_id=43315&amp;year=2019&amp;type=national&amp;d=6","Results")</f>
        <v/>
      </c>
    </row>
    <row r="270" spans="1:5">
      <c r="A270" t="s">
        <v>703</v>
      </c>
      <c r="B270" t="s">
        <v>1976</v>
      </c>
      <c r="C270" t="s">
        <v>1977</v>
      </c>
      <c r="D270" t="s">
        <v>180</v>
      </c>
      <c r="E270">
        <f>HYPERLINK("https://www.britishcycling.org.uk/points?person_id=315170&amp;year=2019&amp;type=national&amp;d=6","Results")</f>
        <v/>
      </c>
    </row>
    <row r="271" spans="1:5">
      <c r="A271" t="s">
        <v>705</v>
      </c>
      <c r="B271" t="s">
        <v>1978</v>
      </c>
      <c r="C271" t="s">
        <v>33</v>
      </c>
      <c r="D271" t="s">
        <v>180</v>
      </c>
      <c r="E271">
        <f>HYPERLINK("https://www.britishcycling.org.uk/points?person_id=516279&amp;year=2019&amp;type=national&amp;d=6","Results")</f>
        <v/>
      </c>
    </row>
    <row r="272" spans="1:5">
      <c r="A272" t="s">
        <v>707</v>
      </c>
      <c r="B272" t="s">
        <v>1979</v>
      </c>
      <c r="C272" t="s">
        <v>1500</v>
      </c>
      <c r="D272" t="s">
        <v>180</v>
      </c>
      <c r="E272">
        <f>HYPERLINK("https://www.britishcycling.org.uk/points?person_id=565163&amp;year=2019&amp;type=national&amp;d=6","Results")</f>
        <v/>
      </c>
    </row>
    <row r="273" spans="1:5">
      <c r="A273" t="s">
        <v>710</v>
      </c>
      <c r="B273" t="s">
        <v>1403</v>
      </c>
      <c r="C273" t="s">
        <v>45</v>
      </c>
      <c r="D273" t="s">
        <v>180</v>
      </c>
      <c r="E273">
        <f>HYPERLINK("https://www.britishcycling.org.uk/points?person_id=707393&amp;year=2019&amp;type=national&amp;d=6","Results")</f>
        <v/>
      </c>
    </row>
    <row r="274" spans="1:5">
      <c r="A274" t="s">
        <v>712</v>
      </c>
      <c r="B274" t="s">
        <v>1980</v>
      </c>
      <c r="C274" t="s">
        <v>1819</v>
      </c>
      <c r="D274" t="s">
        <v>180</v>
      </c>
      <c r="E274">
        <f>HYPERLINK("https://www.britishcycling.org.uk/points?person_id=253654&amp;year=2019&amp;type=national&amp;d=6","Results")</f>
        <v/>
      </c>
    </row>
    <row r="275" spans="1:5">
      <c r="A275" t="s">
        <v>714</v>
      </c>
      <c r="B275" t="s">
        <v>1981</v>
      </c>
      <c r="C275" t="s">
        <v>1982</v>
      </c>
      <c r="D275" t="s">
        <v>176</v>
      </c>
      <c r="E275">
        <f>HYPERLINK("https://www.britishcycling.org.uk/points?person_id=322623&amp;year=2019&amp;type=national&amp;d=6","Results")</f>
        <v/>
      </c>
    </row>
    <row r="276" spans="1:5">
      <c r="A276" t="s">
        <v>716</v>
      </c>
      <c r="B276" t="s">
        <v>1983</v>
      </c>
      <c r="C276" t="s">
        <v>1874</v>
      </c>
      <c r="D276" t="s">
        <v>176</v>
      </c>
      <c r="E276">
        <f>HYPERLINK("https://www.britishcycling.org.uk/points?person_id=307766&amp;year=2019&amp;type=national&amp;d=6","Results")</f>
        <v/>
      </c>
    </row>
    <row r="277" spans="1:5">
      <c r="A277" t="s">
        <v>129</v>
      </c>
      <c r="B277" t="s">
        <v>1984</v>
      </c>
      <c r="C277" t="s">
        <v>381</v>
      </c>
      <c r="D277" t="s">
        <v>172</v>
      </c>
      <c r="E277">
        <f>HYPERLINK("https://www.britishcycling.org.uk/points?person_id=65911&amp;year=2019&amp;type=national&amp;d=6","Results")</f>
        <v/>
      </c>
    </row>
    <row r="278" spans="1:5">
      <c r="A278" t="s">
        <v>719</v>
      </c>
      <c r="B278" t="s">
        <v>1656</v>
      </c>
      <c r="C278" t="s">
        <v>1985</v>
      </c>
      <c r="D278" t="s">
        <v>172</v>
      </c>
      <c r="E278">
        <f>HYPERLINK("https://www.britishcycling.org.uk/points?person_id=485688&amp;year=2019&amp;type=national&amp;d=6","Results")</f>
        <v/>
      </c>
    </row>
    <row r="279" spans="1:5">
      <c r="A279" t="s">
        <v>721</v>
      </c>
      <c r="B279" t="s">
        <v>1986</v>
      </c>
      <c r="C279" t="s"/>
      <c r="D279" t="s">
        <v>172</v>
      </c>
      <c r="E279">
        <f>HYPERLINK("https://www.britishcycling.org.uk/points?person_id=73016&amp;year=2019&amp;type=national&amp;d=6","Results")</f>
        <v/>
      </c>
    </row>
    <row r="280" spans="1:5">
      <c r="A280" t="s">
        <v>724</v>
      </c>
      <c r="B280" t="s">
        <v>1987</v>
      </c>
      <c r="C280" t="s">
        <v>1988</v>
      </c>
      <c r="D280" t="s">
        <v>172</v>
      </c>
      <c r="E280">
        <f>HYPERLINK("https://www.britishcycling.org.uk/points?person_id=179875&amp;year=2019&amp;type=national&amp;d=6","Results")</f>
        <v/>
      </c>
    </row>
    <row r="281" spans="1:5">
      <c r="A281" t="s">
        <v>726</v>
      </c>
      <c r="B281" t="s">
        <v>1328</v>
      </c>
      <c r="C281" t="s">
        <v>1329</v>
      </c>
      <c r="D281" t="s">
        <v>168</v>
      </c>
      <c r="E281">
        <f>HYPERLINK("https://www.britishcycling.org.uk/points?person_id=177033&amp;year=2019&amp;type=national&amp;d=6","Results")</f>
        <v/>
      </c>
    </row>
    <row r="282" spans="1:5">
      <c r="A282" t="s">
        <v>729</v>
      </c>
      <c r="B282" t="s">
        <v>1989</v>
      </c>
      <c r="C282" t="s"/>
      <c r="D282" t="s">
        <v>168</v>
      </c>
      <c r="E282">
        <f>HYPERLINK("https://www.britishcycling.org.uk/points?person_id=105103&amp;year=2019&amp;type=national&amp;d=6","Results")</f>
        <v/>
      </c>
    </row>
    <row r="283" spans="1:5">
      <c r="A283" t="s">
        <v>732</v>
      </c>
      <c r="B283" t="s">
        <v>1990</v>
      </c>
      <c r="C283" t="s">
        <v>1929</v>
      </c>
      <c r="D283" t="s">
        <v>165</v>
      </c>
      <c r="E283">
        <f>HYPERLINK("https://www.britishcycling.org.uk/points?person_id=44331&amp;year=2019&amp;type=national&amp;d=6","Results")</f>
        <v/>
      </c>
    </row>
    <row r="284" spans="1:5">
      <c r="A284" t="s">
        <v>735</v>
      </c>
      <c r="B284" t="s">
        <v>1436</v>
      </c>
      <c r="C284" t="s">
        <v>170</v>
      </c>
      <c r="D284" t="s">
        <v>165</v>
      </c>
      <c r="E284">
        <f>HYPERLINK("https://www.britishcycling.org.uk/points?person_id=290073&amp;year=2019&amp;type=national&amp;d=6","Results")</f>
        <v/>
      </c>
    </row>
    <row r="285" spans="1:5">
      <c r="A285" t="s">
        <v>737</v>
      </c>
      <c r="B285" t="s">
        <v>1991</v>
      </c>
      <c r="C285" t="s">
        <v>479</v>
      </c>
      <c r="D285" t="s">
        <v>165</v>
      </c>
      <c r="E285">
        <f>HYPERLINK("https://www.britishcycling.org.uk/points?person_id=315709&amp;year=2019&amp;type=national&amp;d=6","Results")</f>
        <v/>
      </c>
    </row>
    <row r="286" spans="1:5">
      <c r="A286" t="s">
        <v>739</v>
      </c>
      <c r="B286" t="s">
        <v>1992</v>
      </c>
      <c r="C286" t="s">
        <v>1993</v>
      </c>
      <c r="D286" t="s">
        <v>165</v>
      </c>
      <c r="E286">
        <f>HYPERLINK("https://www.britishcycling.org.uk/points?person_id=251229&amp;year=2019&amp;type=national&amp;d=6","Results")</f>
        <v/>
      </c>
    </row>
    <row r="287" spans="1:5">
      <c r="A287" t="s">
        <v>741</v>
      </c>
      <c r="B287" t="s">
        <v>1429</v>
      </c>
      <c r="C287" t="s">
        <v>919</v>
      </c>
      <c r="D287" t="s">
        <v>161</v>
      </c>
      <c r="E287">
        <f>HYPERLINK("https://www.britishcycling.org.uk/points?person_id=99435&amp;year=2019&amp;type=national&amp;d=6","Results")</f>
        <v/>
      </c>
    </row>
    <row r="288" spans="1:5">
      <c r="A288" t="s">
        <v>744</v>
      </c>
      <c r="B288" t="s">
        <v>1414</v>
      </c>
      <c r="C288" t="s">
        <v>1415</v>
      </c>
      <c r="D288" t="s">
        <v>161</v>
      </c>
      <c r="E288">
        <f>HYPERLINK("https://www.britishcycling.org.uk/points?person_id=28887&amp;year=2019&amp;type=national&amp;d=6","Results")</f>
        <v/>
      </c>
    </row>
    <row r="289" spans="1:5">
      <c r="A289" t="s">
        <v>747</v>
      </c>
      <c r="B289" t="s">
        <v>1994</v>
      </c>
      <c r="C289" t="s"/>
      <c r="D289" t="s">
        <v>161</v>
      </c>
      <c r="E289">
        <f>HYPERLINK("https://www.britishcycling.org.uk/points?person_id=60579&amp;year=2019&amp;type=national&amp;d=6","Results")</f>
        <v/>
      </c>
    </row>
    <row r="290" spans="1:5">
      <c r="A290" t="s">
        <v>749</v>
      </c>
      <c r="B290" t="s">
        <v>1995</v>
      </c>
      <c r="C290" t="s">
        <v>1832</v>
      </c>
      <c r="D290" t="s">
        <v>161</v>
      </c>
      <c r="E290">
        <f>HYPERLINK("https://www.britishcycling.org.uk/points?person_id=418750&amp;year=2019&amp;type=national&amp;d=6","Results")</f>
        <v/>
      </c>
    </row>
    <row r="291" spans="1:5">
      <c r="A291" t="s">
        <v>751</v>
      </c>
      <c r="B291" t="s">
        <v>1996</v>
      </c>
      <c r="C291" t="s"/>
      <c r="D291" t="s">
        <v>158</v>
      </c>
      <c r="E291">
        <f>HYPERLINK("https://www.britishcycling.org.uk/points?person_id=239832&amp;year=2019&amp;type=national&amp;d=6","Results")</f>
        <v/>
      </c>
    </row>
    <row r="292" spans="1:5">
      <c r="A292" t="s">
        <v>126</v>
      </c>
      <c r="B292" t="s">
        <v>1997</v>
      </c>
      <c r="C292" t="s">
        <v>1998</v>
      </c>
      <c r="D292" t="s">
        <v>158</v>
      </c>
      <c r="E292">
        <f>HYPERLINK("https://www.britishcycling.org.uk/points?person_id=183216&amp;year=2019&amp;type=national&amp;d=6","Results")</f>
        <v/>
      </c>
    </row>
    <row r="293" spans="1:5">
      <c r="A293" t="s">
        <v>754</v>
      </c>
      <c r="B293" t="s">
        <v>1999</v>
      </c>
      <c r="C293" t="s">
        <v>2000</v>
      </c>
      <c r="D293" t="s">
        <v>158</v>
      </c>
      <c r="E293">
        <f>HYPERLINK("https://www.britishcycling.org.uk/points?person_id=207216&amp;year=2019&amp;type=national&amp;d=6","Results")</f>
        <v/>
      </c>
    </row>
    <row r="294" spans="1:5">
      <c r="A294" t="s">
        <v>756</v>
      </c>
      <c r="B294" t="s">
        <v>2001</v>
      </c>
      <c r="C294" t="s">
        <v>1654</v>
      </c>
      <c r="D294" t="s">
        <v>158</v>
      </c>
      <c r="E294">
        <f>HYPERLINK("https://www.britishcycling.org.uk/points?person_id=248864&amp;year=2019&amp;type=national&amp;d=6","Results")</f>
        <v/>
      </c>
    </row>
    <row r="295" spans="1:5">
      <c r="A295" t="s">
        <v>758</v>
      </c>
      <c r="B295" t="s">
        <v>2002</v>
      </c>
      <c r="C295" t="s">
        <v>2003</v>
      </c>
      <c r="D295" t="s">
        <v>155</v>
      </c>
      <c r="E295">
        <f>HYPERLINK("https://www.britishcycling.org.uk/points?person_id=372693&amp;year=2019&amp;type=national&amp;d=6","Results")</f>
        <v/>
      </c>
    </row>
    <row r="296" spans="1:5">
      <c r="A296" t="s">
        <v>122</v>
      </c>
      <c r="B296" t="s">
        <v>1432</v>
      </c>
      <c r="C296" t="s">
        <v>1433</v>
      </c>
      <c r="D296" t="s">
        <v>155</v>
      </c>
      <c r="E296">
        <f>HYPERLINK("https://www.britishcycling.org.uk/points?person_id=837748&amp;year=2019&amp;type=national&amp;d=6","Results")</f>
        <v/>
      </c>
    </row>
    <row r="297" spans="1:5">
      <c r="A297" t="s">
        <v>118</v>
      </c>
      <c r="B297" t="s">
        <v>2004</v>
      </c>
      <c r="C297" t="s">
        <v>1943</v>
      </c>
      <c r="D297" t="s">
        <v>155</v>
      </c>
      <c r="E297">
        <f>HYPERLINK("https://www.britishcycling.org.uk/points?person_id=652421&amp;year=2019&amp;type=national&amp;d=6","Results")</f>
        <v/>
      </c>
    </row>
    <row r="298" spans="1:5">
      <c r="A298" t="s">
        <v>762</v>
      </c>
      <c r="B298" t="s">
        <v>2005</v>
      </c>
      <c r="C298" t="s">
        <v>2006</v>
      </c>
      <c r="D298" t="s">
        <v>155</v>
      </c>
      <c r="E298">
        <f>HYPERLINK("https://www.britishcycling.org.uk/points?person_id=436255&amp;year=2019&amp;type=national&amp;d=6","Results")</f>
        <v/>
      </c>
    </row>
    <row r="299" spans="1:5">
      <c r="A299" t="s">
        <v>114</v>
      </c>
      <c r="B299" t="s">
        <v>2007</v>
      </c>
      <c r="C299" t="s">
        <v>1694</v>
      </c>
      <c r="D299" t="s">
        <v>155</v>
      </c>
      <c r="E299">
        <f>HYPERLINK("https://www.britishcycling.org.uk/points?person_id=240503&amp;year=2019&amp;type=national&amp;d=6","Results")</f>
        <v/>
      </c>
    </row>
    <row r="300" spans="1:5">
      <c r="A300" t="s">
        <v>765</v>
      </c>
      <c r="B300" t="s">
        <v>2008</v>
      </c>
      <c r="C300" t="s">
        <v>2009</v>
      </c>
      <c r="D300" t="s">
        <v>155</v>
      </c>
      <c r="E300">
        <f>HYPERLINK("https://www.britishcycling.org.uk/points?person_id=273369&amp;year=2019&amp;type=national&amp;d=6","Results")</f>
        <v/>
      </c>
    </row>
    <row r="301" spans="1:5">
      <c r="A301" t="s">
        <v>767</v>
      </c>
      <c r="B301" t="s">
        <v>2010</v>
      </c>
      <c r="C301" t="s">
        <v>1397</v>
      </c>
      <c r="D301" t="s">
        <v>151</v>
      </c>
      <c r="E301">
        <f>HYPERLINK("https://www.britishcycling.org.uk/points?person_id=77260&amp;year=2019&amp;type=national&amp;d=6","Results")</f>
        <v/>
      </c>
    </row>
    <row r="302" spans="1:5">
      <c r="A302" t="s">
        <v>769</v>
      </c>
      <c r="B302" t="s">
        <v>1368</v>
      </c>
      <c r="C302" t="s">
        <v>746</v>
      </c>
      <c r="D302" t="s">
        <v>151</v>
      </c>
      <c r="E302">
        <f>HYPERLINK("https://www.britishcycling.org.uk/points?person_id=181196&amp;year=2019&amp;type=national&amp;d=6","Results")</f>
        <v/>
      </c>
    </row>
    <row r="303" spans="1:5">
      <c r="A303" t="s">
        <v>772</v>
      </c>
      <c r="B303" t="s">
        <v>2011</v>
      </c>
      <c r="C303" t="s">
        <v>1835</v>
      </c>
      <c r="D303" t="s">
        <v>151</v>
      </c>
      <c r="E303">
        <f>HYPERLINK("https://www.britishcycling.org.uk/points?person_id=33927&amp;year=2019&amp;type=national&amp;d=6","Results")</f>
        <v/>
      </c>
    </row>
    <row r="304" spans="1:5">
      <c r="A304" t="s">
        <v>775</v>
      </c>
      <c r="B304" t="s">
        <v>1469</v>
      </c>
      <c r="C304" t="s">
        <v>238</v>
      </c>
      <c r="D304" t="s">
        <v>151</v>
      </c>
      <c r="E304">
        <f>HYPERLINK("https://www.britishcycling.org.uk/points?person_id=105565&amp;year=2019&amp;type=national&amp;d=6","Results")</f>
        <v/>
      </c>
    </row>
    <row r="305" spans="1:5">
      <c r="A305" t="s">
        <v>777</v>
      </c>
      <c r="B305" t="s">
        <v>2012</v>
      </c>
      <c r="C305" t="s">
        <v>1010</v>
      </c>
      <c r="D305" t="s">
        <v>151</v>
      </c>
      <c r="E305">
        <f>HYPERLINK("https://www.britishcycling.org.uk/points?person_id=102480&amp;year=2019&amp;type=national&amp;d=6","Results")</f>
        <v/>
      </c>
    </row>
    <row r="306" spans="1:5">
      <c r="A306" t="s">
        <v>779</v>
      </c>
      <c r="B306" t="s">
        <v>2013</v>
      </c>
      <c r="C306" t="s">
        <v>1798</v>
      </c>
      <c r="D306" t="s">
        <v>148</v>
      </c>
      <c r="E306">
        <f>HYPERLINK("https://www.britishcycling.org.uk/points?person_id=49277&amp;year=2019&amp;type=national&amp;d=6","Results")</f>
        <v/>
      </c>
    </row>
    <row r="307" spans="1:5">
      <c r="A307" t="s">
        <v>782</v>
      </c>
      <c r="B307" t="s">
        <v>2014</v>
      </c>
      <c r="C307" t="s">
        <v>312</v>
      </c>
      <c r="D307" t="s">
        <v>148</v>
      </c>
      <c r="E307">
        <f>HYPERLINK("https://www.britishcycling.org.uk/points?person_id=588679&amp;year=2019&amp;type=national&amp;d=6","Results")</f>
        <v/>
      </c>
    </row>
    <row r="308" spans="1:5">
      <c r="A308" t="s">
        <v>784</v>
      </c>
      <c r="B308" t="s">
        <v>2015</v>
      </c>
      <c r="C308" t="s">
        <v>1721</v>
      </c>
      <c r="D308" t="s">
        <v>148</v>
      </c>
      <c r="E308">
        <f>HYPERLINK("https://www.britishcycling.org.uk/points?person_id=520895&amp;year=2019&amp;type=national&amp;d=6","Results")</f>
        <v/>
      </c>
    </row>
    <row r="309" spans="1:5">
      <c r="A309" t="s">
        <v>786</v>
      </c>
      <c r="B309" t="s">
        <v>1371</v>
      </c>
      <c r="C309" t="s">
        <v>186</v>
      </c>
      <c r="D309" t="s">
        <v>145</v>
      </c>
      <c r="E309">
        <f>HYPERLINK("https://www.britishcycling.org.uk/points?person_id=404233&amp;year=2019&amp;type=national&amp;d=6","Results")</f>
        <v/>
      </c>
    </row>
    <row r="310" spans="1:5">
      <c r="A310" t="s">
        <v>788</v>
      </c>
      <c r="B310" t="s">
        <v>1416</v>
      </c>
      <c r="C310" t="s">
        <v>358</v>
      </c>
      <c r="D310" t="s">
        <v>145</v>
      </c>
      <c r="E310">
        <f>HYPERLINK("https://www.britishcycling.org.uk/points?person_id=297300&amp;year=2019&amp;type=national&amp;d=6","Results")</f>
        <v/>
      </c>
    </row>
    <row r="311" spans="1:5">
      <c r="A311" t="s">
        <v>790</v>
      </c>
      <c r="B311" t="s">
        <v>2016</v>
      </c>
      <c r="C311" t="s">
        <v>2017</v>
      </c>
      <c r="D311" t="s">
        <v>145</v>
      </c>
      <c r="E311">
        <f>HYPERLINK("https://www.britishcycling.org.uk/points?person_id=256567&amp;year=2019&amp;type=national&amp;d=6","Results")</f>
        <v/>
      </c>
    </row>
    <row r="312" spans="1:5">
      <c r="A312" t="s">
        <v>792</v>
      </c>
      <c r="B312" t="s">
        <v>2018</v>
      </c>
      <c r="C312" t="s"/>
      <c r="D312" t="s">
        <v>145</v>
      </c>
      <c r="E312">
        <f>HYPERLINK("https://www.britishcycling.org.uk/points?person_id=523407&amp;year=2019&amp;type=national&amp;d=6","Results")</f>
        <v/>
      </c>
    </row>
    <row r="313" spans="1:5">
      <c r="A313" t="s">
        <v>794</v>
      </c>
      <c r="B313" t="s">
        <v>2019</v>
      </c>
      <c r="C313" t="s">
        <v>212</v>
      </c>
      <c r="D313" t="s">
        <v>145</v>
      </c>
      <c r="E313">
        <f>HYPERLINK("https://www.britishcycling.org.uk/points?person_id=464041&amp;year=2019&amp;type=national&amp;d=6","Results")</f>
        <v/>
      </c>
    </row>
    <row r="314" spans="1:5">
      <c r="A314" t="s">
        <v>797</v>
      </c>
      <c r="B314" t="s">
        <v>2020</v>
      </c>
      <c r="C314" t="s">
        <v>2021</v>
      </c>
      <c r="D314" t="s">
        <v>145</v>
      </c>
      <c r="E314">
        <f>HYPERLINK("https://www.britishcycling.org.uk/points?person_id=174358&amp;year=2019&amp;type=national&amp;d=6","Results")</f>
        <v/>
      </c>
    </row>
    <row r="315" spans="1:5">
      <c r="A315" t="s">
        <v>799</v>
      </c>
      <c r="B315" t="s">
        <v>2022</v>
      </c>
      <c r="C315" t="s">
        <v>1440</v>
      </c>
      <c r="D315" t="s">
        <v>141</v>
      </c>
      <c r="E315">
        <f>HYPERLINK("https://www.britishcycling.org.uk/points?person_id=392853&amp;year=2019&amp;type=national&amp;d=6","Results")</f>
        <v/>
      </c>
    </row>
    <row r="316" spans="1:5">
      <c r="A316" t="s">
        <v>801</v>
      </c>
      <c r="B316" t="s">
        <v>2023</v>
      </c>
      <c r="C316" t="s">
        <v>11</v>
      </c>
      <c r="D316" t="s">
        <v>141</v>
      </c>
      <c r="E316">
        <f>HYPERLINK("https://www.britishcycling.org.uk/points?person_id=21107&amp;year=2019&amp;type=national&amp;d=6","Results")</f>
        <v/>
      </c>
    </row>
    <row r="317" spans="1:5">
      <c r="A317" t="s">
        <v>803</v>
      </c>
      <c r="B317" t="s">
        <v>2024</v>
      </c>
      <c r="C317" t="s">
        <v>2025</v>
      </c>
      <c r="D317" t="s">
        <v>141</v>
      </c>
      <c r="E317">
        <f>HYPERLINK("https://www.britishcycling.org.uk/points?person_id=72332&amp;year=2019&amp;type=national&amp;d=6","Results")</f>
        <v/>
      </c>
    </row>
    <row r="318" spans="1:5">
      <c r="A318" t="s">
        <v>110</v>
      </c>
      <c r="B318" t="s">
        <v>2026</v>
      </c>
      <c r="C318" t="s">
        <v>2027</v>
      </c>
      <c r="D318" t="s">
        <v>141</v>
      </c>
      <c r="E318">
        <f>HYPERLINK("https://www.britishcycling.org.uk/points?person_id=248933&amp;year=2019&amp;type=national&amp;d=6","Results")</f>
        <v/>
      </c>
    </row>
    <row r="319" spans="1:5">
      <c r="A319" t="s">
        <v>806</v>
      </c>
      <c r="B319" t="s">
        <v>2028</v>
      </c>
      <c r="C319" t="s">
        <v>1936</v>
      </c>
      <c r="D319" t="s">
        <v>137</v>
      </c>
      <c r="E319">
        <f>HYPERLINK("https://www.britishcycling.org.uk/points?person_id=14302&amp;year=2019&amp;type=national&amp;d=6","Results")</f>
        <v/>
      </c>
    </row>
    <row r="320" spans="1:5">
      <c r="A320" t="s">
        <v>808</v>
      </c>
      <c r="B320" t="s">
        <v>2029</v>
      </c>
      <c r="C320" t="s">
        <v>1694</v>
      </c>
      <c r="D320" t="s">
        <v>137</v>
      </c>
      <c r="E320">
        <f>HYPERLINK("https://www.britishcycling.org.uk/points?person_id=104264&amp;year=2019&amp;type=national&amp;d=6","Results")</f>
        <v/>
      </c>
    </row>
    <row r="321" spans="1:5">
      <c r="A321" t="s">
        <v>810</v>
      </c>
      <c r="B321" t="s">
        <v>2030</v>
      </c>
      <c r="C321" t="s">
        <v>1699</v>
      </c>
      <c r="D321" t="s">
        <v>137</v>
      </c>
      <c r="E321">
        <f>HYPERLINK("https://www.britishcycling.org.uk/points?person_id=22809&amp;year=2019&amp;type=national&amp;d=6","Results")</f>
        <v/>
      </c>
    </row>
    <row r="322" spans="1:5">
      <c r="A322" t="s">
        <v>812</v>
      </c>
      <c r="B322" t="s">
        <v>2031</v>
      </c>
      <c r="C322" t="s">
        <v>2032</v>
      </c>
      <c r="D322" t="s">
        <v>133</v>
      </c>
      <c r="E322">
        <f>HYPERLINK("https://www.britishcycling.org.uk/points?person_id=702643&amp;year=2019&amp;type=national&amp;d=6","Results")</f>
        <v/>
      </c>
    </row>
    <row r="323" spans="1:5">
      <c r="A323" t="s">
        <v>815</v>
      </c>
      <c r="B323" t="s">
        <v>2033</v>
      </c>
      <c r="C323" t="s">
        <v>1621</v>
      </c>
      <c r="D323" t="s">
        <v>133</v>
      </c>
      <c r="E323">
        <f>HYPERLINK("https://www.britishcycling.org.uk/points?person_id=22801&amp;year=2019&amp;type=national&amp;d=6","Results")</f>
        <v/>
      </c>
    </row>
    <row r="324" spans="1:5">
      <c r="A324" t="s">
        <v>818</v>
      </c>
      <c r="B324" t="s">
        <v>2034</v>
      </c>
      <c r="C324" t="s">
        <v>216</v>
      </c>
      <c r="D324" t="s">
        <v>133</v>
      </c>
      <c r="E324">
        <f>HYPERLINK("https://www.britishcycling.org.uk/points?person_id=183486&amp;year=2019&amp;type=national&amp;d=6","Results")</f>
        <v/>
      </c>
    </row>
    <row r="325" spans="1:5">
      <c r="A325" t="s">
        <v>820</v>
      </c>
      <c r="B325" t="s">
        <v>2035</v>
      </c>
      <c r="C325" t="s">
        <v>1002</v>
      </c>
      <c r="D325" t="s">
        <v>133</v>
      </c>
      <c r="E325">
        <f>HYPERLINK("https://www.britishcycling.org.uk/points?person_id=46003&amp;year=2019&amp;type=national&amp;d=6","Results")</f>
        <v/>
      </c>
    </row>
    <row r="326" spans="1:5">
      <c r="A326" t="s">
        <v>823</v>
      </c>
      <c r="B326" t="s">
        <v>2036</v>
      </c>
      <c r="C326" t="s">
        <v>139</v>
      </c>
      <c r="D326" t="s">
        <v>133</v>
      </c>
      <c r="E326">
        <f>HYPERLINK("https://www.britishcycling.org.uk/points?person_id=294601&amp;year=2019&amp;type=national&amp;d=6","Results")</f>
        <v/>
      </c>
    </row>
    <row r="327" spans="1:5">
      <c r="A327" t="s">
        <v>825</v>
      </c>
      <c r="B327" t="s">
        <v>2037</v>
      </c>
      <c r="C327" t="s">
        <v>2038</v>
      </c>
      <c r="D327" t="s">
        <v>133</v>
      </c>
      <c r="E327">
        <f>HYPERLINK("https://www.britishcycling.org.uk/points?person_id=74358&amp;year=2019&amp;type=national&amp;d=6","Results")</f>
        <v/>
      </c>
    </row>
    <row r="328" spans="1:5">
      <c r="A328" t="s">
        <v>828</v>
      </c>
      <c r="B328" t="s">
        <v>2039</v>
      </c>
      <c r="C328" t="s">
        <v>1651</v>
      </c>
      <c r="D328" t="s">
        <v>133</v>
      </c>
      <c r="E328">
        <f>HYPERLINK("https://www.britishcycling.org.uk/points?person_id=108701&amp;year=2019&amp;type=national&amp;d=6","Results")</f>
        <v/>
      </c>
    </row>
    <row r="329" spans="1:5">
      <c r="A329" t="s">
        <v>106</v>
      </c>
      <c r="B329" t="s">
        <v>2040</v>
      </c>
      <c r="C329" t="s">
        <v>2041</v>
      </c>
      <c r="D329" t="s">
        <v>133</v>
      </c>
      <c r="E329">
        <f>HYPERLINK("https://www.britishcycling.org.uk/points?person_id=286662&amp;year=2019&amp;type=national&amp;d=6","Results")</f>
        <v/>
      </c>
    </row>
    <row r="330" spans="1:5">
      <c r="A330" t="s">
        <v>832</v>
      </c>
      <c r="B330" t="s">
        <v>2042</v>
      </c>
      <c r="C330" t="s">
        <v>403</v>
      </c>
      <c r="D330" t="s">
        <v>130</v>
      </c>
      <c r="E330">
        <f>HYPERLINK("https://www.britishcycling.org.uk/points?person_id=31520&amp;year=2019&amp;type=national&amp;d=6","Results")</f>
        <v/>
      </c>
    </row>
    <row r="331" spans="1:5">
      <c r="A331" t="s">
        <v>835</v>
      </c>
      <c r="B331" t="s">
        <v>2043</v>
      </c>
      <c r="C331" t="s">
        <v>2044</v>
      </c>
      <c r="D331" t="s">
        <v>130</v>
      </c>
      <c r="E331">
        <f>HYPERLINK("https://www.britishcycling.org.uk/points?person_id=168138&amp;year=2019&amp;type=national&amp;d=6","Results")</f>
        <v/>
      </c>
    </row>
    <row r="332" spans="1:5">
      <c r="A332" t="s">
        <v>838</v>
      </c>
      <c r="B332" t="s">
        <v>2045</v>
      </c>
      <c r="C332" t="s">
        <v>926</v>
      </c>
      <c r="D332" t="s">
        <v>130</v>
      </c>
      <c r="E332">
        <f>HYPERLINK("https://www.britishcycling.org.uk/points?person_id=99768&amp;year=2019&amp;type=national&amp;d=6","Results")</f>
        <v/>
      </c>
    </row>
    <row r="333" spans="1:5">
      <c r="A333" t="s">
        <v>840</v>
      </c>
      <c r="B333" t="s">
        <v>2046</v>
      </c>
      <c r="C333" t="s">
        <v>1925</v>
      </c>
      <c r="D333" t="s">
        <v>127</v>
      </c>
      <c r="E333">
        <f>HYPERLINK("https://www.britishcycling.org.uk/points?person_id=169425&amp;year=2019&amp;type=national&amp;d=6","Results")</f>
        <v/>
      </c>
    </row>
    <row r="334" spans="1:5">
      <c r="A334" t="s">
        <v>842</v>
      </c>
      <c r="B334" t="s">
        <v>2047</v>
      </c>
      <c r="C334" t="s">
        <v>1018</v>
      </c>
      <c r="D334" t="s">
        <v>127</v>
      </c>
      <c r="E334">
        <f>HYPERLINK("https://www.britishcycling.org.uk/points?person_id=652222&amp;year=2019&amp;type=national&amp;d=6","Results")</f>
        <v/>
      </c>
    </row>
    <row r="335" spans="1:5">
      <c r="A335" t="s">
        <v>845</v>
      </c>
      <c r="B335" t="s">
        <v>2048</v>
      </c>
      <c r="C335" t="s">
        <v>1253</v>
      </c>
      <c r="D335" t="s">
        <v>123</v>
      </c>
      <c r="E335">
        <f>HYPERLINK("https://www.britishcycling.org.uk/points?person_id=614390&amp;year=2019&amp;type=national&amp;d=6","Results")</f>
        <v/>
      </c>
    </row>
    <row r="336" spans="1:5">
      <c r="A336" t="s">
        <v>848</v>
      </c>
      <c r="B336" t="s">
        <v>2049</v>
      </c>
      <c r="C336" t="s">
        <v>1998</v>
      </c>
      <c r="D336" t="s">
        <v>123</v>
      </c>
      <c r="E336">
        <f>HYPERLINK("https://www.britishcycling.org.uk/points?person_id=49266&amp;year=2019&amp;type=national&amp;d=6","Results")</f>
        <v/>
      </c>
    </row>
    <row r="337" spans="1:5">
      <c r="A337" t="s">
        <v>102</v>
      </c>
      <c r="B337" t="s">
        <v>2050</v>
      </c>
      <c r="C337" t="s">
        <v>1397</v>
      </c>
      <c r="D337" t="s">
        <v>123</v>
      </c>
      <c r="E337">
        <f>HYPERLINK("https://www.britishcycling.org.uk/points?person_id=10213&amp;year=2019&amp;type=national&amp;d=6","Results")</f>
        <v/>
      </c>
    </row>
    <row r="338" spans="1:5">
      <c r="A338" t="s">
        <v>851</v>
      </c>
      <c r="B338" t="s">
        <v>2051</v>
      </c>
      <c r="C338" t="s">
        <v>2052</v>
      </c>
      <c r="D338" t="s">
        <v>123</v>
      </c>
      <c r="E338">
        <f>HYPERLINK("https://www.britishcycling.org.uk/points?person_id=49897&amp;year=2019&amp;type=national&amp;d=6","Results")</f>
        <v/>
      </c>
    </row>
    <row r="339" spans="1:5">
      <c r="A339" t="s">
        <v>854</v>
      </c>
      <c r="B339" t="s">
        <v>2053</v>
      </c>
      <c r="C339" t="s">
        <v>2054</v>
      </c>
      <c r="D339" t="s">
        <v>123</v>
      </c>
      <c r="E339">
        <f>HYPERLINK("https://www.britishcycling.org.uk/points?person_id=257462&amp;year=2019&amp;type=national&amp;d=6","Results")</f>
        <v/>
      </c>
    </row>
    <row r="340" spans="1:5">
      <c r="A340" t="s">
        <v>857</v>
      </c>
      <c r="B340" t="s">
        <v>2055</v>
      </c>
      <c r="C340" t="s">
        <v>2056</v>
      </c>
      <c r="D340" t="s">
        <v>123</v>
      </c>
      <c r="E340">
        <f>HYPERLINK("https://www.britishcycling.org.uk/points?person_id=725072&amp;year=2019&amp;type=national&amp;d=6","Results")</f>
        <v/>
      </c>
    </row>
    <row r="341" spans="1:5">
      <c r="A341" t="s">
        <v>98</v>
      </c>
      <c r="B341" t="s">
        <v>2057</v>
      </c>
      <c r="C341" t="s">
        <v>2058</v>
      </c>
      <c r="D341" t="s">
        <v>123</v>
      </c>
      <c r="E341">
        <f>HYPERLINK("https://www.britishcycling.org.uk/points?person_id=410419&amp;year=2019&amp;type=national&amp;d=6","Results")</f>
        <v/>
      </c>
    </row>
    <row r="342" spans="1:5">
      <c r="A342" t="s">
        <v>860</v>
      </c>
      <c r="B342" t="s">
        <v>2059</v>
      </c>
      <c r="C342" t="s">
        <v>2060</v>
      </c>
      <c r="D342" t="s">
        <v>123</v>
      </c>
      <c r="E342">
        <f>HYPERLINK("https://www.britishcycling.org.uk/points?person_id=379014&amp;year=2019&amp;type=national&amp;d=6","Results")</f>
        <v/>
      </c>
    </row>
    <row r="343" spans="1:5">
      <c r="A343" t="s">
        <v>862</v>
      </c>
      <c r="B343" t="s">
        <v>2061</v>
      </c>
      <c r="C343" t="s">
        <v>1002</v>
      </c>
      <c r="D343" t="s">
        <v>119</v>
      </c>
      <c r="E343">
        <f>HYPERLINK("https://www.britishcycling.org.uk/points?person_id=107595&amp;year=2019&amp;type=national&amp;d=6","Results")</f>
        <v/>
      </c>
    </row>
    <row r="344" spans="1:5">
      <c r="A344" t="s">
        <v>864</v>
      </c>
      <c r="B344" t="s">
        <v>2062</v>
      </c>
      <c r="C344" t="s">
        <v>1945</v>
      </c>
      <c r="D344" t="s">
        <v>119</v>
      </c>
      <c r="E344">
        <f>HYPERLINK("https://www.britishcycling.org.uk/points?person_id=221577&amp;year=2019&amp;type=national&amp;d=6","Results")</f>
        <v/>
      </c>
    </row>
    <row r="345" spans="1:5">
      <c r="A345" t="s">
        <v>867</v>
      </c>
      <c r="B345" t="s">
        <v>2063</v>
      </c>
      <c r="C345" t="s">
        <v>1332</v>
      </c>
      <c r="D345" t="s">
        <v>119</v>
      </c>
      <c r="E345">
        <f>HYPERLINK("https://www.britishcycling.org.uk/points?person_id=266222&amp;year=2019&amp;type=national&amp;d=6","Results")</f>
        <v/>
      </c>
    </row>
    <row r="346" spans="1:5">
      <c r="A346" t="s">
        <v>869</v>
      </c>
      <c r="B346" t="s">
        <v>2064</v>
      </c>
      <c r="C346" t="s">
        <v>1694</v>
      </c>
      <c r="D346" t="s">
        <v>119</v>
      </c>
      <c r="E346">
        <f>HYPERLINK("https://www.britishcycling.org.uk/points?person_id=302293&amp;year=2019&amp;type=national&amp;d=6","Results")</f>
        <v/>
      </c>
    </row>
    <row r="347" spans="1:5">
      <c r="A347" t="s">
        <v>871</v>
      </c>
      <c r="B347" t="s">
        <v>2065</v>
      </c>
      <c r="C347" t="s">
        <v>2066</v>
      </c>
      <c r="D347" t="s">
        <v>119</v>
      </c>
      <c r="E347">
        <f>HYPERLINK("https://www.britishcycling.org.uk/points?person_id=691137&amp;year=2019&amp;type=national&amp;d=6","Results")</f>
        <v/>
      </c>
    </row>
    <row r="348" spans="1:5">
      <c r="A348" t="s">
        <v>873</v>
      </c>
      <c r="B348" t="s">
        <v>2067</v>
      </c>
      <c r="C348" t="s">
        <v>2068</v>
      </c>
      <c r="D348" t="s">
        <v>119</v>
      </c>
      <c r="E348">
        <f>HYPERLINK("https://www.britishcycling.org.uk/points?person_id=397295&amp;year=2019&amp;type=national&amp;d=6","Results")</f>
        <v/>
      </c>
    </row>
    <row r="349" spans="1:5">
      <c r="A349" t="s">
        <v>875</v>
      </c>
      <c r="B349" t="s">
        <v>1425</v>
      </c>
      <c r="C349" t="s">
        <v>283</v>
      </c>
      <c r="D349" t="s">
        <v>119</v>
      </c>
      <c r="E349">
        <f>HYPERLINK("https://www.britishcycling.org.uk/points?person_id=477623&amp;year=2019&amp;type=national&amp;d=6","Results")</f>
        <v/>
      </c>
    </row>
    <row r="350" spans="1:5">
      <c r="A350" t="s">
        <v>877</v>
      </c>
      <c r="B350" t="s">
        <v>2069</v>
      </c>
      <c r="C350" t="s">
        <v>1699</v>
      </c>
      <c r="D350" t="s">
        <v>115</v>
      </c>
      <c r="E350">
        <f>HYPERLINK("https://www.britishcycling.org.uk/points?person_id=673109&amp;year=2019&amp;type=national&amp;d=6","Results")</f>
        <v/>
      </c>
    </row>
    <row r="351" spans="1:5">
      <c r="A351" t="s">
        <v>880</v>
      </c>
      <c r="B351" t="s">
        <v>2070</v>
      </c>
      <c r="C351" t="s">
        <v>1760</v>
      </c>
      <c r="D351" t="s">
        <v>115</v>
      </c>
      <c r="E351">
        <f>HYPERLINK("https://www.britishcycling.org.uk/points?person_id=732504&amp;year=2019&amp;type=national&amp;d=6","Results")</f>
        <v/>
      </c>
    </row>
    <row r="352" spans="1:5">
      <c r="A352" t="s">
        <v>882</v>
      </c>
      <c r="B352" t="s">
        <v>2071</v>
      </c>
      <c r="C352" t="s">
        <v>312</v>
      </c>
      <c r="D352" t="s">
        <v>115</v>
      </c>
      <c r="E352">
        <f>HYPERLINK("https://www.britishcycling.org.uk/points?person_id=205790&amp;year=2019&amp;type=national&amp;d=6","Results")</f>
        <v/>
      </c>
    </row>
    <row r="353" spans="1:5">
      <c r="A353" t="s">
        <v>885</v>
      </c>
      <c r="B353" t="s">
        <v>2072</v>
      </c>
      <c r="C353" t="s">
        <v>1681</v>
      </c>
      <c r="D353" t="s">
        <v>115</v>
      </c>
      <c r="E353">
        <f>HYPERLINK("https://www.britishcycling.org.uk/points?person_id=235348&amp;year=2019&amp;type=national&amp;d=6","Results")</f>
        <v/>
      </c>
    </row>
    <row r="354" spans="1:5">
      <c r="A354" t="s">
        <v>888</v>
      </c>
      <c r="B354" t="s">
        <v>2073</v>
      </c>
      <c r="C354" t="s">
        <v>2074</v>
      </c>
      <c r="D354" t="s">
        <v>115</v>
      </c>
      <c r="E354">
        <f>HYPERLINK("https://www.britishcycling.org.uk/points?person_id=134391&amp;year=2019&amp;type=national&amp;d=6","Results")</f>
        <v/>
      </c>
    </row>
    <row r="355" spans="1:5">
      <c r="A355" t="s">
        <v>890</v>
      </c>
      <c r="B355" t="s">
        <v>1442</v>
      </c>
      <c r="C355" t="s">
        <v>1443</v>
      </c>
      <c r="D355" t="s">
        <v>115</v>
      </c>
      <c r="E355">
        <f>HYPERLINK("https://www.britishcycling.org.uk/points?person_id=260883&amp;year=2019&amp;type=national&amp;d=6","Results")</f>
        <v/>
      </c>
    </row>
    <row r="356" spans="1:5">
      <c r="A356" t="s">
        <v>892</v>
      </c>
      <c r="B356" t="s">
        <v>2075</v>
      </c>
      <c r="C356" t="s">
        <v>1907</v>
      </c>
      <c r="D356" t="s">
        <v>111</v>
      </c>
      <c r="E356">
        <f>HYPERLINK("https://www.britishcycling.org.uk/points?person_id=430136&amp;year=2019&amp;type=national&amp;d=6","Results")</f>
        <v/>
      </c>
    </row>
    <row r="357" spans="1:5">
      <c r="A357" t="s">
        <v>894</v>
      </c>
      <c r="B357" t="s">
        <v>2076</v>
      </c>
      <c r="C357" t="s">
        <v>299</v>
      </c>
      <c r="D357" t="s">
        <v>111</v>
      </c>
      <c r="E357">
        <f>HYPERLINK("https://www.britishcycling.org.uk/points?person_id=243017&amp;year=2019&amp;type=national&amp;d=6","Results")</f>
        <v/>
      </c>
    </row>
    <row r="358" spans="1:5">
      <c r="A358" t="s">
        <v>897</v>
      </c>
      <c r="B358" t="s">
        <v>2077</v>
      </c>
      <c r="C358" t="s">
        <v>947</v>
      </c>
      <c r="D358" t="s">
        <v>111</v>
      </c>
      <c r="E358">
        <f>HYPERLINK("https://www.britishcycling.org.uk/points?person_id=198195&amp;year=2019&amp;type=national&amp;d=6","Results")</f>
        <v/>
      </c>
    </row>
    <row r="359" spans="1:5">
      <c r="A359" t="s">
        <v>95</v>
      </c>
      <c r="B359" t="s">
        <v>2078</v>
      </c>
      <c r="C359" t="s">
        <v>1113</v>
      </c>
      <c r="D359" t="s">
        <v>111</v>
      </c>
      <c r="E359">
        <f>HYPERLINK("https://www.britishcycling.org.uk/points?person_id=497930&amp;year=2019&amp;type=national&amp;d=6","Results")</f>
        <v/>
      </c>
    </row>
    <row r="360" spans="1:5">
      <c r="A360" t="s">
        <v>901</v>
      </c>
      <c r="B360" t="s">
        <v>2079</v>
      </c>
      <c r="C360" t="s">
        <v>2080</v>
      </c>
      <c r="D360" t="s">
        <v>111</v>
      </c>
      <c r="E360">
        <f>HYPERLINK("https://www.britishcycling.org.uk/points?person_id=270002&amp;year=2019&amp;type=national&amp;d=6","Results")</f>
        <v/>
      </c>
    </row>
    <row r="361" spans="1:5">
      <c r="A361" t="s">
        <v>904</v>
      </c>
      <c r="B361" t="s">
        <v>2081</v>
      </c>
      <c r="C361" t="s">
        <v>2082</v>
      </c>
      <c r="D361" t="s">
        <v>111</v>
      </c>
      <c r="E361">
        <f>HYPERLINK("https://www.britishcycling.org.uk/points?person_id=382055&amp;year=2019&amp;type=national&amp;d=6","Results")</f>
        <v/>
      </c>
    </row>
    <row r="362" spans="1:5">
      <c r="A362" t="s">
        <v>906</v>
      </c>
      <c r="B362" t="s">
        <v>1454</v>
      </c>
      <c r="C362" t="s">
        <v>691</v>
      </c>
      <c r="D362" t="s">
        <v>107</v>
      </c>
      <c r="E362">
        <f>HYPERLINK("https://www.britishcycling.org.uk/points?person_id=676667&amp;year=2019&amp;type=national&amp;d=6","Results")</f>
        <v/>
      </c>
    </row>
    <row r="363" spans="1:5">
      <c r="A363" t="s">
        <v>2083</v>
      </c>
      <c r="B363" t="s">
        <v>2084</v>
      </c>
      <c r="C363" t="s">
        <v>2085</v>
      </c>
      <c r="D363" t="s">
        <v>107</v>
      </c>
      <c r="E363">
        <f>HYPERLINK("https://www.britishcycling.org.uk/points?person_id=245549&amp;year=2019&amp;type=national&amp;d=6","Results")</f>
        <v/>
      </c>
    </row>
    <row r="364" spans="1:5">
      <c r="A364" t="s">
        <v>2086</v>
      </c>
      <c r="B364" t="s">
        <v>1359</v>
      </c>
      <c r="C364" t="s">
        <v>230</v>
      </c>
      <c r="D364" t="s">
        <v>107</v>
      </c>
      <c r="E364">
        <f>HYPERLINK("https://www.britishcycling.org.uk/points?person_id=444211&amp;year=2019&amp;type=national&amp;d=6","Results")</f>
        <v/>
      </c>
    </row>
    <row r="365" spans="1:5">
      <c r="A365" t="s">
        <v>941</v>
      </c>
      <c r="B365" t="s">
        <v>2087</v>
      </c>
      <c r="C365" t="s">
        <v>1706</v>
      </c>
      <c r="D365" t="s">
        <v>107</v>
      </c>
      <c r="E365">
        <f>HYPERLINK("https://www.britishcycling.org.uk/points?person_id=344172&amp;year=2019&amp;type=national&amp;d=6","Results")</f>
        <v/>
      </c>
    </row>
    <row r="366" spans="1:5">
      <c r="A366" t="s">
        <v>2088</v>
      </c>
      <c r="B366" t="s">
        <v>2089</v>
      </c>
      <c r="C366" t="s">
        <v>2090</v>
      </c>
      <c r="D366" t="s">
        <v>107</v>
      </c>
      <c r="E366">
        <f>HYPERLINK("https://www.britishcycling.org.uk/points?person_id=42448&amp;year=2019&amp;type=national&amp;d=6","Results")</f>
        <v/>
      </c>
    </row>
    <row r="367" spans="1:5">
      <c r="A367" t="s">
        <v>91</v>
      </c>
      <c r="B367" t="s">
        <v>2091</v>
      </c>
      <c r="C367" t="s">
        <v>49</v>
      </c>
      <c r="D367" t="s">
        <v>107</v>
      </c>
      <c r="E367">
        <f>HYPERLINK("https://www.britishcycling.org.uk/points?person_id=44093&amp;year=2019&amp;type=national&amp;d=6","Results")</f>
        <v/>
      </c>
    </row>
    <row r="368" spans="1:5">
      <c r="A368" t="s">
        <v>2092</v>
      </c>
      <c r="B368" t="s">
        <v>1455</v>
      </c>
      <c r="C368" t="s">
        <v>1456</v>
      </c>
      <c r="D368" t="s">
        <v>103</v>
      </c>
      <c r="E368">
        <f>HYPERLINK("https://www.britishcycling.org.uk/points?person_id=832398&amp;year=2019&amp;type=national&amp;d=6","Results")</f>
        <v/>
      </c>
    </row>
    <row r="369" spans="1:5">
      <c r="A369" t="s">
        <v>1649</v>
      </c>
      <c r="B369" t="s">
        <v>2093</v>
      </c>
      <c r="C369" t="s">
        <v>1664</v>
      </c>
      <c r="D369" t="s">
        <v>103</v>
      </c>
      <c r="E369">
        <f>HYPERLINK("https://www.britishcycling.org.uk/points?person_id=99323&amp;year=2019&amp;type=national&amp;d=6","Results")</f>
        <v/>
      </c>
    </row>
    <row r="370" spans="1:5">
      <c r="A370" t="s">
        <v>2094</v>
      </c>
      <c r="B370" t="s">
        <v>2095</v>
      </c>
      <c r="C370" t="s">
        <v>2096</v>
      </c>
      <c r="D370" t="s">
        <v>103</v>
      </c>
      <c r="E370">
        <f>HYPERLINK("https://www.britishcycling.org.uk/points?person_id=299750&amp;year=2019&amp;type=national&amp;d=6","Results")</f>
        <v/>
      </c>
    </row>
    <row r="371" spans="1:5">
      <c r="A371" t="s">
        <v>2097</v>
      </c>
      <c r="B371" t="s">
        <v>2098</v>
      </c>
      <c r="C371" t="s">
        <v>2099</v>
      </c>
      <c r="D371" t="s">
        <v>99</v>
      </c>
      <c r="E371">
        <f>HYPERLINK("https://www.britishcycling.org.uk/points?person_id=747034&amp;year=2019&amp;type=national&amp;d=6","Results")</f>
        <v/>
      </c>
    </row>
    <row r="372" spans="1:5">
      <c r="A372" t="s">
        <v>88</v>
      </c>
      <c r="B372" t="s">
        <v>2100</v>
      </c>
      <c r="C372" t="s">
        <v>2101</v>
      </c>
      <c r="D372" t="s">
        <v>99</v>
      </c>
      <c r="E372">
        <f>HYPERLINK("https://www.britishcycling.org.uk/points?person_id=223470&amp;year=2019&amp;type=national&amp;d=6","Results")</f>
        <v/>
      </c>
    </row>
    <row r="373" spans="1:5">
      <c r="A373" t="s">
        <v>2102</v>
      </c>
      <c r="B373" t="s">
        <v>2103</v>
      </c>
      <c r="C373" t="s">
        <v>2104</v>
      </c>
      <c r="D373" t="s">
        <v>99</v>
      </c>
      <c r="E373">
        <f>HYPERLINK("https://www.britishcycling.org.uk/points?person_id=651560&amp;year=2019&amp;type=national&amp;d=6","Results")</f>
        <v/>
      </c>
    </row>
    <row r="374" spans="1:5">
      <c r="A374" t="s">
        <v>2105</v>
      </c>
      <c r="B374" t="s">
        <v>2106</v>
      </c>
      <c r="C374" t="s">
        <v>1354</v>
      </c>
      <c r="D374" t="s">
        <v>99</v>
      </c>
      <c r="E374">
        <f>HYPERLINK("https://www.britishcycling.org.uk/points?person_id=47407&amp;year=2019&amp;type=national&amp;d=6","Results")</f>
        <v/>
      </c>
    </row>
    <row r="375" spans="1:5">
      <c r="A375" t="s">
        <v>2107</v>
      </c>
      <c r="B375" t="s">
        <v>2108</v>
      </c>
      <c r="C375" t="s">
        <v>2109</v>
      </c>
      <c r="D375" t="s">
        <v>99</v>
      </c>
      <c r="E375">
        <f>HYPERLINK("https://www.britishcycling.org.uk/points?person_id=824789&amp;year=2019&amp;type=national&amp;d=6","Results")</f>
        <v/>
      </c>
    </row>
    <row r="376" spans="1:5">
      <c r="A376" t="s">
        <v>2110</v>
      </c>
      <c r="B376" t="s">
        <v>2111</v>
      </c>
      <c r="C376" t="s">
        <v>65</v>
      </c>
      <c r="D376" t="s">
        <v>99</v>
      </c>
      <c r="E376">
        <f>HYPERLINK("https://www.britishcycling.org.uk/points?person_id=30980&amp;year=2019&amp;type=national&amp;d=6","Results")</f>
        <v/>
      </c>
    </row>
    <row r="377" spans="1:5">
      <c r="A377" t="s">
        <v>84</v>
      </c>
      <c r="B377" t="s">
        <v>2112</v>
      </c>
      <c r="C377" t="s">
        <v>1294</v>
      </c>
      <c r="D377" t="s">
        <v>99</v>
      </c>
      <c r="E377">
        <f>HYPERLINK("https://www.britishcycling.org.uk/points?person_id=189279&amp;year=2019&amp;type=national&amp;d=6","Results")</f>
        <v/>
      </c>
    </row>
    <row r="378" spans="1:5">
      <c r="A378" t="s">
        <v>2113</v>
      </c>
      <c r="B378" t="s">
        <v>2114</v>
      </c>
      <c r="C378" t="s">
        <v>2115</v>
      </c>
      <c r="D378" t="s">
        <v>96</v>
      </c>
      <c r="E378">
        <f>HYPERLINK("https://www.britishcycling.org.uk/points?person_id=174810&amp;year=2019&amp;type=national&amp;d=6","Results")</f>
        <v/>
      </c>
    </row>
    <row r="379" spans="1:5">
      <c r="A379" t="s">
        <v>2116</v>
      </c>
      <c r="B379" t="s">
        <v>2117</v>
      </c>
      <c r="C379" t="s">
        <v>2118</v>
      </c>
      <c r="D379" t="s">
        <v>96</v>
      </c>
      <c r="E379">
        <f>HYPERLINK("https://www.britishcycling.org.uk/points?person_id=219258&amp;year=2019&amp;type=national&amp;d=6","Results")</f>
        <v/>
      </c>
    </row>
    <row r="380" spans="1:5">
      <c r="A380" t="s">
        <v>2119</v>
      </c>
      <c r="B380" t="s">
        <v>2120</v>
      </c>
      <c r="C380" t="s">
        <v>1635</v>
      </c>
      <c r="D380" t="s">
        <v>96</v>
      </c>
      <c r="E380">
        <f>HYPERLINK("https://www.britishcycling.org.uk/points?person_id=14376&amp;year=2019&amp;type=national&amp;d=6","Results")</f>
        <v/>
      </c>
    </row>
    <row r="381" spans="1:5">
      <c r="A381" t="s">
        <v>2121</v>
      </c>
      <c r="B381" t="s">
        <v>2122</v>
      </c>
      <c r="C381" t="s">
        <v>2123</v>
      </c>
      <c r="D381" t="s">
        <v>96</v>
      </c>
      <c r="E381">
        <f>HYPERLINK("https://www.britishcycling.org.uk/points?person_id=348017&amp;year=2019&amp;type=national&amp;d=6","Results")</f>
        <v/>
      </c>
    </row>
    <row r="382" spans="1:5">
      <c r="A382" t="s">
        <v>2124</v>
      </c>
      <c r="B382" t="s">
        <v>2125</v>
      </c>
      <c r="C382" t="s">
        <v>2126</v>
      </c>
      <c r="D382" t="s">
        <v>96</v>
      </c>
      <c r="E382">
        <f>HYPERLINK("https://www.britishcycling.org.uk/points?person_id=7182&amp;year=2019&amp;type=national&amp;d=6","Results")</f>
        <v/>
      </c>
    </row>
    <row r="383" spans="1:5">
      <c r="A383" t="s">
        <v>2127</v>
      </c>
      <c r="B383" t="s">
        <v>2128</v>
      </c>
      <c r="C383" t="s">
        <v>2129</v>
      </c>
      <c r="D383" t="s">
        <v>96</v>
      </c>
      <c r="E383">
        <f>HYPERLINK("https://www.britishcycling.org.uk/points?person_id=20077&amp;year=2019&amp;type=national&amp;d=6","Results")</f>
        <v/>
      </c>
    </row>
    <row r="384" spans="1:5">
      <c r="A384" t="s">
        <v>2130</v>
      </c>
      <c r="B384" t="s">
        <v>2131</v>
      </c>
      <c r="C384" t="s">
        <v>2132</v>
      </c>
      <c r="D384" t="s">
        <v>96</v>
      </c>
      <c r="E384">
        <f>HYPERLINK("https://www.britishcycling.org.uk/points?person_id=226248&amp;year=2019&amp;type=national&amp;d=6","Results")</f>
        <v/>
      </c>
    </row>
    <row r="385" spans="1:5">
      <c r="A385" t="s">
        <v>81</v>
      </c>
      <c r="B385" t="s">
        <v>2133</v>
      </c>
      <c r="C385" t="s">
        <v>2134</v>
      </c>
      <c r="D385" t="s">
        <v>96</v>
      </c>
      <c r="E385">
        <f>HYPERLINK("https://www.britishcycling.org.uk/points?person_id=186483&amp;year=2019&amp;type=national&amp;d=6","Results")</f>
        <v/>
      </c>
    </row>
    <row r="386" spans="1:5">
      <c r="A386" t="s">
        <v>2135</v>
      </c>
      <c r="B386" t="s">
        <v>2136</v>
      </c>
      <c r="C386" t="s"/>
      <c r="D386" t="s">
        <v>96</v>
      </c>
      <c r="E386">
        <f>HYPERLINK("https://www.britishcycling.org.uk/points?person_id=102897&amp;year=2019&amp;type=national&amp;d=6","Results")</f>
        <v/>
      </c>
    </row>
    <row r="387" spans="1:5">
      <c r="A387" t="s">
        <v>2137</v>
      </c>
      <c r="B387" t="s">
        <v>2138</v>
      </c>
      <c r="C387" t="s">
        <v>2139</v>
      </c>
      <c r="D387" t="s">
        <v>96</v>
      </c>
      <c r="E387">
        <f>HYPERLINK("https://www.britishcycling.org.uk/points?person_id=131107&amp;year=2019&amp;type=national&amp;d=6","Results")</f>
        <v/>
      </c>
    </row>
    <row r="388" spans="1:5">
      <c r="A388" t="s">
        <v>2140</v>
      </c>
      <c r="B388" t="s">
        <v>2141</v>
      </c>
      <c r="C388" t="s">
        <v>2142</v>
      </c>
      <c r="D388" t="s">
        <v>92</v>
      </c>
      <c r="E388">
        <f>HYPERLINK("https://www.britishcycling.org.uk/points?person_id=23045&amp;year=2019&amp;type=national&amp;d=6","Results")</f>
        <v/>
      </c>
    </row>
    <row r="389" spans="1:5">
      <c r="A389" t="s">
        <v>1646</v>
      </c>
      <c r="B389" t="s">
        <v>2143</v>
      </c>
      <c r="C389" t="s">
        <v>1724</v>
      </c>
      <c r="D389" t="s">
        <v>92</v>
      </c>
      <c r="E389">
        <f>HYPERLINK("https://www.britishcycling.org.uk/points?person_id=515076&amp;year=2019&amp;type=national&amp;d=6","Results")</f>
        <v/>
      </c>
    </row>
    <row r="390" spans="1:5">
      <c r="A390" t="s">
        <v>2144</v>
      </c>
      <c r="B390" t="s">
        <v>2145</v>
      </c>
      <c r="C390" t="s"/>
      <c r="D390" t="s">
        <v>89</v>
      </c>
      <c r="E390">
        <f>HYPERLINK("https://www.britishcycling.org.uk/points?person_id=4840&amp;year=2019&amp;type=national&amp;d=6","Results")</f>
        <v/>
      </c>
    </row>
    <row r="391" spans="1:5">
      <c r="A391" t="s">
        <v>1341</v>
      </c>
      <c r="B391" t="s">
        <v>2146</v>
      </c>
      <c r="C391" t="s">
        <v>1391</v>
      </c>
      <c r="D391" t="s">
        <v>89</v>
      </c>
      <c r="E391">
        <f>HYPERLINK("https://www.britishcycling.org.uk/points?person_id=69219&amp;year=2019&amp;type=national&amp;d=6","Results")</f>
        <v/>
      </c>
    </row>
    <row r="392" spans="1:5">
      <c r="A392" t="s">
        <v>2147</v>
      </c>
      <c r="B392" t="s">
        <v>2148</v>
      </c>
      <c r="C392" t="s">
        <v>2149</v>
      </c>
      <c r="D392" t="s">
        <v>89</v>
      </c>
      <c r="E392">
        <f>HYPERLINK("https://www.britishcycling.org.uk/points?person_id=347498&amp;year=2019&amp;type=national&amp;d=6","Results")</f>
        <v/>
      </c>
    </row>
    <row r="393" spans="1:5">
      <c r="A393" t="s">
        <v>1338</v>
      </c>
      <c r="B393" t="s">
        <v>1463</v>
      </c>
      <c r="C393" t="s">
        <v>959</v>
      </c>
      <c r="D393" t="s">
        <v>89</v>
      </c>
      <c r="E393">
        <f>HYPERLINK("https://www.britishcycling.org.uk/points?person_id=390791&amp;year=2019&amp;type=national&amp;d=6","Results")</f>
        <v/>
      </c>
    </row>
    <row r="394" spans="1:5">
      <c r="A394" t="s">
        <v>2150</v>
      </c>
      <c r="B394" t="s">
        <v>2151</v>
      </c>
      <c r="C394" t="s">
        <v>2080</v>
      </c>
      <c r="D394" t="s">
        <v>89</v>
      </c>
      <c r="E394">
        <f>HYPERLINK("https://www.britishcycling.org.uk/points?person_id=267690&amp;year=2019&amp;type=national&amp;d=6","Results")</f>
        <v/>
      </c>
    </row>
    <row r="395" spans="1:5">
      <c r="A395" t="s">
        <v>938</v>
      </c>
      <c r="B395" t="s">
        <v>2152</v>
      </c>
      <c r="C395" t="s">
        <v>407</v>
      </c>
      <c r="D395" t="s">
        <v>89</v>
      </c>
      <c r="E395">
        <f>HYPERLINK("https://www.britishcycling.org.uk/points?person_id=436523&amp;year=2019&amp;type=national&amp;d=6","Results")</f>
        <v/>
      </c>
    </row>
    <row r="396" spans="1:5">
      <c r="A396" t="s">
        <v>2153</v>
      </c>
      <c r="B396" t="s">
        <v>2154</v>
      </c>
      <c r="C396" t="s">
        <v>2155</v>
      </c>
      <c r="D396" t="s">
        <v>89</v>
      </c>
      <c r="E396">
        <f>HYPERLINK("https://www.britishcycling.org.uk/points?person_id=536631&amp;year=2019&amp;type=national&amp;d=6","Results")</f>
        <v/>
      </c>
    </row>
    <row r="397" spans="1:5">
      <c r="A397" t="s">
        <v>1643</v>
      </c>
      <c r="B397" t="s">
        <v>2156</v>
      </c>
      <c r="C397" t="s">
        <v>940</v>
      </c>
      <c r="D397" t="s">
        <v>89</v>
      </c>
      <c r="E397">
        <f>HYPERLINK("https://www.britishcycling.org.uk/points?person_id=106869&amp;year=2019&amp;type=national&amp;d=6","Results")</f>
        <v/>
      </c>
    </row>
    <row r="398" spans="1:5">
      <c r="A398" t="s">
        <v>2157</v>
      </c>
      <c r="B398" t="s">
        <v>2158</v>
      </c>
      <c r="C398" t="s">
        <v>2159</v>
      </c>
      <c r="D398" t="s">
        <v>89</v>
      </c>
      <c r="E398">
        <f>HYPERLINK("https://www.britishcycling.org.uk/points?person_id=105944&amp;year=2019&amp;type=national&amp;d=6","Results")</f>
        <v/>
      </c>
    </row>
    <row r="399" spans="1:5">
      <c r="A399" t="s">
        <v>1336</v>
      </c>
      <c r="B399" t="s">
        <v>2160</v>
      </c>
      <c r="C399" t="s">
        <v>2161</v>
      </c>
      <c r="D399" t="s">
        <v>89</v>
      </c>
      <c r="E399">
        <f>HYPERLINK("https://www.britishcycling.org.uk/points?person_id=73475&amp;year=2019&amp;type=national&amp;d=6","Results")</f>
        <v/>
      </c>
    </row>
    <row r="400" spans="1:5">
      <c r="A400" t="s">
        <v>77</v>
      </c>
      <c r="B400" t="s">
        <v>2162</v>
      </c>
      <c r="C400" t="s"/>
      <c r="D400" t="s">
        <v>89</v>
      </c>
      <c r="E400">
        <f>HYPERLINK("https://www.britishcycling.org.uk/points?person_id=34620&amp;year=2019&amp;type=national&amp;d=6","Results")</f>
        <v/>
      </c>
    </row>
    <row r="401" spans="1:5">
      <c r="A401" t="s">
        <v>2163</v>
      </c>
      <c r="B401" t="s">
        <v>2164</v>
      </c>
      <c r="C401" t="s">
        <v>2165</v>
      </c>
      <c r="D401" t="s">
        <v>89</v>
      </c>
      <c r="E401">
        <f>HYPERLINK("https://www.britishcycling.org.uk/points?person_id=68389&amp;year=2019&amp;type=national&amp;d=6","Results")</f>
        <v/>
      </c>
    </row>
    <row r="402" spans="1:5">
      <c r="A402" t="s">
        <v>2166</v>
      </c>
      <c r="B402" t="s">
        <v>2167</v>
      </c>
      <c r="C402" t="s">
        <v>1420</v>
      </c>
      <c r="D402" t="s">
        <v>89</v>
      </c>
      <c r="E402">
        <f>HYPERLINK("https://www.britishcycling.org.uk/points?person_id=354935&amp;year=2019&amp;type=national&amp;d=6","Results")</f>
        <v/>
      </c>
    </row>
    <row r="403" spans="1:5">
      <c r="A403" t="s">
        <v>2168</v>
      </c>
      <c r="B403" t="s">
        <v>2169</v>
      </c>
      <c r="C403" t="s">
        <v>2170</v>
      </c>
      <c r="D403" t="s">
        <v>89</v>
      </c>
      <c r="E403">
        <f>HYPERLINK("https://www.britishcycling.org.uk/points?person_id=770033&amp;year=2019&amp;type=national&amp;d=6","Results")</f>
        <v/>
      </c>
    </row>
    <row r="404" spans="1:5">
      <c r="A404" t="s">
        <v>2171</v>
      </c>
      <c r="B404" t="s">
        <v>2172</v>
      </c>
      <c r="C404" t="s"/>
      <c r="D404" t="s">
        <v>85</v>
      </c>
      <c r="E404">
        <f>HYPERLINK("https://www.britishcycling.org.uk/points?person_id=385580&amp;year=2019&amp;type=national&amp;d=6","Results")</f>
        <v/>
      </c>
    </row>
    <row r="405" spans="1:5">
      <c r="A405" t="s">
        <v>2173</v>
      </c>
      <c r="B405" t="s">
        <v>2174</v>
      </c>
      <c r="C405" t="s">
        <v>1440</v>
      </c>
      <c r="D405" t="s">
        <v>85</v>
      </c>
      <c r="E405">
        <f>HYPERLINK("https://www.britishcycling.org.uk/points?person_id=769060&amp;year=2019&amp;type=national&amp;d=6","Results")</f>
        <v/>
      </c>
    </row>
    <row r="406" spans="1:5">
      <c r="A406" t="s">
        <v>2175</v>
      </c>
      <c r="B406" t="s">
        <v>2176</v>
      </c>
      <c r="C406" t="s">
        <v>1943</v>
      </c>
      <c r="D406" t="s">
        <v>85</v>
      </c>
      <c r="E406">
        <f>HYPERLINK("https://www.britishcycling.org.uk/points?person_id=231078&amp;year=2019&amp;type=national&amp;d=6","Results")</f>
        <v/>
      </c>
    </row>
    <row r="407" spans="1:5">
      <c r="A407" t="s">
        <v>74</v>
      </c>
      <c r="B407" t="s">
        <v>2177</v>
      </c>
      <c r="C407" t="s">
        <v>2178</v>
      </c>
      <c r="D407" t="s">
        <v>85</v>
      </c>
      <c r="E407">
        <f>HYPERLINK("https://www.britishcycling.org.uk/points?person_id=235669&amp;year=2019&amp;type=national&amp;d=6","Results")</f>
        <v/>
      </c>
    </row>
    <row r="408" spans="1:5">
      <c r="A408" t="s">
        <v>70</v>
      </c>
      <c r="B408" t="s">
        <v>2179</v>
      </c>
      <c r="C408" t="s">
        <v>23</v>
      </c>
      <c r="D408" t="s">
        <v>85</v>
      </c>
      <c r="E408">
        <f>HYPERLINK("https://www.britishcycling.org.uk/points?person_id=104475&amp;year=2019&amp;type=national&amp;d=6","Results")</f>
        <v/>
      </c>
    </row>
    <row r="409" spans="1:5">
      <c r="A409" t="s">
        <v>1641</v>
      </c>
      <c r="B409" t="s">
        <v>1448</v>
      </c>
      <c r="C409" t="s">
        <v>94</v>
      </c>
      <c r="D409" t="s">
        <v>85</v>
      </c>
      <c r="E409">
        <f>HYPERLINK("https://www.britishcycling.org.uk/points?person_id=565813&amp;year=2019&amp;type=national&amp;d=6","Results")</f>
        <v/>
      </c>
    </row>
    <row r="410" spans="1:5">
      <c r="A410" t="s">
        <v>2180</v>
      </c>
      <c r="B410" t="s">
        <v>1473</v>
      </c>
      <c r="C410" t="s">
        <v>212</v>
      </c>
      <c r="D410" t="s">
        <v>82</v>
      </c>
      <c r="E410">
        <f>HYPERLINK("https://www.britishcycling.org.uk/points?person_id=756637&amp;year=2019&amp;type=national&amp;d=6","Results")</f>
        <v/>
      </c>
    </row>
    <row r="411" spans="1:5">
      <c r="A411" t="s">
        <v>2181</v>
      </c>
      <c r="B411" t="s">
        <v>2182</v>
      </c>
      <c r="C411" t="s">
        <v>2183</v>
      </c>
      <c r="D411" t="s">
        <v>82</v>
      </c>
      <c r="E411">
        <f>HYPERLINK("https://www.britishcycling.org.uk/points?person_id=555968&amp;year=2019&amp;type=national&amp;d=6","Results")</f>
        <v/>
      </c>
    </row>
    <row r="412" spans="1:5">
      <c r="A412" t="s">
        <v>2184</v>
      </c>
      <c r="B412" t="s">
        <v>2185</v>
      </c>
      <c r="C412" t="s">
        <v>1717</v>
      </c>
      <c r="D412" t="s">
        <v>82</v>
      </c>
      <c r="E412">
        <f>HYPERLINK("https://www.britishcycling.org.uk/points?person_id=431270&amp;year=2019&amp;type=national&amp;d=6","Results")</f>
        <v/>
      </c>
    </row>
    <row r="413" spans="1:5">
      <c r="A413" t="s">
        <v>2186</v>
      </c>
      <c r="B413" t="s">
        <v>2187</v>
      </c>
      <c r="C413" t="s">
        <v>2188</v>
      </c>
      <c r="D413" t="s">
        <v>82</v>
      </c>
      <c r="E413">
        <f>HYPERLINK("https://www.britishcycling.org.uk/points?person_id=182242&amp;year=2019&amp;type=national&amp;d=6","Results")</f>
        <v/>
      </c>
    </row>
    <row r="414" spans="1:5">
      <c r="A414" t="s">
        <v>936</v>
      </c>
      <c r="B414" t="s">
        <v>1342</v>
      </c>
      <c r="C414" t="s">
        <v>230</v>
      </c>
      <c r="D414" t="s">
        <v>78</v>
      </c>
      <c r="E414">
        <f>HYPERLINK("https://www.britishcycling.org.uk/points?person_id=194739&amp;year=2019&amp;type=national&amp;d=6","Results")</f>
        <v/>
      </c>
    </row>
    <row r="415" spans="1:5">
      <c r="A415" t="s">
        <v>66</v>
      </c>
      <c r="B415" t="s">
        <v>2189</v>
      </c>
      <c r="C415" t="s">
        <v>2139</v>
      </c>
      <c r="D415" t="s">
        <v>78</v>
      </c>
      <c r="E415">
        <f>HYPERLINK("https://www.britishcycling.org.uk/points?person_id=1690&amp;year=2019&amp;type=national&amp;d=6","Results")</f>
        <v/>
      </c>
    </row>
    <row r="416" spans="1:5">
      <c r="A416" t="s">
        <v>2190</v>
      </c>
      <c r="B416" t="s">
        <v>2191</v>
      </c>
      <c r="C416" t="s">
        <v>1736</v>
      </c>
      <c r="D416" t="s">
        <v>78</v>
      </c>
      <c r="E416">
        <f>HYPERLINK("https://www.britishcycling.org.uk/points?person_id=391602&amp;year=2019&amp;type=national&amp;d=6","Results")</f>
        <v/>
      </c>
    </row>
    <row r="417" spans="1:5">
      <c r="A417" t="s">
        <v>2192</v>
      </c>
      <c r="B417" t="s">
        <v>2193</v>
      </c>
      <c r="C417" t="s">
        <v>1971</v>
      </c>
      <c r="D417" t="s">
        <v>78</v>
      </c>
      <c r="E417">
        <f>HYPERLINK("https://www.britishcycling.org.uk/points?person_id=118982&amp;year=2019&amp;type=national&amp;d=6","Results")</f>
        <v/>
      </c>
    </row>
    <row r="418" spans="1:5">
      <c r="A418" t="s">
        <v>2194</v>
      </c>
      <c r="B418" t="s">
        <v>2195</v>
      </c>
      <c r="C418" t="s">
        <v>2196</v>
      </c>
      <c r="D418" t="s">
        <v>78</v>
      </c>
      <c r="E418">
        <f>HYPERLINK("https://www.britishcycling.org.uk/points?person_id=101064&amp;year=2019&amp;type=national&amp;d=6","Results")</f>
        <v/>
      </c>
    </row>
    <row r="419" spans="1:5">
      <c r="A419" t="s">
        <v>2197</v>
      </c>
      <c r="B419" t="s">
        <v>2198</v>
      </c>
      <c r="C419" t="s">
        <v>1977</v>
      </c>
      <c r="D419" t="s">
        <v>78</v>
      </c>
      <c r="E419">
        <f>HYPERLINK("https://www.britishcycling.org.uk/points?person_id=17464&amp;year=2019&amp;type=national&amp;d=6","Results")</f>
        <v/>
      </c>
    </row>
    <row r="420" spans="1:5">
      <c r="A420" t="s">
        <v>1639</v>
      </c>
      <c r="B420" t="s">
        <v>2199</v>
      </c>
      <c r="C420" t="s">
        <v>1440</v>
      </c>
      <c r="D420" t="s">
        <v>78</v>
      </c>
      <c r="E420">
        <f>HYPERLINK("https://www.britishcycling.org.uk/points?person_id=410192&amp;year=2019&amp;type=national&amp;d=6","Results")</f>
        <v/>
      </c>
    </row>
    <row r="421" spans="1:5">
      <c r="A421" t="s">
        <v>2200</v>
      </c>
      <c r="B421" t="s">
        <v>2201</v>
      </c>
      <c r="C421" t="s">
        <v>2159</v>
      </c>
      <c r="D421" t="s">
        <v>78</v>
      </c>
      <c r="E421">
        <f>HYPERLINK("https://www.britishcycling.org.uk/points?person_id=107253&amp;year=2019&amp;type=national&amp;d=6","Results")</f>
        <v/>
      </c>
    </row>
    <row r="422" spans="1:5">
      <c r="A422" t="s">
        <v>2202</v>
      </c>
      <c r="B422" t="s">
        <v>2203</v>
      </c>
      <c r="C422" t="s">
        <v>1384</v>
      </c>
      <c r="D422" t="s">
        <v>78</v>
      </c>
      <c r="E422">
        <f>HYPERLINK("https://www.britishcycling.org.uk/points?person_id=286512&amp;year=2019&amp;type=national&amp;d=6","Results")</f>
        <v/>
      </c>
    </row>
    <row r="423" spans="1:5">
      <c r="A423" t="s">
        <v>2204</v>
      </c>
      <c r="B423" t="s">
        <v>2205</v>
      </c>
      <c r="C423" t="s">
        <v>2206</v>
      </c>
      <c r="D423" t="s">
        <v>78</v>
      </c>
      <c r="E423">
        <f>HYPERLINK("https://www.britishcycling.org.uk/points?person_id=707248&amp;year=2019&amp;type=national&amp;d=6","Results")</f>
        <v/>
      </c>
    </row>
    <row r="424" spans="1:5">
      <c r="A424" t="s">
        <v>2207</v>
      </c>
      <c r="B424" t="s">
        <v>2208</v>
      </c>
      <c r="C424" t="s"/>
      <c r="D424" t="s">
        <v>78</v>
      </c>
      <c r="E424">
        <f>HYPERLINK("https://www.britishcycling.org.uk/points?person_id=242739&amp;year=2019&amp;type=national&amp;d=6","Results")</f>
        <v/>
      </c>
    </row>
    <row r="425" spans="1:5">
      <c r="A425" t="s">
        <v>1333</v>
      </c>
      <c r="B425" t="s">
        <v>2209</v>
      </c>
      <c r="C425" t="s">
        <v>2210</v>
      </c>
      <c r="D425" t="s">
        <v>75</v>
      </c>
      <c r="E425">
        <f>HYPERLINK("https://www.britishcycling.org.uk/points?person_id=202525&amp;year=2019&amp;type=national&amp;d=6","Results")</f>
        <v/>
      </c>
    </row>
    <row r="426" spans="1:5">
      <c r="A426" t="s">
        <v>1637</v>
      </c>
      <c r="B426" t="s">
        <v>2211</v>
      </c>
      <c r="C426" t="s">
        <v>709</v>
      </c>
      <c r="D426" t="s">
        <v>75</v>
      </c>
      <c r="E426">
        <f>HYPERLINK("https://www.britishcycling.org.uk/points?person_id=767235&amp;year=2019&amp;type=national&amp;d=6","Results")</f>
        <v/>
      </c>
    </row>
    <row r="427" spans="1:5">
      <c r="A427" t="s">
        <v>2212</v>
      </c>
      <c r="B427" t="s">
        <v>2213</v>
      </c>
      <c r="C427" t="s">
        <v>1023</v>
      </c>
      <c r="D427" t="s">
        <v>75</v>
      </c>
      <c r="E427">
        <f>HYPERLINK("https://www.britishcycling.org.uk/points?person_id=653282&amp;year=2019&amp;type=national&amp;d=6","Results")</f>
        <v/>
      </c>
    </row>
    <row r="428" spans="1:5">
      <c r="A428" t="s">
        <v>1633</v>
      </c>
      <c r="B428" t="s">
        <v>2214</v>
      </c>
      <c r="C428" t="s">
        <v>2215</v>
      </c>
      <c r="D428" t="s">
        <v>75</v>
      </c>
      <c r="E428">
        <f>HYPERLINK("https://www.britishcycling.org.uk/points?person_id=6924&amp;year=2019&amp;type=national&amp;d=6","Results")</f>
        <v/>
      </c>
    </row>
    <row r="429" spans="1:5">
      <c r="A429" t="s">
        <v>2216</v>
      </c>
      <c r="B429" t="s">
        <v>2217</v>
      </c>
      <c r="C429" t="s">
        <v>2218</v>
      </c>
      <c r="D429" t="s">
        <v>75</v>
      </c>
      <c r="E429">
        <f>HYPERLINK("https://www.britishcycling.org.uk/points?person_id=196870&amp;year=2019&amp;type=national&amp;d=6","Results")</f>
        <v/>
      </c>
    </row>
    <row r="430" spans="1:5">
      <c r="A430" t="s">
        <v>2219</v>
      </c>
      <c r="B430" t="s">
        <v>2220</v>
      </c>
      <c r="C430" t="s">
        <v>2221</v>
      </c>
      <c r="D430" t="s">
        <v>71</v>
      </c>
      <c r="E430">
        <f>HYPERLINK("https://www.britishcycling.org.uk/points?person_id=62179&amp;year=2019&amp;type=national&amp;d=6","Results")</f>
        <v/>
      </c>
    </row>
    <row r="431" spans="1:5">
      <c r="A431" t="s">
        <v>2222</v>
      </c>
      <c r="B431" t="s">
        <v>2223</v>
      </c>
      <c r="C431" t="s">
        <v>216</v>
      </c>
      <c r="D431" t="s">
        <v>71</v>
      </c>
      <c r="E431">
        <f>HYPERLINK("https://www.britishcycling.org.uk/points?person_id=239791&amp;year=2019&amp;type=national&amp;d=6","Results")</f>
        <v/>
      </c>
    </row>
    <row r="432" spans="1:5">
      <c r="A432" t="s">
        <v>934</v>
      </c>
      <c r="B432" t="s">
        <v>2224</v>
      </c>
      <c r="C432" t="s">
        <v>548</v>
      </c>
      <c r="D432" t="s">
        <v>71</v>
      </c>
      <c r="E432">
        <f>HYPERLINK("https://www.britishcycling.org.uk/points?person_id=33265&amp;year=2019&amp;type=national&amp;d=6","Results")</f>
        <v/>
      </c>
    </row>
    <row r="433" spans="1:5">
      <c r="A433" t="s">
        <v>62</v>
      </c>
      <c r="B433" t="s">
        <v>1379</v>
      </c>
      <c r="C433" t="s">
        <v>287</v>
      </c>
      <c r="D433" t="s">
        <v>71</v>
      </c>
      <c r="E433">
        <f>HYPERLINK("https://www.britishcycling.org.uk/points?person_id=134351&amp;year=2019&amp;type=national&amp;d=6","Results")</f>
        <v/>
      </c>
    </row>
    <row r="434" spans="1:5">
      <c r="A434" t="s">
        <v>2225</v>
      </c>
      <c r="B434" t="s">
        <v>2226</v>
      </c>
      <c r="C434" t="s">
        <v>1819</v>
      </c>
      <c r="D434" t="s">
        <v>71</v>
      </c>
      <c r="E434">
        <f>HYPERLINK("https://www.britishcycling.org.uk/points?person_id=32992&amp;year=2019&amp;type=national&amp;d=6","Results")</f>
        <v/>
      </c>
    </row>
    <row r="435" spans="1:5">
      <c r="A435" t="s">
        <v>2227</v>
      </c>
      <c r="B435" t="s">
        <v>1419</v>
      </c>
      <c r="C435" t="s">
        <v>1420</v>
      </c>
      <c r="D435" t="s">
        <v>71</v>
      </c>
      <c r="E435">
        <f>HYPERLINK("https://www.britishcycling.org.uk/points?person_id=649361&amp;year=2019&amp;type=national&amp;d=6","Results")</f>
        <v/>
      </c>
    </row>
    <row r="436" spans="1:5">
      <c r="A436" t="s">
        <v>2228</v>
      </c>
      <c r="B436" t="s">
        <v>2229</v>
      </c>
      <c r="C436" t="s"/>
      <c r="D436" t="s">
        <v>71</v>
      </c>
      <c r="E436">
        <f>HYPERLINK("https://www.britishcycling.org.uk/points?person_id=32945&amp;year=2019&amp;type=national&amp;d=6","Results")</f>
        <v/>
      </c>
    </row>
    <row r="437" spans="1:5">
      <c r="A437" t="s">
        <v>2230</v>
      </c>
      <c r="B437" t="s">
        <v>2231</v>
      </c>
      <c r="C437" t="s">
        <v>1694</v>
      </c>
      <c r="D437" t="s">
        <v>71</v>
      </c>
      <c r="E437">
        <f>HYPERLINK("https://www.britishcycling.org.uk/points?person_id=305916&amp;year=2019&amp;type=national&amp;d=6","Results")</f>
        <v/>
      </c>
    </row>
    <row r="438" spans="1:5">
      <c r="A438" t="s">
        <v>2232</v>
      </c>
      <c r="B438" t="s">
        <v>2233</v>
      </c>
      <c r="C438" t="s">
        <v>1706</v>
      </c>
      <c r="D438" t="s">
        <v>71</v>
      </c>
      <c r="E438">
        <f>HYPERLINK("https://www.britishcycling.org.uk/points?person_id=621006&amp;year=2019&amp;type=national&amp;d=6","Results")</f>
        <v/>
      </c>
    </row>
    <row r="439" spans="1:5">
      <c r="A439" t="s">
        <v>2234</v>
      </c>
      <c r="B439" t="s">
        <v>2235</v>
      </c>
      <c r="C439" t="s">
        <v>2236</v>
      </c>
      <c r="D439" t="s">
        <v>71</v>
      </c>
      <c r="E439">
        <f>HYPERLINK("https://www.britishcycling.org.uk/points?person_id=60909&amp;year=2019&amp;type=national&amp;d=6","Results")</f>
        <v/>
      </c>
    </row>
    <row r="440" spans="1:5">
      <c r="A440" t="s">
        <v>2237</v>
      </c>
      <c r="B440" t="s">
        <v>2238</v>
      </c>
      <c r="C440" t="s">
        <v>995</v>
      </c>
      <c r="D440" t="s">
        <v>71</v>
      </c>
      <c r="E440">
        <f>HYPERLINK("https://www.britishcycling.org.uk/points?person_id=741520&amp;year=2019&amp;type=national&amp;d=6","Results")</f>
        <v/>
      </c>
    </row>
    <row r="441" spans="1:5">
      <c r="A441" t="s">
        <v>2239</v>
      </c>
      <c r="B441" t="s">
        <v>2240</v>
      </c>
      <c r="C441" t="s"/>
      <c r="D441" t="s">
        <v>71</v>
      </c>
      <c r="E441">
        <f>HYPERLINK("https://www.britishcycling.org.uk/points?person_id=574453&amp;year=2019&amp;type=national&amp;d=6","Results")</f>
        <v/>
      </c>
    </row>
    <row r="442" spans="1:5">
      <c r="A442" t="s">
        <v>2241</v>
      </c>
      <c r="B442" t="s">
        <v>2242</v>
      </c>
      <c r="C442" t="s">
        <v>1598</v>
      </c>
      <c r="D442" t="s">
        <v>71</v>
      </c>
      <c r="E442">
        <f>HYPERLINK("https://www.britishcycling.org.uk/points?person_id=274155&amp;year=2019&amp;type=national&amp;d=6","Results")</f>
        <v/>
      </c>
    </row>
    <row r="443" spans="1:5">
      <c r="A443" t="s">
        <v>2243</v>
      </c>
      <c r="B443" t="s">
        <v>2244</v>
      </c>
      <c r="C443" t="s"/>
      <c r="D443" t="s">
        <v>71</v>
      </c>
      <c r="E443">
        <f>HYPERLINK("https://www.britishcycling.org.uk/points?person_id=191659&amp;year=2019&amp;type=national&amp;d=6","Results")</f>
        <v/>
      </c>
    </row>
    <row r="444" spans="1:5">
      <c r="A444" t="s">
        <v>1630</v>
      </c>
      <c r="B444" t="s">
        <v>2245</v>
      </c>
      <c r="C444" t="s">
        <v>1750</v>
      </c>
      <c r="D444" t="s">
        <v>71</v>
      </c>
      <c r="E444">
        <f>HYPERLINK("https://www.britishcycling.org.uk/points?person_id=199183&amp;year=2019&amp;type=national&amp;d=6","Results")</f>
        <v/>
      </c>
    </row>
    <row r="445" spans="1:5">
      <c r="A445" t="s">
        <v>2246</v>
      </c>
      <c r="B445" t="s">
        <v>2247</v>
      </c>
      <c r="C445" t="s">
        <v>2248</v>
      </c>
      <c r="D445" t="s">
        <v>71</v>
      </c>
      <c r="E445">
        <f>HYPERLINK("https://www.britishcycling.org.uk/points?person_id=65449&amp;year=2019&amp;type=national&amp;d=6","Results")</f>
        <v/>
      </c>
    </row>
    <row r="446" spans="1:5">
      <c r="A446" t="s">
        <v>2249</v>
      </c>
      <c r="B446" t="s">
        <v>2250</v>
      </c>
      <c r="C446" t="s">
        <v>1736</v>
      </c>
      <c r="D446" t="s">
        <v>71</v>
      </c>
      <c r="E446">
        <f>HYPERLINK("https://www.britishcycling.org.uk/points?person_id=819868&amp;year=2019&amp;type=national&amp;d=6","Results")</f>
        <v/>
      </c>
    </row>
    <row r="447" spans="1:5">
      <c r="A447" t="s">
        <v>2251</v>
      </c>
      <c r="B447" t="s">
        <v>2252</v>
      </c>
      <c r="C447" t="s"/>
      <c r="D447" t="s">
        <v>71</v>
      </c>
      <c r="E447">
        <f>HYPERLINK("https://www.britishcycling.org.uk/points?person_id=102973&amp;year=2019&amp;type=national&amp;d=6","Results")</f>
        <v/>
      </c>
    </row>
    <row r="448" spans="1:5">
      <c r="A448" t="s">
        <v>2253</v>
      </c>
      <c r="B448" t="s">
        <v>2254</v>
      </c>
      <c r="C448" t="s">
        <v>2255</v>
      </c>
      <c r="D448" t="s">
        <v>71</v>
      </c>
      <c r="E448">
        <f>HYPERLINK("https://www.britishcycling.org.uk/points?person_id=138761&amp;year=2019&amp;type=national&amp;d=6","Results")</f>
        <v/>
      </c>
    </row>
    <row r="449" spans="1:5">
      <c r="A449" t="s">
        <v>1627</v>
      </c>
      <c r="B449" t="s">
        <v>2256</v>
      </c>
      <c r="C449" t="s"/>
      <c r="D449" t="s">
        <v>71</v>
      </c>
      <c r="E449">
        <f>HYPERLINK("https://www.britishcycling.org.uk/points?person_id=5592&amp;year=2019&amp;type=national&amp;d=6","Results")</f>
        <v/>
      </c>
    </row>
    <row r="450" spans="1:5">
      <c r="A450" t="s">
        <v>2257</v>
      </c>
      <c r="B450" t="s">
        <v>2258</v>
      </c>
      <c r="C450" t="s">
        <v>554</v>
      </c>
      <c r="D450" t="s">
        <v>67</v>
      </c>
      <c r="E450">
        <f>HYPERLINK("https://www.britishcycling.org.uk/points?person_id=207233&amp;year=2019&amp;type=national&amp;d=6","Results")</f>
        <v/>
      </c>
    </row>
    <row r="451" spans="1:5">
      <c r="A451" t="s">
        <v>2259</v>
      </c>
      <c r="B451" t="s">
        <v>2260</v>
      </c>
      <c r="C451" t="s">
        <v>1518</v>
      </c>
      <c r="D451" t="s">
        <v>67</v>
      </c>
      <c r="E451">
        <f>HYPERLINK("https://www.britishcycling.org.uk/points?person_id=428493&amp;year=2019&amp;type=national&amp;d=6","Results")</f>
        <v/>
      </c>
    </row>
    <row r="452" spans="1:5">
      <c r="A452" t="s">
        <v>2261</v>
      </c>
      <c r="B452" t="s">
        <v>2262</v>
      </c>
      <c r="C452" t="s">
        <v>2159</v>
      </c>
      <c r="D452" t="s">
        <v>67</v>
      </c>
      <c r="E452">
        <f>HYPERLINK("https://www.britishcycling.org.uk/points?person_id=15660&amp;year=2019&amp;type=national&amp;d=6","Results")</f>
        <v/>
      </c>
    </row>
    <row r="453" spans="1:5">
      <c r="A453" t="s">
        <v>2263</v>
      </c>
      <c r="B453" t="s">
        <v>2264</v>
      </c>
      <c r="C453" t="s">
        <v>1943</v>
      </c>
      <c r="D453" t="s">
        <v>67</v>
      </c>
      <c r="E453">
        <f>HYPERLINK("https://www.britishcycling.org.uk/points?person_id=426024&amp;year=2019&amp;type=national&amp;d=6","Results")</f>
        <v/>
      </c>
    </row>
    <row r="454" spans="1:5">
      <c r="A454" t="s">
        <v>2265</v>
      </c>
      <c r="B454" t="s">
        <v>2266</v>
      </c>
      <c r="C454" t="s">
        <v>887</v>
      </c>
      <c r="D454" t="s">
        <v>67</v>
      </c>
      <c r="E454">
        <f>HYPERLINK("https://www.britishcycling.org.uk/points?person_id=583501&amp;year=2019&amp;type=national&amp;d=6","Results")</f>
        <v/>
      </c>
    </row>
    <row r="455" spans="1:5">
      <c r="A455" t="s">
        <v>2267</v>
      </c>
      <c r="B455" t="s">
        <v>1400</v>
      </c>
      <c r="C455" t="s">
        <v>959</v>
      </c>
      <c r="D455" t="s">
        <v>67</v>
      </c>
      <c r="E455">
        <f>HYPERLINK("https://www.britishcycling.org.uk/points?person_id=300937&amp;year=2019&amp;type=national&amp;d=6","Results")</f>
        <v/>
      </c>
    </row>
    <row r="456" spans="1:5">
      <c r="A456" t="s">
        <v>2268</v>
      </c>
      <c r="B456" t="s">
        <v>2269</v>
      </c>
      <c r="C456" t="s">
        <v>1384</v>
      </c>
      <c r="D456" t="s">
        <v>67</v>
      </c>
      <c r="E456">
        <f>HYPERLINK("https://www.britishcycling.org.uk/points?person_id=186393&amp;year=2019&amp;type=national&amp;d=6","Results")</f>
        <v/>
      </c>
    </row>
    <row r="457" spans="1:5">
      <c r="A457" t="s">
        <v>2270</v>
      </c>
      <c r="B457" t="s">
        <v>2271</v>
      </c>
      <c r="C457" t="s"/>
      <c r="D457" t="s">
        <v>67</v>
      </c>
      <c r="E457">
        <f>HYPERLINK("https://www.britishcycling.org.uk/points?person_id=547336&amp;year=2019&amp;type=national&amp;d=6","Results")</f>
        <v/>
      </c>
    </row>
    <row r="458" spans="1:5">
      <c r="A458" t="s">
        <v>2272</v>
      </c>
      <c r="B458" t="s">
        <v>2273</v>
      </c>
      <c r="C458" t="s">
        <v>2274</v>
      </c>
      <c r="D458" t="s">
        <v>67</v>
      </c>
      <c r="E458">
        <f>HYPERLINK("https://www.britishcycling.org.uk/points?person_id=179674&amp;year=2019&amp;type=national&amp;d=6","Results")</f>
        <v/>
      </c>
    </row>
    <row r="459" spans="1:5">
      <c r="A459" t="s">
        <v>2275</v>
      </c>
      <c r="B459" t="s">
        <v>2276</v>
      </c>
      <c r="C459" t="s"/>
      <c r="D459" t="s">
        <v>67</v>
      </c>
      <c r="E459">
        <f>HYPERLINK("https://www.britishcycling.org.uk/points?person_id=55720&amp;year=2019&amp;type=national&amp;d=6","Results")</f>
        <v/>
      </c>
    </row>
    <row r="460" spans="1:5">
      <c r="A460" t="s">
        <v>2277</v>
      </c>
      <c r="B460" t="s">
        <v>2278</v>
      </c>
      <c r="C460" t="s">
        <v>2279</v>
      </c>
      <c r="D460" t="s">
        <v>67</v>
      </c>
      <c r="E460">
        <f>HYPERLINK("https://www.britishcycling.org.uk/points?person_id=512698&amp;year=2019&amp;type=national&amp;d=6","Results")</f>
        <v/>
      </c>
    </row>
    <row r="461" spans="1:5">
      <c r="A461" t="s">
        <v>1624</v>
      </c>
      <c r="B461" t="s">
        <v>2280</v>
      </c>
      <c r="C461" t="s">
        <v>2281</v>
      </c>
      <c r="D461" t="s">
        <v>67</v>
      </c>
      <c r="E461">
        <f>HYPERLINK("https://www.britishcycling.org.uk/points?person_id=746729&amp;year=2019&amp;type=national&amp;d=6","Results")</f>
        <v/>
      </c>
    </row>
    <row r="462" spans="1:5">
      <c r="A462" t="s">
        <v>1622</v>
      </c>
      <c r="B462" t="s">
        <v>2282</v>
      </c>
      <c r="C462" t="s"/>
      <c r="D462" t="s">
        <v>63</v>
      </c>
      <c r="E462">
        <f>HYPERLINK("https://www.britishcycling.org.uk/points?person_id=662002&amp;year=2019&amp;type=national&amp;d=6","Results")</f>
        <v/>
      </c>
    </row>
    <row r="463" spans="1:5">
      <c r="A463" t="s">
        <v>2283</v>
      </c>
      <c r="B463" t="s">
        <v>2284</v>
      </c>
      <c r="C463" t="s">
        <v>1635</v>
      </c>
      <c r="D463" t="s">
        <v>63</v>
      </c>
      <c r="E463">
        <f>HYPERLINK("https://www.britishcycling.org.uk/points?person_id=191705&amp;year=2019&amp;type=national&amp;d=6","Results")</f>
        <v/>
      </c>
    </row>
    <row r="464" spans="1:5">
      <c r="A464" t="s">
        <v>2285</v>
      </c>
      <c r="B464" t="s">
        <v>1428</v>
      </c>
      <c r="C464" t="s">
        <v>663</v>
      </c>
      <c r="D464" t="s">
        <v>63</v>
      </c>
      <c r="E464">
        <f>HYPERLINK("https://www.britishcycling.org.uk/points?person_id=540745&amp;year=2019&amp;type=national&amp;d=6","Results")</f>
        <v/>
      </c>
    </row>
    <row r="465" spans="1:5">
      <c r="A465" t="s">
        <v>2286</v>
      </c>
      <c r="B465" t="s">
        <v>1356</v>
      </c>
      <c r="C465" t="s">
        <v>919</v>
      </c>
      <c r="D465" t="s">
        <v>63</v>
      </c>
      <c r="E465">
        <f>HYPERLINK("https://www.britishcycling.org.uk/points?person_id=100935&amp;year=2019&amp;type=national&amp;d=6","Results")</f>
        <v/>
      </c>
    </row>
    <row r="466" spans="1:5">
      <c r="A466" t="s">
        <v>2287</v>
      </c>
      <c r="B466" t="s">
        <v>1435</v>
      </c>
      <c r="C466" t="s">
        <v>1056</v>
      </c>
      <c r="D466" t="s">
        <v>63</v>
      </c>
      <c r="E466">
        <f>HYPERLINK("https://www.britishcycling.org.uk/points?person_id=272379&amp;year=2019&amp;type=national&amp;d=6","Results")</f>
        <v/>
      </c>
    </row>
    <row r="467" spans="1:5">
      <c r="A467" t="s">
        <v>2288</v>
      </c>
      <c r="B467" t="s">
        <v>1377</v>
      </c>
      <c r="C467" t="s">
        <v>498</v>
      </c>
      <c r="D467" t="s">
        <v>63</v>
      </c>
      <c r="E467">
        <f>HYPERLINK("https://www.britishcycling.org.uk/points?person_id=413603&amp;year=2019&amp;type=national&amp;d=6","Results")</f>
        <v/>
      </c>
    </row>
    <row r="468" spans="1:5">
      <c r="A468" t="s">
        <v>2289</v>
      </c>
      <c r="B468" t="s">
        <v>1563</v>
      </c>
      <c r="C468" t="s">
        <v>1564</v>
      </c>
      <c r="D468" t="s">
        <v>63</v>
      </c>
      <c r="E468">
        <f>HYPERLINK("https://www.britishcycling.org.uk/points?person_id=649290&amp;year=2019&amp;type=national&amp;d=6","Results")</f>
        <v/>
      </c>
    </row>
    <row r="469" spans="1:5">
      <c r="A469" t="s">
        <v>2290</v>
      </c>
      <c r="B469" t="s">
        <v>2291</v>
      </c>
      <c r="C469" t="s">
        <v>2292</v>
      </c>
      <c r="D469" t="s">
        <v>63</v>
      </c>
      <c r="E469">
        <f>HYPERLINK("https://www.britishcycling.org.uk/points?person_id=781219&amp;year=2019&amp;type=national&amp;d=6","Results")</f>
        <v/>
      </c>
    </row>
    <row r="470" spans="1:5">
      <c r="A470" t="s">
        <v>2293</v>
      </c>
      <c r="B470" t="s">
        <v>2294</v>
      </c>
      <c r="C470" t="s">
        <v>1018</v>
      </c>
      <c r="D470" t="s">
        <v>63</v>
      </c>
      <c r="E470">
        <f>HYPERLINK("https://www.britishcycling.org.uk/points?person_id=825995&amp;year=2019&amp;type=national&amp;d=6","Results")</f>
        <v/>
      </c>
    </row>
    <row r="471" spans="1:5">
      <c r="A471" t="s">
        <v>2295</v>
      </c>
      <c r="B471" t="s">
        <v>2296</v>
      </c>
      <c r="C471" t="s">
        <v>2297</v>
      </c>
      <c r="D471" t="s">
        <v>63</v>
      </c>
      <c r="E471">
        <f>HYPERLINK("https://www.britishcycling.org.uk/points?person_id=409490&amp;year=2019&amp;type=national&amp;d=6","Results")</f>
        <v/>
      </c>
    </row>
    <row r="472" spans="1:5">
      <c r="A472" t="s">
        <v>2298</v>
      </c>
      <c r="B472" t="s">
        <v>2299</v>
      </c>
      <c r="C472" t="s">
        <v>2300</v>
      </c>
      <c r="D472" t="s">
        <v>63</v>
      </c>
      <c r="E472">
        <f>HYPERLINK("https://www.britishcycling.org.uk/points?person_id=24845&amp;year=2019&amp;type=national&amp;d=6","Results")</f>
        <v/>
      </c>
    </row>
    <row r="473" spans="1:5">
      <c r="A473" t="s">
        <v>2301</v>
      </c>
      <c r="B473" t="s">
        <v>2302</v>
      </c>
      <c r="C473" t="s">
        <v>899</v>
      </c>
      <c r="D473" t="s">
        <v>63</v>
      </c>
      <c r="E473">
        <f>HYPERLINK("https://www.britishcycling.org.uk/points?person_id=423653&amp;year=2019&amp;type=national&amp;d=6","Results")</f>
        <v/>
      </c>
    </row>
    <row r="474" spans="1:5">
      <c r="A474" t="s">
        <v>2303</v>
      </c>
      <c r="B474" t="s">
        <v>2304</v>
      </c>
      <c r="C474" t="s">
        <v>2206</v>
      </c>
      <c r="D474" t="s">
        <v>63</v>
      </c>
      <c r="E474">
        <f>HYPERLINK("https://www.britishcycling.org.uk/points?person_id=525598&amp;year=2019&amp;type=national&amp;d=6","Results")</f>
        <v/>
      </c>
    </row>
    <row r="475" spans="1:5">
      <c r="A475" t="s">
        <v>58</v>
      </c>
      <c r="B475" t="s">
        <v>2305</v>
      </c>
      <c r="C475" t="s">
        <v>2306</v>
      </c>
      <c r="D475" t="s">
        <v>63</v>
      </c>
      <c r="E475">
        <f>HYPERLINK("https://www.britishcycling.org.uk/points?person_id=381060&amp;year=2019&amp;type=national&amp;d=6","Results")</f>
        <v/>
      </c>
    </row>
    <row r="476" spans="1:5">
      <c r="A476" t="s">
        <v>2307</v>
      </c>
      <c r="B476" t="s">
        <v>2308</v>
      </c>
      <c r="C476" t="s">
        <v>1645</v>
      </c>
      <c r="D476" t="s">
        <v>63</v>
      </c>
      <c r="E476">
        <f>HYPERLINK("https://www.britishcycling.org.uk/points?person_id=487727&amp;year=2019&amp;type=national&amp;d=6","Results")</f>
        <v/>
      </c>
    </row>
    <row r="477" spans="1:5">
      <c r="A477" t="s">
        <v>2309</v>
      </c>
      <c r="B477" t="s">
        <v>2310</v>
      </c>
      <c r="C477" t="s">
        <v>2311</v>
      </c>
      <c r="D477" t="s">
        <v>63</v>
      </c>
      <c r="E477">
        <f>HYPERLINK("https://www.britishcycling.org.uk/points?person_id=587889&amp;year=2019&amp;type=national&amp;d=6","Results")</f>
        <v/>
      </c>
    </row>
    <row r="478" spans="1:5">
      <c r="A478" t="s">
        <v>2312</v>
      </c>
      <c r="B478" t="s">
        <v>2313</v>
      </c>
      <c r="C478" t="s">
        <v>1923</v>
      </c>
      <c r="D478" t="s">
        <v>63</v>
      </c>
      <c r="E478">
        <f>HYPERLINK("https://www.britishcycling.org.uk/points?person_id=173864&amp;year=2019&amp;type=national&amp;d=6","Results")</f>
        <v/>
      </c>
    </row>
    <row r="479" spans="1:5">
      <c r="A479" t="s">
        <v>54</v>
      </c>
      <c r="B479" t="s">
        <v>2314</v>
      </c>
      <c r="C479" t="s"/>
      <c r="D479" t="s">
        <v>59</v>
      </c>
      <c r="E479">
        <f>HYPERLINK("https://www.britishcycling.org.uk/points?person_id=5196&amp;year=2019&amp;type=national&amp;d=6","Results")</f>
        <v/>
      </c>
    </row>
    <row r="480" spans="1:5">
      <c r="A480" t="s">
        <v>2315</v>
      </c>
      <c r="B480" t="s">
        <v>2316</v>
      </c>
      <c r="C480" t="s">
        <v>2317</v>
      </c>
      <c r="D480" t="s">
        <v>59</v>
      </c>
      <c r="E480">
        <f>HYPERLINK("https://www.britishcycling.org.uk/points?person_id=153883&amp;year=2019&amp;type=national&amp;d=6","Results")</f>
        <v/>
      </c>
    </row>
    <row r="481" spans="1:5">
      <c r="A481" t="s">
        <v>2318</v>
      </c>
      <c r="B481" t="s">
        <v>2319</v>
      </c>
      <c r="C481" t="s">
        <v>2320</v>
      </c>
      <c r="D481" t="s">
        <v>59</v>
      </c>
      <c r="E481">
        <f>HYPERLINK("https://www.britishcycling.org.uk/points?person_id=531746&amp;year=2019&amp;type=national&amp;d=6","Results")</f>
        <v/>
      </c>
    </row>
    <row r="482" spans="1:5">
      <c r="A482" t="s">
        <v>2321</v>
      </c>
      <c r="B482" t="s">
        <v>2322</v>
      </c>
      <c r="C482" t="s">
        <v>2323</v>
      </c>
      <c r="D482" t="s">
        <v>59</v>
      </c>
      <c r="E482">
        <f>HYPERLINK("https://www.britishcycling.org.uk/points?person_id=290678&amp;year=2019&amp;type=national&amp;d=6","Results")</f>
        <v/>
      </c>
    </row>
    <row r="483" spans="1:5">
      <c r="A483" t="s">
        <v>2324</v>
      </c>
      <c r="B483" t="s">
        <v>2325</v>
      </c>
      <c r="C483" t="s">
        <v>663</v>
      </c>
      <c r="D483" t="s">
        <v>59</v>
      </c>
      <c r="E483">
        <f>HYPERLINK("https://www.britishcycling.org.uk/points?person_id=322712&amp;year=2019&amp;type=national&amp;d=6","Results")</f>
        <v/>
      </c>
    </row>
    <row r="484" spans="1:5">
      <c r="A484" t="s">
        <v>1330</v>
      </c>
      <c r="B484" t="s">
        <v>1378</v>
      </c>
      <c r="C484" t="s">
        <v>827</v>
      </c>
      <c r="D484" t="s">
        <v>55</v>
      </c>
      <c r="E484">
        <f>HYPERLINK("https://www.britishcycling.org.uk/points?person_id=296084&amp;year=2019&amp;type=national&amp;d=6","Results")</f>
        <v/>
      </c>
    </row>
    <row r="485" spans="1:5">
      <c r="A485" t="s">
        <v>2326</v>
      </c>
      <c r="B485" t="s">
        <v>2327</v>
      </c>
      <c r="C485" t="s"/>
      <c r="D485" t="s">
        <v>55</v>
      </c>
      <c r="E485">
        <f>HYPERLINK("https://www.britishcycling.org.uk/points?person_id=122481&amp;year=2019&amp;type=national&amp;d=6","Results")</f>
        <v/>
      </c>
    </row>
    <row r="486" spans="1:5">
      <c r="A486" t="s">
        <v>2328</v>
      </c>
      <c r="B486" t="s">
        <v>2329</v>
      </c>
      <c r="C486" t="s">
        <v>15</v>
      </c>
      <c r="D486" t="s">
        <v>55</v>
      </c>
      <c r="E486">
        <f>HYPERLINK("https://www.britishcycling.org.uk/points?person_id=243205&amp;year=2019&amp;type=national&amp;d=6","Results")</f>
        <v/>
      </c>
    </row>
    <row r="487" spans="1:5">
      <c r="A487" t="s">
        <v>2330</v>
      </c>
      <c r="B487" t="s">
        <v>2331</v>
      </c>
      <c r="C487" t="s">
        <v>1823</v>
      </c>
      <c r="D487" t="s">
        <v>55</v>
      </c>
      <c r="E487">
        <f>HYPERLINK("https://www.britishcycling.org.uk/points?person_id=653132&amp;year=2019&amp;type=national&amp;d=6","Results")</f>
        <v/>
      </c>
    </row>
    <row r="488" spans="1:5">
      <c r="A488" t="s">
        <v>1327</v>
      </c>
      <c r="B488" t="s">
        <v>2332</v>
      </c>
      <c r="C488" t="s">
        <v>445</v>
      </c>
      <c r="D488" t="s">
        <v>55</v>
      </c>
      <c r="E488">
        <f>HYPERLINK("https://www.britishcycling.org.uk/points?person_id=223833&amp;year=2019&amp;type=national&amp;d=6","Results")</f>
        <v/>
      </c>
    </row>
    <row r="489" spans="1:5">
      <c r="A489" t="s">
        <v>2333</v>
      </c>
      <c r="B489" t="s">
        <v>2334</v>
      </c>
      <c r="C489" t="s">
        <v>1289</v>
      </c>
      <c r="D489" t="s">
        <v>55</v>
      </c>
      <c r="E489">
        <f>HYPERLINK("https://www.britishcycling.org.uk/points?person_id=131884&amp;year=2019&amp;type=national&amp;d=6","Results")</f>
        <v/>
      </c>
    </row>
    <row r="490" spans="1:5">
      <c r="A490" t="s">
        <v>2335</v>
      </c>
      <c r="B490" t="s">
        <v>2336</v>
      </c>
      <c r="C490" t="s">
        <v>2337</v>
      </c>
      <c r="D490" t="s">
        <v>55</v>
      </c>
      <c r="E490">
        <f>HYPERLINK("https://www.britishcycling.org.uk/points?person_id=68497&amp;year=2019&amp;type=national&amp;d=6","Results")</f>
        <v/>
      </c>
    </row>
    <row r="491" spans="1:5">
      <c r="A491" t="s">
        <v>1619</v>
      </c>
      <c r="B491" t="s">
        <v>2338</v>
      </c>
      <c r="C491" t="s">
        <v>1902</v>
      </c>
      <c r="D491" t="s">
        <v>55</v>
      </c>
      <c r="E491">
        <f>HYPERLINK("https://www.britishcycling.org.uk/points?person_id=801055&amp;year=2019&amp;type=national&amp;d=6","Results")</f>
        <v/>
      </c>
    </row>
    <row r="492" spans="1:5">
      <c r="A492" t="s">
        <v>2339</v>
      </c>
      <c r="B492" t="s">
        <v>2340</v>
      </c>
      <c r="C492" t="s">
        <v>1810</v>
      </c>
      <c r="D492" t="s">
        <v>55</v>
      </c>
      <c r="E492">
        <f>HYPERLINK("https://www.britishcycling.org.uk/points?person_id=312181&amp;year=2019&amp;type=national&amp;d=6","Results")</f>
        <v/>
      </c>
    </row>
    <row r="493" spans="1:5">
      <c r="A493" t="s">
        <v>50</v>
      </c>
      <c r="B493" t="s">
        <v>2341</v>
      </c>
      <c r="C493" t="s"/>
      <c r="D493" t="s">
        <v>55</v>
      </c>
      <c r="E493">
        <f>HYPERLINK("https://www.britishcycling.org.uk/points?person_id=410735&amp;year=2019&amp;type=national&amp;d=6","Results")</f>
        <v/>
      </c>
    </row>
    <row r="494" spans="1:5">
      <c r="A494" t="s">
        <v>2342</v>
      </c>
      <c r="B494" t="s">
        <v>2343</v>
      </c>
      <c r="C494" t="s"/>
      <c r="D494" t="s">
        <v>55</v>
      </c>
      <c r="E494">
        <f>HYPERLINK("https://www.britishcycling.org.uk/points?person_id=936174&amp;year=2019&amp;type=national&amp;d=6","Results")</f>
        <v/>
      </c>
    </row>
    <row r="495" spans="1:5">
      <c r="A495" t="s">
        <v>932</v>
      </c>
      <c r="B495" t="s">
        <v>2344</v>
      </c>
      <c r="C495" t="s">
        <v>2345</v>
      </c>
      <c r="D495" t="s">
        <v>55</v>
      </c>
      <c r="E495">
        <f>HYPERLINK("https://www.britishcycling.org.uk/points?person_id=316430&amp;year=2019&amp;type=national&amp;d=6","Results")</f>
        <v/>
      </c>
    </row>
    <row r="496" spans="1:5">
      <c r="A496" t="s">
        <v>46</v>
      </c>
      <c r="B496" t="s">
        <v>2346</v>
      </c>
      <c r="C496" t="s">
        <v>2347</v>
      </c>
      <c r="D496" t="s">
        <v>51</v>
      </c>
      <c r="E496">
        <f>HYPERLINK("https://www.britishcycling.org.uk/points?person_id=348561&amp;year=2019&amp;type=national&amp;d=6","Results")</f>
        <v/>
      </c>
    </row>
    <row r="497" spans="1:5">
      <c r="A497" t="s">
        <v>2348</v>
      </c>
      <c r="B497" t="s">
        <v>2349</v>
      </c>
      <c r="C497" t="s">
        <v>2350</v>
      </c>
      <c r="D497" t="s">
        <v>51</v>
      </c>
      <c r="E497">
        <f>HYPERLINK("https://www.britishcycling.org.uk/points?person_id=548727&amp;year=2019&amp;type=national&amp;d=6","Results")</f>
        <v/>
      </c>
    </row>
    <row r="498" spans="1:5">
      <c r="A498" t="s">
        <v>2351</v>
      </c>
      <c r="B498" t="s">
        <v>2352</v>
      </c>
      <c r="C498" t="s"/>
      <c r="D498" t="s">
        <v>51</v>
      </c>
      <c r="E498">
        <f>HYPERLINK("https://www.britishcycling.org.uk/points?person_id=21673&amp;year=2019&amp;type=national&amp;d=6","Results")</f>
        <v/>
      </c>
    </row>
    <row r="499" spans="1:5">
      <c r="A499" t="s">
        <v>2353</v>
      </c>
      <c r="B499" t="s">
        <v>2354</v>
      </c>
      <c r="C499" t="s">
        <v>1101</v>
      </c>
      <c r="D499" t="s">
        <v>51</v>
      </c>
      <c r="E499">
        <f>HYPERLINK("https://www.britishcycling.org.uk/points?person_id=550959&amp;year=2019&amp;type=national&amp;d=6","Results")</f>
        <v/>
      </c>
    </row>
    <row r="500" spans="1:5">
      <c r="A500" t="s">
        <v>2355</v>
      </c>
      <c r="B500" t="s">
        <v>2356</v>
      </c>
      <c r="C500" t="s">
        <v>2165</v>
      </c>
      <c r="D500" t="s">
        <v>51</v>
      </c>
      <c r="E500">
        <f>HYPERLINK("https://www.britishcycling.org.uk/points?person_id=408137&amp;year=2019&amp;type=national&amp;d=6","Results")</f>
        <v/>
      </c>
    </row>
    <row r="501" spans="1:5">
      <c r="A501" t="s">
        <v>930</v>
      </c>
      <c r="B501" t="s">
        <v>2357</v>
      </c>
      <c r="C501" t="s">
        <v>381</v>
      </c>
      <c r="D501" t="s">
        <v>51</v>
      </c>
      <c r="E501">
        <f>HYPERLINK("https://www.britishcycling.org.uk/points?person_id=54671&amp;year=2019&amp;type=national&amp;d=6","Results")</f>
        <v/>
      </c>
    </row>
    <row r="502" spans="1:5">
      <c r="A502" t="s">
        <v>2358</v>
      </c>
      <c r="B502" t="s">
        <v>2359</v>
      </c>
      <c r="C502" t="s">
        <v>1354</v>
      </c>
      <c r="D502" t="s">
        <v>47</v>
      </c>
      <c r="E502">
        <f>HYPERLINK("https://www.britishcycling.org.uk/points?person_id=30533&amp;year=2019&amp;type=national&amp;d=6","Results")</f>
        <v/>
      </c>
    </row>
    <row r="503" spans="1:5">
      <c r="A503" t="s">
        <v>2360</v>
      </c>
      <c r="B503" t="s">
        <v>2361</v>
      </c>
      <c r="C503" t="s">
        <v>559</v>
      </c>
      <c r="D503" t="s">
        <v>47</v>
      </c>
      <c r="E503">
        <f>HYPERLINK("https://www.britishcycling.org.uk/points?person_id=768480&amp;year=2019&amp;type=national&amp;d=6","Results")</f>
        <v/>
      </c>
    </row>
    <row r="504" spans="1:5">
      <c r="A504" t="s">
        <v>2362</v>
      </c>
      <c r="B504" t="s">
        <v>2363</v>
      </c>
      <c r="C504" t="s">
        <v>1461</v>
      </c>
      <c r="D504" t="s">
        <v>47</v>
      </c>
      <c r="E504">
        <f>HYPERLINK("https://www.britishcycling.org.uk/points?person_id=541511&amp;year=2019&amp;type=national&amp;d=6","Results")</f>
        <v/>
      </c>
    </row>
    <row r="505" spans="1:5">
      <c r="A505" t="s">
        <v>2364</v>
      </c>
      <c r="B505" t="s">
        <v>2365</v>
      </c>
      <c r="C505" t="s">
        <v>2366</v>
      </c>
      <c r="D505" t="s">
        <v>47</v>
      </c>
      <c r="E505">
        <f>HYPERLINK("https://www.britishcycling.org.uk/points?person_id=46847&amp;year=2019&amp;type=national&amp;d=6","Results")</f>
        <v/>
      </c>
    </row>
    <row r="506" spans="1:5">
      <c r="A506" t="s">
        <v>2367</v>
      </c>
      <c r="B506" t="s">
        <v>2120</v>
      </c>
      <c r="C506" t="s">
        <v>1418</v>
      </c>
      <c r="D506" t="s">
        <v>47</v>
      </c>
      <c r="E506">
        <f>HYPERLINK("https://www.britishcycling.org.uk/points?person_id=545183&amp;year=2019&amp;type=national&amp;d=6","Results")</f>
        <v/>
      </c>
    </row>
    <row r="507" spans="1:5">
      <c r="A507" t="s">
        <v>2368</v>
      </c>
      <c r="B507" t="s">
        <v>2369</v>
      </c>
      <c r="C507" t="s">
        <v>1721</v>
      </c>
      <c r="D507" t="s">
        <v>47</v>
      </c>
      <c r="E507">
        <f>HYPERLINK("https://www.britishcycling.org.uk/points?person_id=21026&amp;year=2019&amp;type=national&amp;d=6","Results")</f>
        <v/>
      </c>
    </row>
    <row r="508" spans="1:5">
      <c r="A508" t="s">
        <v>2370</v>
      </c>
      <c r="B508" t="s">
        <v>2371</v>
      </c>
      <c r="C508" t="s">
        <v>1344</v>
      </c>
      <c r="D508" t="s">
        <v>47</v>
      </c>
      <c r="E508">
        <f>HYPERLINK("https://www.britishcycling.org.uk/points?person_id=326879&amp;year=2019&amp;type=national&amp;d=6","Results")</f>
        <v/>
      </c>
    </row>
    <row r="509" spans="1:5">
      <c r="A509" t="s">
        <v>1325</v>
      </c>
      <c r="B509" t="s">
        <v>2372</v>
      </c>
      <c r="C509" t="s">
        <v>1943</v>
      </c>
      <c r="D509" t="s">
        <v>47</v>
      </c>
      <c r="E509">
        <f>HYPERLINK("https://www.britishcycling.org.uk/points?person_id=512751&amp;year=2019&amp;type=national&amp;d=6","Results")</f>
        <v/>
      </c>
    </row>
    <row r="510" spans="1:5">
      <c r="A510" t="s">
        <v>2373</v>
      </c>
      <c r="B510" t="s">
        <v>2374</v>
      </c>
      <c r="C510" t="s">
        <v>2375</v>
      </c>
      <c r="D510" t="s">
        <v>47</v>
      </c>
      <c r="E510">
        <f>HYPERLINK("https://www.britishcycling.org.uk/points?person_id=352298&amp;year=2019&amp;type=national&amp;d=6","Results")</f>
        <v/>
      </c>
    </row>
    <row r="511" spans="1:5">
      <c r="A511" t="s">
        <v>2376</v>
      </c>
      <c r="B511" t="s">
        <v>2377</v>
      </c>
      <c r="C511" t="s">
        <v>2080</v>
      </c>
      <c r="D511" t="s">
        <v>47</v>
      </c>
      <c r="E511">
        <f>HYPERLINK("https://www.britishcycling.org.uk/points?person_id=241105&amp;year=2019&amp;type=national&amp;d=6","Results")</f>
        <v/>
      </c>
    </row>
    <row r="512" spans="1:5">
      <c r="A512" t="s">
        <v>2378</v>
      </c>
      <c r="B512" t="s">
        <v>2379</v>
      </c>
      <c r="C512" t="s">
        <v>2380</v>
      </c>
      <c r="D512" t="s">
        <v>47</v>
      </c>
      <c r="E512">
        <f>HYPERLINK("https://www.britishcycling.org.uk/points?person_id=682912&amp;year=2019&amp;type=national&amp;d=6","Results")</f>
        <v/>
      </c>
    </row>
    <row r="513" spans="1:5">
      <c r="A513" t="s">
        <v>2381</v>
      </c>
      <c r="B513" t="s">
        <v>2382</v>
      </c>
      <c r="C513" t="s">
        <v>401</v>
      </c>
      <c r="D513" t="s">
        <v>47</v>
      </c>
      <c r="E513">
        <f>HYPERLINK("https://www.britishcycling.org.uk/points?person_id=15182&amp;year=2019&amp;type=national&amp;d=6","Results")</f>
        <v/>
      </c>
    </row>
    <row r="514" spans="1:5">
      <c r="A514" t="s">
        <v>2383</v>
      </c>
      <c r="B514" t="s">
        <v>1385</v>
      </c>
      <c r="C514" t="s">
        <v>1091</v>
      </c>
      <c r="D514" t="s">
        <v>47</v>
      </c>
      <c r="E514">
        <f>HYPERLINK("https://www.britishcycling.org.uk/points?person_id=292891&amp;year=2019&amp;type=national&amp;d=6","Results")</f>
        <v/>
      </c>
    </row>
    <row r="515" spans="1:5">
      <c r="A515" t="s">
        <v>2384</v>
      </c>
      <c r="B515" t="s">
        <v>2385</v>
      </c>
      <c r="C515" t="s">
        <v>2386</v>
      </c>
      <c r="D515" t="s">
        <v>47</v>
      </c>
      <c r="E515">
        <f>HYPERLINK("https://www.britishcycling.org.uk/points?person_id=79255&amp;year=2019&amp;type=national&amp;d=6","Results")</f>
        <v/>
      </c>
    </row>
    <row r="516" spans="1:5">
      <c r="A516" t="s">
        <v>2387</v>
      </c>
      <c r="B516" t="s">
        <v>2388</v>
      </c>
      <c r="C516" t="s">
        <v>2389</v>
      </c>
      <c r="D516" t="s">
        <v>47</v>
      </c>
      <c r="E516">
        <f>HYPERLINK("https://www.britishcycling.org.uk/points?person_id=173586&amp;year=2019&amp;type=national&amp;d=6","Results")</f>
        <v/>
      </c>
    </row>
    <row r="517" spans="1:5">
      <c r="A517" t="s">
        <v>2390</v>
      </c>
      <c r="B517" t="s">
        <v>2391</v>
      </c>
      <c r="C517" t="s">
        <v>2392</v>
      </c>
      <c r="D517" t="s">
        <v>47</v>
      </c>
      <c r="E517">
        <f>HYPERLINK("https://www.britishcycling.org.uk/points?person_id=310820&amp;year=2019&amp;type=national&amp;d=6","Results")</f>
        <v/>
      </c>
    </row>
    <row r="518" spans="1:5">
      <c r="A518" t="s">
        <v>2393</v>
      </c>
      <c r="B518" t="s">
        <v>2394</v>
      </c>
      <c r="C518" t="s">
        <v>1648</v>
      </c>
      <c r="D518" t="s">
        <v>47</v>
      </c>
      <c r="E518">
        <f>HYPERLINK("https://www.britishcycling.org.uk/points?person_id=371763&amp;year=2019&amp;type=national&amp;d=6","Results")</f>
        <v/>
      </c>
    </row>
    <row r="519" spans="1:5">
      <c r="A519" t="s">
        <v>927</v>
      </c>
      <c r="B519" t="s">
        <v>2395</v>
      </c>
      <c r="C519" t="s">
        <v>2396</v>
      </c>
      <c r="D519" t="s">
        <v>47</v>
      </c>
      <c r="E519">
        <f>HYPERLINK("https://www.britishcycling.org.uk/points?person_id=194365&amp;year=2019&amp;type=national&amp;d=6","Results")</f>
        <v/>
      </c>
    </row>
    <row r="520" spans="1:5">
      <c r="A520" t="s">
        <v>2397</v>
      </c>
      <c r="B520" t="s">
        <v>2398</v>
      </c>
      <c r="C520" t="s">
        <v>2399</v>
      </c>
      <c r="D520" t="s">
        <v>43</v>
      </c>
      <c r="E520">
        <f>HYPERLINK("https://www.britishcycling.org.uk/points?person_id=206564&amp;year=2019&amp;type=national&amp;d=6","Results")</f>
        <v/>
      </c>
    </row>
    <row r="521" spans="1:5">
      <c r="A521" t="s">
        <v>2400</v>
      </c>
      <c r="B521" t="s">
        <v>2401</v>
      </c>
      <c r="C521" t="s">
        <v>2402</v>
      </c>
      <c r="D521" t="s">
        <v>43</v>
      </c>
      <c r="E521">
        <f>HYPERLINK("https://www.britishcycling.org.uk/points?person_id=256947&amp;year=2019&amp;type=national&amp;d=6","Results")</f>
        <v/>
      </c>
    </row>
    <row r="522" spans="1:5">
      <c r="A522" t="s">
        <v>2403</v>
      </c>
      <c r="B522" t="s">
        <v>1472</v>
      </c>
      <c r="C522" t="s">
        <v>514</v>
      </c>
      <c r="D522" t="s">
        <v>43</v>
      </c>
      <c r="E522">
        <f>HYPERLINK("https://www.britishcycling.org.uk/points?person_id=673320&amp;year=2019&amp;type=national&amp;d=6","Results")</f>
        <v/>
      </c>
    </row>
    <row r="523" spans="1:5">
      <c r="A523" t="s">
        <v>2404</v>
      </c>
      <c r="B523" t="s">
        <v>2405</v>
      </c>
      <c r="C523" t="s">
        <v>312</v>
      </c>
      <c r="D523" t="s">
        <v>43</v>
      </c>
      <c r="E523">
        <f>HYPERLINK("https://www.britishcycling.org.uk/points?person_id=108183&amp;year=2019&amp;type=national&amp;d=6","Results")</f>
        <v/>
      </c>
    </row>
    <row r="524" spans="1:5">
      <c r="A524" t="s">
        <v>2406</v>
      </c>
      <c r="B524" t="s">
        <v>2407</v>
      </c>
      <c r="C524" t="s">
        <v>1696</v>
      </c>
      <c r="D524" t="s">
        <v>43</v>
      </c>
      <c r="E524">
        <f>HYPERLINK("https://www.britishcycling.org.uk/points?person_id=353126&amp;year=2019&amp;type=national&amp;d=6","Results")</f>
        <v/>
      </c>
    </row>
    <row r="525" spans="1:5">
      <c r="A525" t="s">
        <v>2408</v>
      </c>
      <c r="B525" t="s">
        <v>2409</v>
      </c>
      <c r="C525" t="s">
        <v>1931</v>
      </c>
      <c r="D525" t="s">
        <v>43</v>
      </c>
      <c r="E525">
        <f>HYPERLINK("https://www.britishcycling.org.uk/points?person_id=754589&amp;year=2019&amp;type=national&amp;d=6","Results")</f>
        <v/>
      </c>
    </row>
    <row r="526" spans="1:5">
      <c r="A526" t="s">
        <v>2410</v>
      </c>
      <c r="B526" t="s">
        <v>2411</v>
      </c>
      <c r="C526" t="s">
        <v>2412</v>
      </c>
      <c r="D526" t="s">
        <v>43</v>
      </c>
      <c r="E526">
        <f>HYPERLINK("https://www.britishcycling.org.uk/points?person_id=357380&amp;year=2019&amp;type=national&amp;d=6","Results")</f>
        <v/>
      </c>
    </row>
    <row r="527" spans="1:5">
      <c r="A527" t="s">
        <v>2413</v>
      </c>
      <c r="B527" t="s">
        <v>2414</v>
      </c>
      <c r="C527" t="s">
        <v>1113</v>
      </c>
      <c r="D527" t="s">
        <v>43</v>
      </c>
      <c r="E527">
        <f>HYPERLINK("https://www.britishcycling.org.uk/points?person_id=248925&amp;year=2019&amp;type=national&amp;d=6","Results")</f>
        <v/>
      </c>
    </row>
    <row r="528" spans="1:5">
      <c r="A528" t="s">
        <v>2415</v>
      </c>
      <c r="B528" t="s">
        <v>2416</v>
      </c>
      <c r="C528" t="s">
        <v>2417</v>
      </c>
      <c r="D528" t="s">
        <v>39</v>
      </c>
      <c r="E528">
        <f>HYPERLINK("https://www.britishcycling.org.uk/points?person_id=48582&amp;year=2019&amp;type=national&amp;d=6","Results")</f>
        <v/>
      </c>
    </row>
    <row r="529" spans="1:5">
      <c r="A529" t="s">
        <v>2418</v>
      </c>
      <c r="B529" t="s">
        <v>2419</v>
      </c>
      <c r="C529" t="s"/>
      <c r="D529" t="s">
        <v>39</v>
      </c>
      <c r="E529">
        <f>HYPERLINK("https://www.britishcycling.org.uk/points?person_id=181348&amp;year=2019&amp;type=national&amp;d=6","Results")</f>
        <v/>
      </c>
    </row>
    <row r="530" spans="1:5">
      <c r="A530" t="s">
        <v>2420</v>
      </c>
      <c r="B530" t="s">
        <v>2421</v>
      </c>
      <c r="C530" t="s">
        <v>1943</v>
      </c>
      <c r="D530" t="s">
        <v>39</v>
      </c>
      <c r="E530">
        <f>HYPERLINK("https://www.britishcycling.org.uk/points?person_id=344225&amp;year=2019&amp;type=national&amp;d=6","Results")</f>
        <v/>
      </c>
    </row>
    <row r="531" spans="1:5">
      <c r="A531" t="s">
        <v>2422</v>
      </c>
      <c r="B531" t="s">
        <v>2423</v>
      </c>
      <c r="C531" t="s">
        <v>1699</v>
      </c>
      <c r="D531" t="s">
        <v>39</v>
      </c>
      <c r="E531">
        <f>HYPERLINK("https://www.britishcycling.org.uk/points?person_id=175974&amp;year=2019&amp;type=national&amp;d=6","Results")</f>
        <v/>
      </c>
    </row>
    <row r="532" spans="1:5">
      <c r="A532" t="s">
        <v>1613</v>
      </c>
      <c r="B532" t="s">
        <v>1528</v>
      </c>
      <c r="C532" t="s">
        <v>1529</v>
      </c>
      <c r="D532" t="s">
        <v>39</v>
      </c>
      <c r="E532">
        <f>HYPERLINK("https://www.britishcycling.org.uk/points?person_id=381613&amp;year=2019&amp;type=national&amp;d=6","Results")</f>
        <v/>
      </c>
    </row>
    <row r="533" spans="1:5">
      <c r="A533" t="s">
        <v>2424</v>
      </c>
      <c r="B533" t="s">
        <v>2425</v>
      </c>
      <c r="C533" t="s">
        <v>1814</v>
      </c>
      <c r="D533" t="s">
        <v>39</v>
      </c>
      <c r="E533">
        <f>HYPERLINK("https://www.britishcycling.org.uk/points?person_id=99387&amp;year=2019&amp;type=national&amp;d=6","Results")</f>
        <v/>
      </c>
    </row>
    <row r="534" spans="1:5">
      <c r="A534" t="s">
        <v>2426</v>
      </c>
      <c r="B534" t="s">
        <v>2427</v>
      </c>
      <c r="C534" t="s">
        <v>299</v>
      </c>
      <c r="D534" t="s">
        <v>39</v>
      </c>
      <c r="E534">
        <f>HYPERLINK("https://www.britishcycling.org.uk/points?person_id=322960&amp;year=2019&amp;type=national&amp;d=6","Results")</f>
        <v/>
      </c>
    </row>
    <row r="535" spans="1:5">
      <c r="A535" t="s">
        <v>42</v>
      </c>
      <c r="B535" t="s">
        <v>2428</v>
      </c>
      <c r="C535" t="s">
        <v>1677</v>
      </c>
      <c r="D535" t="s">
        <v>39</v>
      </c>
      <c r="E535">
        <f>HYPERLINK("https://www.britishcycling.org.uk/points?person_id=168251&amp;year=2019&amp;type=national&amp;d=6","Results")</f>
        <v/>
      </c>
    </row>
    <row r="536" spans="1:5">
      <c r="A536" t="s">
        <v>2429</v>
      </c>
      <c r="B536" t="s">
        <v>2430</v>
      </c>
      <c r="C536" t="s">
        <v>693</v>
      </c>
      <c r="D536" t="s">
        <v>39</v>
      </c>
      <c r="E536">
        <f>HYPERLINK("https://www.britishcycling.org.uk/points?person_id=873269&amp;year=2019&amp;type=national&amp;d=6","Results")</f>
        <v/>
      </c>
    </row>
    <row r="537" spans="1:5">
      <c r="A537" t="s">
        <v>924</v>
      </c>
      <c r="B537" t="s">
        <v>2431</v>
      </c>
      <c r="C537" t="s">
        <v>135</v>
      </c>
      <c r="D537" t="s">
        <v>39</v>
      </c>
      <c r="E537">
        <f>HYPERLINK("https://www.britishcycling.org.uk/points?person_id=50750&amp;year=2019&amp;type=national&amp;d=6","Results")</f>
        <v/>
      </c>
    </row>
    <row r="538" spans="1:5">
      <c r="A538" t="s">
        <v>2432</v>
      </c>
      <c r="B538" t="s">
        <v>1438</v>
      </c>
      <c r="C538" t="s">
        <v>663</v>
      </c>
      <c r="D538" t="s">
        <v>39</v>
      </c>
      <c r="E538">
        <f>HYPERLINK("https://www.britishcycling.org.uk/points?person_id=515895&amp;year=2019&amp;type=national&amp;d=6","Results")</f>
        <v/>
      </c>
    </row>
    <row r="539" spans="1:5">
      <c r="A539" t="s">
        <v>922</v>
      </c>
      <c r="B539" t="s">
        <v>2433</v>
      </c>
      <c r="C539" t="s">
        <v>23</v>
      </c>
      <c r="D539" t="s">
        <v>39</v>
      </c>
      <c r="E539">
        <f>HYPERLINK("https://www.britishcycling.org.uk/points?person_id=323427&amp;year=2019&amp;type=national&amp;d=6","Results")</f>
        <v/>
      </c>
    </row>
    <row r="540" spans="1:5">
      <c r="A540" t="s">
        <v>2434</v>
      </c>
      <c r="B540" t="s">
        <v>2435</v>
      </c>
      <c r="C540" t="s">
        <v>2281</v>
      </c>
      <c r="D540" t="s">
        <v>39</v>
      </c>
      <c r="E540">
        <f>HYPERLINK("https://www.britishcycling.org.uk/points?person_id=247653&amp;year=2019&amp;type=national&amp;d=6","Results")</f>
        <v/>
      </c>
    </row>
    <row r="541" spans="1:5">
      <c r="A541" t="s">
        <v>2436</v>
      </c>
      <c r="B541" t="s">
        <v>2437</v>
      </c>
      <c r="C541" t="s">
        <v>2438</v>
      </c>
      <c r="D541" t="s">
        <v>39</v>
      </c>
      <c r="E541">
        <f>HYPERLINK("https://www.britishcycling.org.uk/points?person_id=302946&amp;year=2019&amp;type=national&amp;d=6","Results")</f>
        <v/>
      </c>
    </row>
    <row r="542" spans="1:5">
      <c r="A542" t="s">
        <v>2439</v>
      </c>
      <c r="B542" t="s">
        <v>2440</v>
      </c>
      <c r="C542" t="s">
        <v>2441</v>
      </c>
      <c r="D542" t="s">
        <v>39</v>
      </c>
      <c r="E542">
        <f>HYPERLINK("https://www.britishcycling.org.uk/points?person_id=270245&amp;year=2019&amp;type=national&amp;d=6","Results")</f>
        <v/>
      </c>
    </row>
    <row r="543" spans="1:5">
      <c r="A543" t="s">
        <v>2442</v>
      </c>
      <c r="B543" t="s">
        <v>2443</v>
      </c>
      <c r="C543" t="s">
        <v>2444</v>
      </c>
      <c r="D543" t="s">
        <v>39</v>
      </c>
      <c r="E543">
        <f>HYPERLINK("https://www.britishcycling.org.uk/points?person_id=378650&amp;year=2019&amp;type=national&amp;d=6","Results")</f>
        <v/>
      </c>
    </row>
    <row r="544" spans="1:5">
      <c r="A544" t="s">
        <v>2445</v>
      </c>
      <c r="B544" t="s">
        <v>1360</v>
      </c>
      <c r="C544" t="s">
        <v>472</v>
      </c>
      <c r="D544" t="s">
        <v>39</v>
      </c>
      <c r="E544">
        <f>HYPERLINK("https://www.britishcycling.org.uk/points?person_id=129559&amp;year=2019&amp;type=national&amp;d=6","Results")</f>
        <v/>
      </c>
    </row>
    <row r="545" spans="1:5">
      <c r="A545" t="s">
        <v>920</v>
      </c>
      <c r="B545" t="s">
        <v>2446</v>
      </c>
      <c r="C545" t="s">
        <v>1782</v>
      </c>
      <c r="D545" t="s">
        <v>39</v>
      </c>
      <c r="E545">
        <f>HYPERLINK("https://www.britishcycling.org.uk/points?person_id=244356&amp;year=2019&amp;type=national&amp;d=6","Results")</f>
        <v/>
      </c>
    </row>
    <row r="546" spans="1:5">
      <c r="A546" t="s">
        <v>2447</v>
      </c>
      <c r="B546" t="s">
        <v>2448</v>
      </c>
      <c r="C546" t="s">
        <v>212</v>
      </c>
      <c r="D546" t="s">
        <v>39</v>
      </c>
      <c r="E546">
        <f>HYPERLINK("https://www.britishcycling.org.uk/points?person_id=125866&amp;year=2019&amp;type=national&amp;d=6","Results")</f>
        <v/>
      </c>
    </row>
    <row r="547" spans="1:5">
      <c r="A547" t="s">
        <v>2449</v>
      </c>
      <c r="B547" t="s">
        <v>2450</v>
      </c>
      <c r="C547" t="s">
        <v>2274</v>
      </c>
      <c r="D547" t="s">
        <v>35</v>
      </c>
      <c r="E547">
        <f>HYPERLINK("https://www.britishcycling.org.uk/points?person_id=649329&amp;year=2019&amp;type=national&amp;d=6","Results")</f>
        <v/>
      </c>
    </row>
    <row r="548" spans="1:5">
      <c r="A548" t="s">
        <v>2451</v>
      </c>
      <c r="B548" t="s">
        <v>2452</v>
      </c>
      <c r="C548" t="s">
        <v>2188</v>
      </c>
      <c r="D548" t="s">
        <v>35</v>
      </c>
      <c r="E548">
        <f>HYPERLINK("https://www.britishcycling.org.uk/points?person_id=252521&amp;year=2019&amp;type=national&amp;d=6","Results")</f>
        <v/>
      </c>
    </row>
    <row r="549" spans="1:5">
      <c r="A549" t="s">
        <v>2453</v>
      </c>
      <c r="B549" t="s">
        <v>2454</v>
      </c>
      <c r="C549" t="s"/>
      <c r="D549" t="s">
        <v>35</v>
      </c>
      <c r="E549">
        <f>HYPERLINK("https://www.britishcycling.org.uk/points?person_id=936646&amp;year=2019&amp;type=national&amp;d=6","Results")</f>
        <v/>
      </c>
    </row>
    <row r="550" spans="1:5">
      <c r="A550" t="s">
        <v>1611</v>
      </c>
      <c r="B550" t="s">
        <v>2455</v>
      </c>
      <c r="C550" t="s">
        <v>2236</v>
      </c>
      <c r="D550" t="s">
        <v>35</v>
      </c>
      <c r="E550">
        <f>HYPERLINK("https://www.britishcycling.org.uk/points?person_id=101996&amp;year=2019&amp;type=national&amp;d=6","Results")</f>
        <v/>
      </c>
    </row>
    <row r="551" spans="1:5">
      <c r="A551" t="s">
        <v>2456</v>
      </c>
      <c r="B551" t="s">
        <v>2457</v>
      </c>
      <c r="C551" t="s">
        <v>1971</v>
      </c>
      <c r="D551" t="s">
        <v>35</v>
      </c>
      <c r="E551">
        <f>HYPERLINK("https://www.britishcycling.org.uk/points?person_id=228936&amp;year=2019&amp;type=national&amp;d=6","Results")</f>
        <v/>
      </c>
    </row>
    <row r="552" spans="1:5">
      <c r="A552" t="s">
        <v>2458</v>
      </c>
      <c r="B552" t="s">
        <v>1372</v>
      </c>
      <c r="C552" t="s">
        <v>1373</v>
      </c>
      <c r="D552" t="s">
        <v>35</v>
      </c>
      <c r="E552">
        <f>HYPERLINK("https://www.britishcycling.org.uk/points?person_id=263088&amp;year=2019&amp;type=national&amp;d=6","Results")</f>
        <v/>
      </c>
    </row>
    <row r="553" spans="1:5">
      <c r="A553" t="s">
        <v>2459</v>
      </c>
      <c r="B553" t="s">
        <v>1474</v>
      </c>
      <c r="C553" t="s">
        <v>1475</v>
      </c>
      <c r="D553" t="s">
        <v>35</v>
      </c>
      <c r="E553">
        <f>HYPERLINK("https://www.britishcycling.org.uk/points?person_id=257879&amp;year=2019&amp;type=national&amp;d=6","Results")</f>
        <v/>
      </c>
    </row>
    <row r="554" spans="1:5">
      <c r="A554" t="s">
        <v>2460</v>
      </c>
      <c r="B554" t="s">
        <v>2461</v>
      </c>
      <c r="C554" t="s">
        <v>1736</v>
      </c>
      <c r="D554" t="s">
        <v>35</v>
      </c>
      <c r="E554">
        <f>HYPERLINK("https://www.britishcycling.org.uk/points?person_id=757404&amp;year=2019&amp;type=national&amp;d=6","Results")</f>
        <v/>
      </c>
    </row>
    <row r="555" spans="1:5">
      <c r="A555" t="s">
        <v>2462</v>
      </c>
      <c r="B555" t="s">
        <v>2463</v>
      </c>
      <c r="C555" t="s">
        <v>671</v>
      </c>
      <c r="D555" t="s">
        <v>35</v>
      </c>
      <c r="E555">
        <f>HYPERLINK("https://www.britishcycling.org.uk/points?person_id=133646&amp;year=2019&amp;type=national&amp;d=6","Results")</f>
        <v/>
      </c>
    </row>
    <row r="556" spans="1:5">
      <c r="A556" t="s">
        <v>2464</v>
      </c>
      <c r="B556" t="s">
        <v>2465</v>
      </c>
      <c r="C556" t="s">
        <v>2466</v>
      </c>
      <c r="D556" t="s">
        <v>35</v>
      </c>
      <c r="E556">
        <f>HYPERLINK("https://www.britishcycling.org.uk/points?person_id=56370&amp;year=2019&amp;type=national&amp;d=6","Results")</f>
        <v/>
      </c>
    </row>
    <row r="557" spans="1:5">
      <c r="A557" t="s">
        <v>2467</v>
      </c>
      <c r="B557" t="s">
        <v>2468</v>
      </c>
      <c r="C557" t="s">
        <v>1603</v>
      </c>
      <c r="D557" t="s">
        <v>35</v>
      </c>
      <c r="E557">
        <f>HYPERLINK("https://www.britishcycling.org.uk/points?person_id=41354&amp;year=2019&amp;type=national&amp;d=6","Results")</f>
        <v/>
      </c>
    </row>
    <row r="558" spans="1:5">
      <c r="A558" t="s">
        <v>2469</v>
      </c>
      <c r="B558" t="s">
        <v>2470</v>
      </c>
      <c r="C558" t="s">
        <v>837</v>
      </c>
      <c r="D558" t="s">
        <v>35</v>
      </c>
      <c r="E558">
        <f>HYPERLINK("https://www.britishcycling.org.uk/points?person_id=76157&amp;year=2019&amp;type=national&amp;d=6","Results")</f>
        <v/>
      </c>
    </row>
    <row r="559" spans="1:5">
      <c r="A559" t="s">
        <v>2471</v>
      </c>
      <c r="B559" t="s">
        <v>2472</v>
      </c>
      <c r="C559" t="s">
        <v>1736</v>
      </c>
      <c r="D559" t="s">
        <v>35</v>
      </c>
      <c r="E559">
        <f>HYPERLINK("https://www.britishcycling.org.uk/points?person_id=655812&amp;year=2019&amp;type=national&amp;d=6","Results")</f>
        <v/>
      </c>
    </row>
    <row r="560" spans="1:5">
      <c r="A560" t="s">
        <v>2473</v>
      </c>
      <c r="B560" t="s">
        <v>2474</v>
      </c>
      <c r="C560" t="s">
        <v>238</v>
      </c>
      <c r="D560" t="s">
        <v>35</v>
      </c>
      <c r="E560">
        <f>HYPERLINK("https://www.britishcycling.org.uk/points?person_id=109260&amp;year=2019&amp;type=national&amp;d=6","Results")</f>
        <v/>
      </c>
    </row>
    <row r="561" spans="1:5">
      <c r="A561" t="s">
        <v>2475</v>
      </c>
      <c r="B561" t="s">
        <v>2476</v>
      </c>
      <c r="C561" t="s"/>
      <c r="D561" t="s">
        <v>35</v>
      </c>
      <c r="E561">
        <f>HYPERLINK("https://www.britishcycling.org.uk/points?person_id=607066&amp;year=2019&amp;type=national&amp;d=6","Results")</f>
        <v/>
      </c>
    </row>
    <row r="562" spans="1:5">
      <c r="A562" t="s">
        <v>2477</v>
      </c>
      <c r="B562" t="s">
        <v>2478</v>
      </c>
      <c r="C562" t="s"/>
      <c r="D562" t="s">
        <v>35</v>
      </c>
      <c r="E562">
        <f>HYPERLINK("https://www.britishcycling.org.uk/points?person_id=922562&amp;year=2019&amp;type=national&amp;d=6","Results")</f>
        <v/>
      </c>
    </row>
    <row r="563" spans="1:5">
      <c r="A563" t="s">
        <v>2479</v>
      </c>
      <c r="B563" t="s">
        <v>2480</v>
      </c>
      <c r="C563" t="s">
        <v>1332</v>
      </c>
      <c r="D563" t="s">
        <v>35</v>
      </c>
      <c r="E563">
        <f>HYPERLINK("https://www.britishcycling.org.uk/points?person_id=192941&amp;year=2019&amp;type=national&amp;d=6","Results")</f>
        <v/>
      </c>
    </row>
    <row r="564" spans="1:5">
      <c r="A564" t="s">
        <v>2481</v>
      </c>
      <c r="B564" t="s">
        <v>2482</v>
      </c>
      <c r="C564" t="s"/>
      <c r="D564" t="s">
        <v>35</v>
      </c>
      <c r="E564">
        <f>HYPERLINK("https://www.britishcycling.org.uk/points?person_id=255889&amp;year=2019&amp;type=national&amp;d=6","Results")</f>
        <v/>
      </c>
    </row>
    <row r="565" spans="1:5">
      <c r="A565" t="s">
        <v>2483</v>
      </c>
      <c r="B565" t="s">
        <v>2484</v>
      </c>
      <c r="C565" t="s">
        <v>2485</v>
      </c>
      <c r="D565" t="s">
        <v>35</v>
      </c>
      <c r="E565">
        <f>HYPERLINK("https://www.britishcycling.org.uk/points?person_id=709607&amp;year=2019&amp;type=national&amp;d=6","Results")</f>
        <v/>
      </c>
    </row>
    <row r="566" spans="1:5">
      <c r="A566" t="s">
        <v>2486</v>
      </c>
      <c r="B566" t="s">
        <v>2487</v>
      </c>
      <c r="C566" t="s">
        <v>2488</v>
      </c>
      <c r="D566" t="s">
        <v>35</v>
      </c>
      <c r="E566">
        <f>HYPERLINK("https://www.britishcycling.org.uk/points?person_id=443675&amp;year=2019&amp;type=national&amp;d=6","Results")</f>
        <v/>
      </c>
    </row>
    <row r="567" spans="1:5">
      <c r="A567" t="s">
        <v>2489</v>
      </c>
      <c r="B567" t="s">
        <v>2490</v>
      </c>
      <c r="C567" t="s">
        <v>1440</v>
      </c>
      <c r="D567" t="s">
        <v>35</v>
      </c>
      <c r="E567">
        <f>HYPERLINK("https://www.britishcycling.org.uk/points?person_id=53903&amp;year=2019&amp;type=national&amp;d=6","Results")</f>
        <v/>
      </c>
    </row>
    <row r="568" spans="1:5">
      <c r="A568" t="s">
        <v>2491</v>
      </c>
      <c r="B568" t="s">
        <v>2492</v>
      </c>
      <c r="C568" t="s">
        <v>2090</v>
      </c>
      <c r="D568" t="s">
        <v>35</v>
      </c>
      <c r="E568">
        <f>HYPERLINK("https://www.britishcycling.org.uk/points?person_id=105027&amp;year=2019&amp;type=national&amp;d=6","Results")</f>
        <v/>
      </c>
    </row>
    <row r="569" spans="1:5">
      <c r="A569" t="s">
        <v>2493</v>
      </c>
      <c r="B569" t="s">
        <v>1546</v>
      </c>
      <c r="C569" t="s">
        <v>324</v>
      </c>
      <c r="D569" t="s">
        <v>31</v>
      </c>
      <c r="E569">
        <f>HYPERLINK("https://www.britishcycling.org.uk/points?person_id=252866&amp;year=2019&amp;type=national&amp;d=6","Results")</f>
        <v/>
      </c>
    </row>
    <row r="570" spans="1:5">
      <c r="A570" t="s">
        <v>2494</v>
      </c>
      <c r="B570" t="s">
        <v>1508</v>
      </c>
      <c r="C570" t="s">
        <v>358</v>
      </c>
      <c r="D570" t="s">
        <v>31</v>
      </c>
      <c r="E570">
        <f>HYPERLINK("https://www.britishcycling.org.uk/points?person_id=449280&amp;year=2019&amp;type=national&amp;d=6","Results")</f>
        <v/>
      </c>
    </row>
    <row r="571" spans="1:5">
      <c r="A571" t="s">
        <v>2495</v>
      </c>
      <c r="B571" t="s">
        <v>2496</v>
      </c>
      <c r="C571" t="s">
        <v>2096</v>
      </c>
      <c r="D571" t="s">
        <v>31</v>
      </c>
      <c r="E571">
        <f>HYPERLINK("https://www.britishcycling.org.uk/points?person_id=528208&amp;year=2019&amp;type=national&amp;d=6","Results")</f>
        <v/>
      </c>
    </row>
    <row r="572" spans="1:5">
      <c r="A572" t="s">
        <v>2497</v>
      </c>
      <c r="B572" t="s">
        <v>2498</v>
      </c>
      <c r="C572" t="s">
        <v>2499</v>
      </c>
      <c r="D572" t="s">
        <v>31</v>
      </c>
      <c r="E572">
        <f>HYPERLINK("https://www.britishcycling.org.uk/points?person_id=222798&amp;year=2019&amp;type=national&amp;d=6","Results")</f>
        <v/>
      </c>
    </row>
    <row r="573" spans="1:5">
      <c r="A573" t="s">
        <v>2500</v>
      </c>
      <c r="B573" t="s">
        <v>1393</v>
      </c>
      <c r="C573" t="s">
        <v>1518</v>
      </c>
      <c r="D573" t="s">
        <v>31</v>
      </c>
      <c r="E573">
        <f>HYPERLINK("https://www.britishcycling.org.uk/points?person_id=193895&amp;year=2019&amp;type=national&amp;d=6","Results")</f>
        <v/>
      </c>
    </row>
    <row r="574" spans="1:5">
      <c r="A574" t="s">
        <v>2501</v>
      </c>
      <c r="B574" t="s">
        <v>2502</v>
      </c>
      <c r="C574" t="s">
        <v>2375</v>
      </c>
      <c r="D574" t="s">
        <v>31</v>
      </c>
      <c r="E574">
        <f>HYPERLINK("https://www.britishcycling.org.uk/points?person_id=374860&amp;year=2019&amp;type=national&amp;d=6","Results")</f>
        <v/>
      </c>
    </row>
    <row r="575" spans="1:5">
      <c r="A575" t="s">
        <v>1608</v>
      </c>
      <c r="B575" t="s">
        <v>2503</v>
      </c>
      <c r="C575" t="s">
        <v>1289</v>
      </c>
      <c r="D575" t="s">
        <v>31</v>
      </c>
      <c r="E575">
        <f>HYPERLINK("https://www.britishcycling.org.uk/points?person_id=109336&amp;year=2019&amp;type=national&amp;d=6","Results")</f>
        <v/>
      </c>
    </row>
    <row r="576" spans="1:5">
      <c r="A576" t="s">
        <v>2504</v>
      </c>
      <c r="B576" t="s">
        <v>2505</v>
      </c>
      <c r="C576" t="s">
        <v>198</v>
      </c>
      <c r="D576" t="s">
        <v>31</v>
      </c>
      <c r="E576">
        <f>HYPERLINK("https://www.britishcycling.org.uk/points?person_id=196869&amp;year=2019&amp;type=national&amp;d=6","Results")</f>
        <v/>
      </c>
    </row>
    <row r="577" spans="1:5">
      <c r="A577" t="s">
        <v>2506</v>
      </c>
      <c r="B577" t="s">
        <v>2507</v>
      </c>
      <c r="C577" t="s">
        <v>2126</v>
      </c>
      <c r="D577" t="s">
        <v>31</v>
      </c>
      <c r="E577">
        <f>HYPERLINK("https://www.britishcycling.org.uk/points?person_id=78710&amp;year=2019&amp;type=national&amp;d=6","Results")</f>
        <v/>
      </c>
    </row>
    <row r="578" spans="1:5">
      <c r="A578" t="s">
        <v>2508</v>
      </c>
      <c r="B578" t="s">
        <v>2509</v>
      </c>
      <c r="C578" t="s">
        <v>361</v>
      </c>
      <c r="D578" t="s">
        <v>31</v>
      </c>
      <c r="E578">
        <f>HYPERLINK("https://www.britishcycling.org.uk/points?person_id=231990&amp;year=2019&amp;type=national&amp;d=6","Results")</f>
        <v/>
      </c>
    </row>
    <row r="579" spans="1:5">
      <c r="A579" t="s">
        <v>2510</v>
      </c>
      <c r="B579" t="s">
        <v>2511</v>
      </c>
      <c r="C579" t="s">
        <v>592</v>
      </c>
      <c r="D579" t="s">
        <v>31</v>
      </c>
      <c r="E579">
        <f>HYPERLINK("https://www.britishcycling.org.uk/points?person_id=431523&amp;year=2019&amp;type=national&amp;d=6","Results")</f>
        <v/>
      </c>
    </row>
    <row r="580" spans="1:5">
      <c r="A580" t="s">
        <v>2512</v>
      </c>
      <c r="B580" t="s">
        <v>2513</v>
      </c>
      <c r="C580" t="s">
        <v>1874</v>
      </c>
      <c r="D580" t="s">
        <v>31</v>
      </c>
      <c r="E580">
        <f>HYPERLINK("https://www.britishcycling.org.uk/points?person_id=426063&amp;year=2019&amp;type=national&amp;d=6","Results")</f>
        <v/>
      </c>
    </row>
    <row r="581" spans="1:5">
      <c r="A581" t="s">
        <v>2514</v>
      </c>
      <c r="B581" t="s">
        <v>2515</v>
      </c>
      <c r="C581" t="s">
        <v>2516</v>
      </c>
      <c r="D581" t="s">
        <v>31</v>
      </c>
      <c r="E581">
        <f>HYPERLINK("https://www.britishcycling.org.uk/points?person_id=770025&amp;year=2019&amp;type=national&amp;d=6","Results")</f>
        <v/>
      </c>
    </row>
    <row r="582" spans="1:5">
      <c r="A582" t="s">
        <v>2517</v>
      </c>
      <c r="B582" t="s">
        <v>2518</v>
      </c>
      <c r="C582" t="s"/>
      <c r="D582" t="s">
        <v>31</v>
      </c>
      <c r="E582">
        <f>HYPERLINK("https://www.britishcycling.org.uk/points?person_id=364500&amp;year=2019&amp;type=national&amp;d=6","Results")</f>
        <v/>
      </c>
    </row>
    <row r="583" spans="1:5">
      <c r="A583" t="s">
        <v>1606</v>
      </c>
      <c r="B583" t="s">
        <v>2519</v>
      </c>
      <c r="C583" t="s">
        <v>1704</v>
      </c>
      <c r="D583" t="s">
        <v>31</v>
      </c>
      <c r="E583">
        <f>HYPERLINK("https://www.britishcycling.org.uk/points?person_id=929&amp;year=2019&amp;type=national&amp;d=6","Results")</f>
        <v/>
      </c>
    </row>
    <row r="584" spans="1:5">
      <c r="A584" t="s">
        <v>2520</v>
      </c>
      <c r="B584" t="s">
        <v>2521</v>
      </c>
      <c r="C584" t="s">
        <v>817</v>
      </c>
      <c r="D584" t="s">
        <v>28</v>
      </c>
      <c r="E584">
        <f>HYPERLINK("https://www.britishcycling.org.uk/points?person_id=248966&amp;year=2019&amp;type=national&amp;d=6","Results")</f>
        <v/>
      </c>
    </row>
    <row r="585" spans="1:5">
      <c r="A585" t="s">
        <v>2522</v>
      </c>
      <c r="B585" t="s">
        <v>2523</v>
      </c>
      <c r="C585" t="s">
        <v>2524</v>
      </c>
      <c r="D585" t="s">
        <v>28</v>
      </c>
      <c r="E585">
        <f>HYPERLINK("https://www.britishcycling.org.uk/points?person_id=174135&amp;year=2019&amp;type=national&amp;d=6","Results")</f>
        <v/>
      </c>
    </row>
    <row r="586" spans="1:5">
      <c r="A586" t="s">
        <v>2525</v>
      </c>
      <c r="B586" t="s">
        <v>2526</v>
      </c>
      <c r="C586" t="s">
        <v>2527</v>
      </c>
      <c r="D586" t="s">
        <v>28</v>
      </c>
      <c r="E586">
        <f>HYPERLINK("https://www.britishcycling.org.uk/points?person_id=60653&amp;year=2019&amp;type=national&amp;d=6","Results")</f>
        <v/>
      </c>
    </row>
    <row r="587" spans="1:5">
      <c r="A587" t="s">
        <v>38</v>
      </c>
      <c r="B587" t="s">
        <v>1497</v>
      </c>
      <c r="C587" t="s">
        <v>1498</v>
      </c>
      <c r="D587" t="s">
        <v>28</v>
      </c>
      <c r="E587">
        <f>HYPERLINK("https://www.britishcycling.org.uk/points?person_id=295831&amp;year=2019&amp;type=national&amp;d=6","Results")</f>
        <v/>
      </c>
    </row>
    <row r="588" spans="1:5">
      <c r="A588" t="s">
        <v>2528</v>
      </c>
      <c r="B588" t="s">
        <v>2529</v>
      </c>
      <c r="C588" t="s">
        <v>249</v>
      </c>
      <c r="D588" t="s">
        <v>28</v>
      </c>
      <c r="E588">
        <f>HYPERLINK("https://www.britishcycling.org.uk/points?person_id=561855&amp;year=2019&amp;type=national&amp;d=6","Results")</f>
        <v/>
      </c>
    </row>
    <row r="589" spans="1:5">
      <c r="A589" t="s">
        <v>2530</v>
      </c>
      <c r="B589" t="s">
        <v>2531</v>
      </c>
      <c r="C589" t="s">
        <v>2532</v>
      </c>
      <c r="D589" t="s">
        <v>28</v>
      </c>
      <c r="E589">
        <f>HYPERLINK("https://www.britishcycling.org.uk/points?person_id=182472&amp;year=2019&amp;type=national&amp;d=6","Results")</f>
        <v/>
      </c>
    </row>
    <row r="590" spans="1:5">
      <c r="A590" t="s">
        <v>2533</v>
      </c>
      <c r="B590" t="s">
        <v>2534</v>
      </c>
      <c r="C590" t="s">
        <v>2535</v>
      </c>
      <c r="D590" t="s">
        <v>28</v>
      </c>
      <c r="E590">
        <f>HYPERLINK("https://www.britishcycling.org.uk/points?person_id=126829&amp;year=2019&amp;type=national&amp;d=6","Results")</f>
        <v/>
      </c>
    </row>
    <row r="591" spans="1:5">
      <c r="A591" t="s">
        <v>2536</v>
      </c>
      <c r="B591" t="s">
        <v>2537</v>
      </c>
      <c r="C591" t="s">
        <v>2054</v>
      </c>
      <c r="D591" t="s">
        <v>28</v>
      </c>
      <c r="E591">
        <f>HYPERLINK("https://www.britishcycling.org.uk/points?person_id=127898&amp;year=2019&amp;type=national&amp;d=6","Results")</f>
        <v/>
      </c>
    </row>
    <row r="592" spans="1:5">
      <c r="A592" t="s">
        <v>2538</v>
      </c>
      <c r="B592" t="s">
        <v>2539</v>
      </c>
      <c r="C592" t="s">
        <v>2540</v>
      </c>
      <c r="D592" t="s">
        <v>28</v>
      </c>
      <c r="E592">
        <f>HYPERLINK("https://www.britishcycling.org.uk/points?person_id=254904&amp;year=2019&amp;type=national&amp;d=6","Results")</f>
        <v/>
      </c>
    </row>
    <row r="593" spans="1:5">
      <c r="A593" t="s">
        <v>2541</v>
      </c>
      <c r="B593" t="s">
        <v>2542</v>
      </c>
      <c r="C593" t="s">
        <v>879</v>
      </c>
      <c r="D593" t="s">
        <v>28</v>
      </c>
      <c r="E593">
        <f>HYPERLINK("https://www.britishcycling.org.uk/points?person_id=170297&amp;year=2019&amp;type=national&amp;d=6","Results")</f>
        <v/>
      </c>
    </row>
    <row r="594" spans="1:5">
      <c r="A594" t="s">
        <v>2543</v>
      </c>
      <c r="B594" t="s">
        <v>2544</v>
      </c>
      <c r="C594" t="s">
        <v>2060</v>
      </c>
      <c r="D594" t="s">
        <v>28</v>
      </c>
      <c r="E594">
        <f>HYPERLINK("https://www.britishcycling.org.uk/points?person_id=736433&amp;year=2019&amp;type=national&amp;d=6","Results")</f>
        <v/>
      </c>
    </row>
    <row r="595" spans="1:5">
      <c r="A595" t="s">
        <v>2545</v>
      </c>
      <c r="B595" t="s">
        <v>2546</v>
      </c>
      <c r="C595" t="s">
        <v>2547</v>
      </c>
      <c r="D595" t="s">
        <v>28</v>
      </c>
      <c r="E595">
        <f>HYPERLINK("https://www.britishcycling.org.uk/points?person_id=27998&amp;year=2019&amp;type=national&amp;d=6","Results")</f>
        <v/>
      </c>
    </row>
    <row r="596" spans="1:5">
      <c r="A596" t="s">
        <v>2548</v>
      </c>
      <c r="B596" t="s">
        <v>2549</v>
      </c>
      <c r="C596" t="s">
        <v>1734</v>
      </c>
      <c r="D596" t="s">
        <v>28</v>
      </c>
      <c r="E596">
        <f>HYPERLINK("https://www.britishcycling.org.uk/points?person_id=123372&amp;year=2019&amp;type=national&amp;d=6","Results")</f>
        <v/>
      </c>
    </row>
    <row r="597" spans="1:5">
      <c r="A597" t="s">
        <v>2550</v>
      </c>
      <c r="B597" t="s">
        <v>2551</v>
      </c>
      <c r="C597" t="s">
        <v>615</v>
      </c>
      <c r="D597" t="s">
        <v>28</v>
      </c>
      <c r="E597">
        <f>HYPERLINK("https://www.britishcycling.org.uk/points?person_id=71526&amp;year=2019&amp;type=national&amp;d=6","Results")</f>
        <v/>
      </c>
    </row>
    <row r="598" spans="1:5">
      <c r="A598" t="s">
        <v>2552</v>
      </c>
      <c r="B598" t="s">
        <v>2553</v>
      </c>
      <c r="C598" t="s">
        <v>1971</v>
      </c>
      <c r="D598" t="s">
        <v>28</v>
      </c>
      <c r="E598">
        <f>HYPERLINK("https://www.britishcycling.org.uk/points?person_id=541757&amp;year=2019&amp;type=national&amp;d=6","Results")</f>
        <v/>
      </c>
    </row>
    <row r="599" spans="1:5">
      <c r="A599" t="s">
        <v>2554</v>
      </c>
      <c r="B599" t="s">
        <v>2555</v>
      </c>
      <c r="C599" t="s">
        <v>1113</v>
      </c>
      <c r="D599" t="s">
        <v>28</v>
      </c>
      <c r="E599">
        <f>HYPERLINK("https://www.britishcycling.org.uk/points?person_id=346946&amp;year=2019&amp;type=national&amp;d=6","Results")</f>
        <v/>
      </c>
    </row>
    <row r="600" spans="1:5">
      <c r="A600" t="s">
        <v>2556</v>
      </c>
      <c r="B600" t="s">
        <v>2557</v>
      </c>
      <c r="C600" t="s">
        <v>1694</v>
      </c>
      <c r="D600" t="s">
        <v>28</v>
      </c>
      <c r="E600">
        <f>HYPERLINK("https://www.britishcycling.org.uk/points?person_id=352705&amp;year=2019&amp;type=national&amp;d=6","Results")</f>
        <v/>
      </c>
    </row>
    <row r="601" spans="1:5">
      <c r="A601" t="s">
        <v>2558</v>
      </c>
      <c r="B601" t="s">
        <v>2559</v>
      </c>
      <c r="C601" t="s"/>
      <c r="D601" t="s">
        <v>28</v>
      </c>
      <c r="E601">
        <f>HYPERLINK("https://www.britishcycling.org.uk/points?person_id=33253&amp;year=2019&amp;type=national&amp;d=6","Results")</f>
        <v/>
      </c>
    </row>
    <row r="602" spans="1:5">
      <c r="A602" t="s">
        <v>2560</v>
      </c>
      <c r="B602" t="s">
        <v>2561</v>
      </c>
      <c r="C602" t="s">
        <v>1793</v>
      </c>
      <c r="D602" t="s">
        <v>28</v>
      </c>
      <c r="E602">
        <f>HYPERLINK("https://www.britishcycling.org.uk/points?person_id=137129&amp;year=2019&amp;type=national&amp;d=6","Results")</f>
        <v/>
      </c>
    </row>
    <row r="603" spans="1:5">
      <c r="A603" t="s">
        <v>2562</v>
      </c>
      <c r="B603" t="s">
        <v>2563</v>
      </c>
      <c r="C603" t="s">
        <v>592</v>
      </c>
      <c r="D603" t="s">
        <v>28</v>
      </c>
      <c r="E603">
        <f>HYPERLINK("https://www.britishcycling.org.uk/points?person_id=139152&amp;year=2019&amp;type=national&amp;d=6","Results")</f>
        <v/>
      </c>
    </row>
    <row r="604" spans="1:5">
      <c r="A604" t="s">
        <v>2564</v>
      </c>
      <c r="B604" t="s">
        <v>2565</v>
      </c>
      <c r="C604" t="s">
        <v>2566</v>
      </c>
      <c r="D604" t="s">
        <v>25</v>
      </c>
      <c r="E604">
        <f>HYPERLINK("https://www.britishcycling.org.uk/points?person_id=370884&amp;year=2019&amp;type=national&amp;d=6","Results")</f>
        <v/>
      </c>
    </row>
    <row r="605" spans="1:5">
      <c r="A605" t="s">
        <v>2567</v>
      </c>
      <c r="B605" t="s">
        <v>2568</v>
      </c>
      <c r="C605" t="s">
        <v>315</v>
      </c>
      <c r="D605" t="s">
        <v>25</v>
      </c>
      <c r="E605">
        <f>HYPERLINK("https://www.britishcycling.org.uk/points?person_id=287191&amp;year=2019&amp;type=national&amp;d=6","Results")</f>
        <v/>
      </c>
    </row>
    <row r="606" spans="1:5">
      <c r="A606" t="s">
        <v>2569</v>
      </c>
      <c r="B606" t="s">
        <v>2570</v>
      </c>
      <c r="C606" t="s">
        <v>1971</v>
      </c>
      <c r="D606" t="s">
        <v>25</v>
      </c>
      <c r="E606">
        <f>HYPERLINK("https://www.britishcycling.org.uk/points?person_id=683960&amp;year=2019&amp;type=national&amp;d=6","Results")</f>
        <v/>
      </c>
    </row>
    <row r="607" spans="1:5">
      <c r="A607" t="s">
        <v>2571</v>
      </c>
      <c r="B607" t="s">
        <v>2572</v>
      </c>
      <c r="C607" t="s">
        <v>186</v>
      </c>
      <c r="D607" t="s">
        <v>25</v>
      </c>
      <c r="E607">
        <f>HYPERLINK("https://www.britishcycling.org.uk/points?person_id=10966&amp;year=2019&amp;type=national&amp;d=6","Results")</f>
        <v/>
      </c>
    </row>
    <row r="608" spans="1:5">
      <c r="A608" t="s">
        <v>2573</v>
      </c>
      <c r="B608" t="s">
        <v>2574</v>
      </c>
      <c r="C608" t="s">
        <v>143</v>
      </c>
      <c r="D608" t="s">
        <v>25</v>
      </c>
      <c r="E608">
        <f>HYPERLINK("https://www.britishcycling.org.uk/points?person_id=36722&amp;year=2019&amp;type=national&amp;d=6","Results")</f>
        <v/>
      </c>
    </row>
    <row r="609" spans="1:5">
      <c r="A609" t="s">
        <v>2575</v>
      </c>
      <c r="B609" t="s">
        <v>2576</v>
      </c>
      <c r="C609" t="s">
        <v>2058</v>
      </c>
      <c r="D609" t="s">
        <v>25</v>
      </c>
      <c r="E609">
        <f>HYPERLINK("https://www.britishcycling.org.uk/points?person_id=426988&amp;year=2019&amp;type=national&amp;d=6","Results")</f>
        <v/>
      </c>
    </row>
    <row r="610" spans="1:5">
      <c r="A610" t="s">
        <v>2577</v>
      </c>
      <c r="B610" t="s">
        <v>1222</v>
      </c>
      <c r="C610" t="s"/>
      <c r="D610" t="s">
        <v>25</v>
      </c>
      <c r="E610">
        <f>HYPERLINK("https://www.britishcycling.org.uk/points?person_id=117176&amp;year=2019&amp;type=national&amp;d=6","Results")</f>
        <v/>
      </c>
    </row>
    <row r="611" spans="1:5">
      <c r="A611" t="s">
        <v>2578</v>
      </c>
      <c r="B611" t="s">
        <v>2579</v>
      </c>
      <c r="C611" t="s"/>
      <c r="D611" t="s">
        <v>25</v>
      </c>
      <c r="E611">
        <f>HYPERLINK("https://www.britishcycling.org.uk/points?person_id=122465&amp;year=2019&amp;type=national&amp;d=6","Results")</f>
        <v/>
      </c>
    </row>
    <row r="612" spans="1:5">
      <c r="A612" t="s">
        <v>2580</v>
      </c>
      <c r="B612" t="s">
        <v>1549</v>
      </c>
      <c r="C612" t="s">
        <v>472</v>
      </c>
      <c r="D612" t="s">
        <v>25</v>
      </c>
      <c r="E612">
        <f>HYPERLINK("https://www.britishcycling.org.uk/points?person_id=268452&amp;year=2019&amp;type=national&amp;d=6","Results")</f>
        <v/>
      </c>
    </row>
    <row r="613" spans="1:5">
      <c r="A613" t="s">
        <v>2581</v>
      </c>
      <c r="B613" t="s">
        <v>2582</v>
      </c>
      <c r="C613" t="s">
        <v>2485</v>
      </c>
      <c r="D613" t="s">
        <v>25</v>
      </c>
      <c r="E613">
        <f>HYPERLINK("https://www.britishcycling.org.uk/points?person_id=766923&amp;year=2019&amp;type=national&amp;d=6","Results")</f>
        <v/>
      </c>
    </row>
    <row r="614" spans="1:5">
      <c r="A614" t="s">
        <v>2583</v>
      </c>
      <c r="B614" t="s">
        <v>2584</v>
      </c>
      <c r="C614" t="s">
        <v>41</v>
      </c>
      <c r="D614" t="s">
        <v>25</v>
      </c>
      <c r="E614">
        <f>HYPERLINK("https://www.britishcycling.org.uk/points?person_id=77266&amp;year=2019&amp;type=national&amp;d=6","Results")</f>
        <v/>
      </c>
    </row>
    <row r="615" spans="1:5">
      <c r="A615" t="s">
        <v>2585</v>
      </c>
      <c r="B615" t="s">
        <v>2586</v>
      </c>
      <c r="C615" t="s"/>
      <c r="D615" t="s">
        <v>25</v>
      </c>
      <c r="E615">
        <f>HYPERLINK("https://www.britishcycling.org.uk/points?person_id=588808&amp;year=2019&amp;type=national&amp;d=6","Results")</f>
        <v/>
      </c>
    </row>
    <row r="616" spans="1:5">
      <c r="A616" t="s">
        <v>2587</v>
      </c>
      <c r="B616" t="s">
        <v>2588</v>
      </c>
      <c r="C616" t="s">
        <v>2090</v>
      </c>
      <c r="D616" t="s">
        <v>25</v>
      </c>
      <c r="E616">
        <f>HYPERLINK("https://www.britishcycling.org.uk/points?person_id=19711&amp;year=2019&amp;type=national&amp;d=6","Results")</f>
        <v/>
      </c>
    </row>
    <row r="617" spans="1:5">
      <c r="A617" t="s">
        <v>2589</v>
      </c>
      <c r="B617" t="s">
        <v>1423</v>
      </c>
      <c r="C617" t="s">
        <v>1424</v>
      </c>
      <c r="D617" t="s">
        <v>25</v>
      </c>
      <c r="E617">
        <f>HYPERLINK("https://www.britishcycling.org.uk/points?person_id=561514&amp;year=2019&amp;type=national&amp;d=6","Results")</f>
        <v/>
      </c>
    </row>
    <row r="618" spans="1:5">
      <c r="A618" t="s">
        <v>2590</v>
      </c>
      <c r="B618" t="s">
        <v>2591</v>
      </c>
      <c r="C618" t="s">
        <v>973</v>
      </c>
      <c r="D618" t="s">
        <v>25</v>
      </c>
      <c r="E618">
        <f>HYPERLINK("https://www.britishcycling.org.uk/points?person_id=324960&amp;year=2019&amp;type=national&amp;d=6","Results")</f>
        <v/>
      </c>
    </row>
    <row r="619" spans="1:5">
      <c r="A619" t="s">
        <v>2592</v>
      </c>
      <c r="B619" t="s">
        <v>2593</v>
      </c>
      <c r="C619" t="s"/>
      <c r="D619" t="s">
        <v>25</v>
      </c>
      <c r="E619">
        <f>HYPERLINK("https://www.britishcycling.org.uk/points?person_id=51539&amp;year=2019&amp;type=national&amp;d=6","Results")</f>
        <v/>
      </c>
    </row>
    <row r="620" spans="1:5">
      <c r="A620" t="s">
        <v>2594</v>
      </c>
      <c r="B620" t="s">
        <v>1451</v>
      </c>
      <c r="C620" t="s">
        <v>1452</v>
      </c>
      <c r="D620" t="s">
        <v>25</v>
      </c>
      <c r="E620">
        <f>HYPERLINK("https://www.britishcycling.org.uk/points?person_id=219676&amp;year=2019&amp;type=national&amp;d=6","Results")</f>
        <v/>
      </c>
    </row>
    <row r="621" spans="1:5">
      <c r="A621" t="s">
        <v>2595</v>
      </c>
      <c r="B621" t="s">
        <v>2596</v>
      </c>
      <c r="C621" t="s">
        <v>178</v>
      </c>
      <c r="D621" t="s">
        <v>25</v>
      </c>
      <c r="E621">
        <f>HYPERLINK("https://www.britishcycling.org.uk/points?person_id=105391&amp;year=2019&amp;type=national&amp;d=6","Results")</f>
        <v/>
      </c>
    </row>
    <row r="622" spans="1:5">
      <c r="A622" t="s">
        <v>2597</v>
      </c>
      <c r="B622" t="s">
        <v>2598</v>
      </c>
      <c r="C622" t="s">
        <v>1721</v>
      </c>
      <c r="D622" t="s">
        <v>25</v>
      </c>
      <c r="E622">
        <f>HYPERLINK("https://www.britishcycling.org.uk/points?person_id=76141&amp;year=2019&amp;type=national&amp;d=6","Results")</f>
        <v/>
      </c>
    </row>
    <row r="623" spans="1:5">
      <c r="A623" t="s">
        <v>2599</v>
      </c>
      <c r="B623" t="s">
        <v>2600</v>
      </c>
      <c r="C623" t="s">
        <v>324</v>
      </c>
      <c r="D623" t="s">
        <v>21</v>
      </c>
      <c r="E623">
        <f>HYPERLINK("https://www.britishcycling.org.uk/points?person_id=190742&amp;year=2019&amp;type=national&amp;d=6","Results")</f>
        <v/>
      </c>
    </row>
    <row r="624" spans="1:5">
      <c r="A624" t="s">
        <v>2601</v>
      </c>
      <c r="B624" t="s">
        <v>2602</v>
      </c>
      <c r="C624" t="s">
        <v>1694</v>
      </c>
      <c r="D624" t="s">
        <v>21</v>
      </c>
      <c r="E624">
        <f>HYPERLINK("https://www.britishcycling.org.uk/points?person_id=191217&amp;year=2019&amp;type=national&amp;d=6","Results")</f>
        <v/>
      </c>
    </row>
    <row r="625" spans="1:5">
      <c r="A625" t="s">
        <v>2603</v>
      </c>
      <c r="B625" t="s">
        <v>2604</v>
      </c>
      <c r="C625" t="s">
        <v>1819</v>
      </c>
      <c r="D625" t="s">
        <v>21</v>
      </c>
      <c r="E625">
        <f>HYPERLINK("https://www.britishcycling.org.uk/points?person_id=55983&amp;year=2019&amp;type=national&amp;d=6","Results")</f>
        <v/>
      </c>
    </row>
    <row r="626" spans="1:5">
      <c r="A626" t="s">
        <v>2605</v>
      </c>
      <c r="B626" t="s">
        <v>1401</v>
      </c>
      <c r="C626" t="s">
        <v>959</v>
      </c>
      <c r="D626" t="s">
        <v>21</v>
      </c>
      <c r="E626">
        <f>HYPERLINK("https://www.britishcycling.org.uk/points?person_id=402349&amp;year=2019&amp;type=national&amp;d=6","Results")</f>
        <v/>
      </c>
    </row>
    <row r="627" spans="1:5">
      <c r="A627" t="s">
        <v>2606</v>
      </c>
      <c r="B627" t="s">
        <v>2607</v>
      </c>
      <c r="C627" t="s">
        <v>2608</v>
      </c>
      <c r="D627" t="s">
        <v>21</v>
      </c>
      <c r="E627">
        <f>HYPERLINK("https://www.britishcycling.org.uk/points?person_id=617933&amp;year=2019&amp;type=national&amp;d=6","Results")</f>
        <v/>
      </c>
    </row>
    <row r="628" spans="1:5">
      <c r="A628" t="s">
        <v>2609</v>
      </c>
      <c r="B628" t="s">
        <v>2610</v>
      </c>
      <c r="C628" t="s">
        <v>2611</v>
      </c>
      <c r="D628" t="s">
        <v>21</v>
      </c>
      <c r="E628">
        <f>HYPERLINK("https://www.britishcycling.org.uk/points?person_id=440780&amp;year=2019&amp;type=national&amp;d=6","Results")</f>
        <v/>
      </c>
    </row>
    <row r="629" spans="1:5">
      <c r="A629" t="s">
        <v>2612</v>
      </c>
      <c r="B629" t="s">
        <v>2613</v>
      </c>
      <c r="C629" t="s">
        <v>1881</v>
      </c>
      <c r="D629" t="s">
        <v>21</v>
      </c>
      <c r="E629">
        <f>HYPERLINK("https://www.britishcycling.org.uk/points?person_id=3731&amp;year=2019&amp;type=national&amp;d=6","Results")</f>
        <v/>
      </c>
    </row>
    <row r="630" spans="1:5">
      <c r="A630" t="s">
        <v>2614</v>
      </c>
      <c r="B630" t="s">
        <v>2615</v>
      </c>
      <c r="C630" t="s">
        <v>2616</v>
      </c>
      <c r="D630" t="s">
        <v>21</v>
      </c>
      <c r="E630">
        <f>HYPERLINK("https://www.britishcycling.org.uk/points?person_id=243268&amp;year=2019&amp;type=national&amp;d=6","Results")</f>
        <v/>
      </c>
    </row>
    <row r="631" spans="1:5">
      <c r="A631" t="s">
        <v>2617</v>
      </c>
      <c r="B631" t="s">
        <v>2618</v>
      </c>
      <c r="C631" t="s">
        <v>2300</v>
      </c>
      <c r="D631" t="s">
        <v>21</v>
      </c>
      <c r="E631">
        <f>HYPERLINK("https://www.britishcycling.org.uk/points?person_id=643231&amp;year=2019&amp;type=national&amp;d=6","Results")</f>
        <v/>
      </c>
    </row>
    <row r="632" spans="1:5">
      <c r="A632" t="s">
        <v>2619</v>
      </c>
      <c r="B632" t="s">
        <v>2620</v>
      </c>
      <c r="C632" t="s">
        <v>2274</v>
      </c>
      <c r="D632" t="s">
        <v>21</v>
      </c>
      <c r="E632">
        <f>HYPERLINK("https://www.britishcycling.org.uk/points?person_id=49048&amp;year=2019&amp;type=national&amp;d=6","Results")</f>
        <v/>
      </c>
    </row>
    <row r="633" spans="1:5">
      <c r="A633" t="s">
        <v>2621</v>
      </c>
      <c r="B633" t="s">
        <v>2622</v>
      </c>
      <c r="C633" t="s">
        <v>2532</v>
      </c>
      <c r="D633" t="s">
        <v>21</v>
      </c>
      <c r="E633">
        <f>HYPERLINK("https://www.britishcycling.org.uk/points?person_id=451343&amp;year=2019&amp;type=national&amp;d=6","Results")</f>
        <v/>
      </c>
    </row>
    <row r="634" spans="1:5">
      <c r="A634" t="s">
        <v>34</v>
      </c>
      <c r="B634" t="s">
        <v>2623</v>
      </c>
      <c r="C634" t="s">
        <v>578</v>
      </c>
      <c r="D634" t="s">
        <v>21</v>
      </c>
      <c r="E634">
        <f>HYPERLINK("https://www.britishcycling.org.uk/points?person_id=103842&amp;year=2019&amp;type=national&amp;d=6","Results")</f>
        <v/>
      </c>
    </row>
    <row r="635" spans="1:5">
      <c r="A635" t="s">
        <v>2624</v>
      </c>
      <c r="B635" t="s">
        <v>2625</v>
      </c>
      <c r="C635" t="s">
        <v>65</v>
      </c>
      <c r="D635" t="s">
        <v>21</v>
      </c>
      <c r="E635">
        <f>HYPERLINK("https://www.britishcycling.org.uk/points?person_id=104305&amp;year=2019&amp;type=national&amp;d=6","Results")</f>
        <v/>
      </c>
    </row>
    <row r="636" spans="1:5">
      <c r="A636" t="s">
        <v>2626</v>
      </c>
      <c r="B636" t="s">
        <v>2627</v>
      </c>
      <c r="C636" t="s">
        <v>223</v>
      </c>
      <c r="D636" t="s">
        <v>21</v>
      </c>
      <c r="E636">
        <f>HYPERLINK("https://www.britishcycling.org.uk/points?person_id=326390&amp;year=2019&amp;type=national&amp;d=6","Results")</f>
        <v/>
      </c>
    </row>
    <row r="637" spans="1:5">
      <c r="A637" t="s">
        <v>2628</v>
      </c>
      <c r="B637" t="s">
        <v>2629</v>
      </c>
      <c r="C637" t="s">
        <v>1897</v>
      </c>
      <c r="D637" t="s">
        <v>21</v>
      </c>
      <c r="E637">
        <f>HYPERLINK("https://www.britishcycling.org.uk/points?person_id=185037&amp;year=2019&amp;type=national&amp;d=6","Results")</f>
        <v/>
      </c>
    </row>
    <row r="638" spans="1:5">
      <c r="A638" t="s">
        <v>2630</v>
      </c>
      <c r="B638" t="s">
        <v>2631</v>
      </c>
      <c r="C638" t="s">
        <v>1874</v>
      </c>
      <c r="D638" t="s">
        <v>21</v>
      </c>
      <c r="E638">
        <f>HYPERLINK("https://www.britishcycling.org.uk/points?person_id=730800&amp;year=2019&amp;type=national&amp;d=6","Results")</f>
        <v/>
      </c>
    </row>
    <row r="639" spans="1:5">
      <c r="A639" t="s">
        <v>2632</v>
      </c>
      <c r="B639" t="s">
        <v>2633</v>
      </c>
      <c r="C639" t="s">
        <v>2634</v>
      </c>
      <c r="D639" t="s">
        <v>21</v>
      </c>
      <c r="E639">
        <f>HYPERLINK("https://www.britishcycling.org.uk/points?person_id=57243&amp;year=2019&amp;type=national&amp;d=6","Results")</f>
        <v/>
      </c>
    </row>
    <row r="640" spans="1:5">
      <c r="A640" t="s">
        <v>917</v>
      </c>
      <c r="B640" t="s">
        <v>2635</v>
      </c>
      <c r="C640" t="s">
        <v>2636</v>
      </c>
      <c r="D640" t="s">
        <v>17</v>
      </c>
      <c r="E640">
        <f>HYPERLINK("https://www.britishcycling.org.uk/points?person_id=129965&amp;year=2019&amp;type=national&amp;d=6","Results")</f>
        <v/>
      </c>
    </row>
    <row r="641" spans="1:5">
      <c r="A641" t="s">
        <v>2637</v>
      </c>
      <c r="B641" t="s">
        <v>2638</v>
      </c>
      <c r="C641" t="s"/>
      <c r="D641" t="s">
        <v>17</v>
      </c>
      <c r="E641">
        <f>HYPERLINK("https://www.britishcycling.org.uk/points?person_id=673774&amp;year=2019&amp;type=national&amp;d=6","Results")</f>
        <v/>
      </c>
    </row>
    <row r="642" spans="1:5">
      <c r="A642" t="s">
        <v>2639</v>
      </c>
      <c r="B642" t="s">
        <v>2640</v>
      </c>
      <c r="C642" t="s">
        <v>1500</v>
      </c>
      <c r="D642" t="s">
        <v>17</v>
      </c>
      <c r="E642">
        <f>HYPERLINK("https://www.britishcycling.org.uk/points?person_id=632925&amp;year=2019&amp;type=national&amp;d=6","Results")</f>
        <v/>
      </c>
    </row>
    <row r="643" spans="1:5">
      <c r="A643" t="s">
        <v>2641</v>
      </c>
      <c r="B643" t="s">
        <v>2642</v>
      </c>
      <c r="C643" t="s">
        <v>135</v>
      </c>
      <c r="D643" t="s">
        <v>17</v>
      </c>
      <c r="E643">
        <f>HYPERLINK("https://www.britishcycling.org.uk/points?person_id=418235&amp;year=2019&amp;type=national&amp;d=6","Results")</f>
        <v/>
      </c>
    </row>
    <row r="644" spans="1:5">
      <c r="A644" t="s">
        <v>2643</v>
      </c>
      <c r="B644" t="s">
        <v>2644</v>
      </c>
      <c r="C644" t="s">
        <v>249</v>
      </c>
      <c r="D644" t="s">
        <v>17</v>
      </c>
      <c r="E644">
        <f>HYPERLINK("https://www.britishcycling.org.uk/points?person_id=168569&amp;year=2019&amp;type=national&amp;d=6","Results")</f>
        <v/>
      </c>
    </row>
    <row r="645" spans="1:5">
      <c r="A645" t="s">
        <v>2645</v>
      </c>
      <c r="B645" t="s">
        <v>2646</v>
      </c>
      <c r="C645" t="s">
        <v>11</v>
      </c>
      <c r="D645" t="s">
        <v>17</v>
      </c>
      <c r="E645">
        <f>HYPERLINK("https://www.britishcycling.org.uk/points?person_id=68702&amp;year=2019&amp;type=national&amp;d=6","Results")</f>
        <v/>
      </c>
    </row>
    <row r="646" spans="1:5">
      <c r="A646" t="s">
        <v>2647</v>
      </c>
      <c r="B646" t="s">
        <v>2648</v>
      </c>
      <c r="C646" t="s">
        <v>2248</v>
      </c>
      <c r="D646" t="s">
        <v>17</v>
      </c>
      <c r="E646">
        <f>HYPERLINK("https://www.britishcycling.org.uk/points?person_id=79188&amp;year=2019&amp;type=national&amp;d=6","Results")</f>
        <v/>
      </c>
    </row>
    <row r="647" spans="1:5">
      <c r="A647" t="s">
        <v>915</v>
      </c>
      <c r="B647" t="s">
        <v>2649</v>
      </c>
      <c r="C647" t="s">
        <v>2488</v>
      </c>
      <c r="D647" t="s">
        <v>17</v>
      </c>
      <c r="E647">
        <f>HYPERLINK("https://www.britishcycling.org.uk/points?person_id=653814&amp;year=2019&amp;type=national&amp;d=6","Results")</f>
        <v/>
      </c>
    </row>
    <row r="648" spans="1:5">
      <c r="A648" t="s">
        <v>2650</v>
      </c>
      <c r="B648" t="s">
        <v>2651</v>
      </c>
      <c r="C648" t="s">
        <v>1699</v>
      </c>
      <c r="D648" t="s">
        <v>17</v>
      </c>
      <c r="E648">
        <f>HYPERLINK("https://www.britishcycling.org.uk/points?person_id=770911&amp;year=2019&amp;type=national&amp;d=6","Results")</f>
        <v/>
      </c>
    </row>
    <row r="649" spans="1:5">
      <c r="A649" t="s">
        <v>2652</v>
      </c>
      <c r="B649" t="s">
        <v>2653</v>
      </c>
      <c r="C649" t="s">
        <v>1507</v>
      </c>
      <c r="D649" t="s">
        <v>17</v>
      </c>
      <c r="E649">
        <f>HYPERLINK("https://www.britishcycling.org.uk/points?person_id=291768&amp;year=2019&amp;type=national&amp;d=6","Results")</f>
        <v/>
      </c>
    </row>
    <row r="650" spans="1:5">
      <c r="A650" t="s">
        <v>1323</v>
      </c>
      <c r="B650" t="s">
        <v>2654</v>
      </c>
      <c r="C650" t="s">
        <v>2655</v>
      </c>
      <c r="D650" t="s">
        <v>17</v>
      </c>
      <c r="E650">
        <f>HYPERLINK("https://www.britishcycling.org.uk/points?person_id=334891&amp;year=2019&amp;type=national&amp;d=6","Results")</f>
        <v/>
      </c>
    </row>
    <row r="651" spans="1:5">
      <c r="A651" t="s">
        <v>2656</v>
      </c>
      <c r="B651" t="s">
        <v>2657</v>
      </c>
      <c r="C651" t="s"/>
      <c r="D651" t="s">
        <v>17</v>
      </c>
      <c r="E651">
        <f>HYPERLINK("https://www.britishcycling.org.uk/points?person_id=848560&amp;year=2019&amp;type=national&amp;d=6","Results")</f>
        <v/>
      </c>
    </row>
    <row r="652" spans="1:5">
      <c r="A652" t="s">
        <v>2658</v>
      </c>
      <c r="B652" t="s">
        <v>2659</v>
      </c>
      <c r="C652" t="s">
        <v>2660</v>
      </c>
      <c r="D652" t="s">
        <v>17</v>
      </c>
      <c r="E652">
        <f>HYPERLINK("https://www.britishcycling.org.uk/points?person_id=457302&amp;year=2019&amp;type=national&amp;d=6","Results")</f>
        <v/>
      </c>
    </row>
    <row r="653" spans="1:5">
      <c r="A653" t="s">
        <v>2661</v>
      </c>
      <c r="B653" t="s">
        <v>2662</v>
      </c>
      <c r="C653" t="s">
        <v>2663</v>
      </c>
      <c r="D653" t="s">
        <v>17</v>
      </c>
      <c r="E653">
        <f>HYPERLINK("https://www.britishcycling.org.uk/points?person_id=417932&amp;year=2019&amp;type=national&amp;d=6","Results")</f>
        <v/>
      </c>
    </row>
    <row r="654" spans="1:5">
      <c r="A654" t="s">
        <v>2664</v>
      </c>
      <c r="B654" t="s">
        <v>2665</v>
      </c>
      <c r="C654" t="s">
        <v>1921</v>
      </c>
      <c r="D654" t="s">
        <v>17</v>
      </c>
      <c r="E654">
        <f>HYPERLINK("https://www.britishcycling.org.uk/points?person_id=127581&amp;year=2019&amp;type=national&amp;d=6","Results")</f>
        <v/>
      </c>
    </row>
    <row r="655" spans="1:5">
      <c r="A655" t="s">
        <v>2666</v>
      </c>
      <c r="B655" t="s">
        <v>2667</v>
      </c>
      <c r="C655" t="s">
        <v>2668</v>
      </c>
      <c r="D655" t="s">
        <v>17</v>
      </c>
      <c r="E655">
        <f>HYPERLINK("https://www.britishcycling.org.uk/points?person_id=248274&amp;year=2019&amp;type=national&amp;d=6","Results")</f>
        <v/>
      </c>
    </row>
    <row r="656" spans="1:5">
      <c r="A656" t="s">
        <v>2669</v>
      </c>
      <c r="B656" t="s">
        <v>2670</v>
      </c>
      <c r="C656" t="s">
        <v>2096</v>
      </c>
      <c r="D656" t="s">
        <v>17</v>
      </c>
      <c r="E656">
        <f>HYPERLINK("https://www.britishcycling.org.uk/points?person_id=618653&amp;year=2019&amp;type=national&amp;d=6","Results")</f>
        <v/>
      </c>
    </row>
    <row r="657" spans="1:5">
      <c r="A657" t="s">
        <v>2671</v>
      </c>
      <c r="B657" t="s">
        <v>2672</v>
      </c>
      <c r="C657" t="s">
        <v>1789</v>
      </c>
      <c r="D657" t="s">
        <v>17</v>
      </c>
      <c r="E657">
        <f>HYPERLINK("https://www.britishcycling.org.uk/points?person_id=291378&amp;year=2019&amp;type=national&amp;d=6","Results")</f>
        <v/>
      </c>
    </row>
    <row r="658" spans="1:5">
      <c r="A658" t="s">
        <v>2673</v>
      </c>
      <c r="B658" t="s">
        <v>2674</v>
      </c>
      <c r="C658" t="s">
        <v>2675</v>
      </c>
      <c r="D658" t="s">
        <v>17</v>
      </c>
      <c r="E658">
        <f>HYPERLINK("https://www.britishcycling.org.uk/points?person_id=573467&amp;year=2019&amp;type=national&amp;d=6","Results")</f>
        <v/>
      </c>
    </row>
    <row r="659" spans="1:5">
      <c r="A659" t="s">
        <v>2676</v>
      </c>
      <c r="B659" t="s">
        <v>2385</v>
      </c>
      <c r="C659" t="s"/>
      <c r="D659" t="s">
        <v>17</v>
      </c>
      <c r="E659">
        <f>HYPERLINK("https://www.britishcycling.org.uk/points?person_id=537563&amp;year=2019&amp;type=national&amp;d=6","Results")</f>
        <v/>
      </c>
    </row>
    <row r="660" spans="1:5">
      <c r="A660" t="s">
        <v>2677</v>
      </c>
      <c r="B660" t="s">
        <v>2678</v>
      </c>
      <c r="C660" t="s">
        <v>2679</v>
      </c>
      <c r="D660" t="s">
        <v>17</v>
      </c>
      <c r="E660">
        <f>HYPERLINK("https://www.britishcycling.org.uk/points?person_id=542823&amp;year=2019&amp;type=national&amp;d=6","Results")</f>
        <v/>
      </c>
    </row>
    <row r="661" spans="1:5">
      <c r="A661" t="s">
        <v>2680</v>
      </c>
      <c r="B661" t="s">
        <v>2681</v>
      </c>
      <c r="C661" t="s">
        <v>2682</v>
      </c>
      <c r="D661" t="s">
        <v>17</v>
      </c>
      <c r="E661">
        <f>HYPERLINK("https://www.britishcycling.org.uk/points?person_id=130797&amp;year=2019&amp;type=national&amp;d=6","Results")</f>
        <v/>
      </c>
    </row>
    <row r="662" spans="1:5">
      <c r="A662" t="s">
        <v>2683</v>
      </c>
      <c r="B662" t="s">
        <v>2684</v>
      </c>
      <c r="C662" t="s">
        <v>709</v>
      </c>
      <c r="D662" t="s">
        <v>17</v>
      </c>
      <c r="E662">
        <f>HYPERLINK("https://www.britishcycling.org.uk/points?person_id=760169&amp;year=2019&amp;type=national&amp;d=6","Results")</f>
        <v/>
      </c>
    </row>
    <row r="663" spans="1:5">
      <c r="A663" t="s">
        <v>2685</v>
      </c>
      <c r="B663" t="s">
        <v>2686</v>
      </c>
      <c r="C663" t="s">
        <v>7</v>
      </c>
      <c r="D663" t="s">
        <v>17</v>
      </c>
      <c r="E663">
        <f>HYPERLINK("https://www.britishcycling.org.uk/points?person_id=32234&amp;year=2019&amp;type=national&amp;d=6","Results")</f>
        <v/>
      </c>
    </row>
    <row r="664" spans="1:5">
      <c r="A664" t="s">
        <v>2687</v>
      </c>
      <c r="B664" t="s">
        <v>2688</v>
      </c>
      <c r="C664" t="s">
        <v>887</v>
      </c>
      <c r="D664" t="s">
        <v>17</v>
      </c>
      <c r="E664">
        <f>HYPERLINK("https://www.britishcycling.org.uk/points?person_id=744732&amp;year=2019&amp;type=national&amp;d=6","Results")</f>
        <v/>
      </c>
    </row>
    <row r="665" spans="1:5">
      <c r="A665" t="s">
        <v>2689</v>
      </c>
      <c r="B665" t="s">
        <v>2690</v>
      </c>
      <c r="C665" t="s">
        <v>2347</v>
      </c>
      <c r="D665" t="s">
        <v>17</v>
      </c>
      <c r="E665">
        <f>HYPERLINK("https://www.britishcycling.org.uk/points?person_id=242925&amp;year=2019&amp;type=national&amp;d=6","Results")</f>
        <v/>
      </c>
    </row>
    <row r="666" spans="1:5">
      <c r="A666" t="s">
        <v>2691</v>
      </c>
      <c r="B666" t="s">
        <v>2692</v>
      </c>
      <c r="C666" t="s">
        <v>2292</v>
      </c>
      <c r="D666" t="s">
        <v>13</v>
      </c>
      <c r="E666">
        <f>HYPERLINK("https://www.britishcycling.org.uk/points?person_id=507702&amp;year=2019&amp;type=national&amp;d=6","Results")</f>
        <v/>
      </c>
    </row>
    <row r="667" spans="1:5">
      <c r="A667" t="s">
        <v>2693</v>
      </c>
      <c r="B667" t="s">
        <v>2694</v>
      </c>
      <c r="C667" t="s"/>
      <c r="D667" t="s">
        <v>13</v>
      </c>
      <c r="E667">
        <f>HYPERLINK("https://www.britishcycling.org.uk/points?person_id=375711&amp;year=2019&amp;type=national&amp;d=6","Results")</f>
        <v/>
      </c>
    </row>
    <row r="668" spans="1:5">
      <c r="A668" t="s">
        <v>2695</v>
      </c>
      <c r="B668" t="s">
        <v>2696</v>
      </c>
      <c r="C668" t="s">
        <v>472</v>
      </c>
      <c r="D668" t="s">
        <v>13</v>
      </c>
      <c r="E668">
        <f>HYPERLINK("https://www.britishcycling.org.uk/points?person_id=6382&amp;year=2019&amp;type=national&amp;d=6","Results")</f>
        <v/>
      </c>
    </row>
    <row r="669" spans="1:5">
      <c r="A669" t="s">
        <v>2697</v>
      </c>
      <c r="B669" t="s">
        <v>2698</v>
      </c>
      <c r="C669" t="s">
        <v>1709</v>
      </c>
      <c r="D669" t="s">
        <v>13</v>
      </c>
      <c r="E669">
        <f>HYPERLINK("https://www.britishcycling.org.uk/points?person_id=549853&amp;year=2019&amp;type=national&amp;d=6","Results")</f>
        <v/>
      </c>
    </row>
    <row r="670" spans="1:5">
      <c r="A670" t="s">
        <v>2699</v>
      </c>
      <c r="B670" t="s">
        <v>1486</v>
      </c>
      <c r="C670" t="s">
        <v>101</v>
      </c>
      <c r="D670" t="s">
        <v>13</v>
      </c>
      <c r="E670">
        <f>HYPERLINK("https://www.britishcycling.org.uk/points?person_id=222589&amp;year=2019&amp;type=national&amp;d=6","Results")</f>
        <v/>
      </c>
    </row>
    <row r="671" spans="1:5">
      <c r="A671" t="s">
        <v>2700</v>
      </c>
      <c r="B671" t="s">
        <v>2701</v>
      </c>
      <c r="C671" t="s">
        <v>2702</v>
      </c>
      <c r="D671" t="s">
        <v>13</v>
      </c>
      <c r="E671">
        <f>HYPERLINK("https://www.britishcycling.org.uk/points?person_id=543187&amp;year=2019&amp;type=national&amp;d=6","Results")</f>
        <v/>
      </c>
    </row>
    <row r="672" spans="1:5">
      <c r="A672" t="s">
        <v>2703</v>
      </c>
      <c r="B672" t="s">
        <v>2704</v>
      </c>
      <c r="C672" t="s">
        <v>427</v>
      </c>
      <c r="D672" t="s">
        <v>13</v>
      </c>
      <c r="E672">
        <f>HYPERLINK("https://www.britishcycling.org.uk/points?person_id=768716&amp;year=2019&amp;type=national&amp;d=6","Results")</f>
        <v/>
      </c>
    </row>
    <row r="673" spans="1:5">
      <c r="A673" t="s">
        <v>2705</v>
      </c>
      <c r="B673" t="s">
        <v>2706</v>
      </c>
      <c r="C673" t="s">
        <v>774</v>
      </c>
      <c r="D673" t="s">
        <v>13</v>
      </c>
      <c r="E673">
        <f>HYPERLINK("https://www.britishcycling.org.uk/points?person_id=643006&amp;year=2019&amp;type=national&amp;d=6","Results")</f>
        <v/>
      </c>
    </row>
    <row r="674" spans="1:5">
      <c r="A674" t="s">
        <v>2707</v>
      </c>
      <c r="B674" t="s">
        <v>2708</v>
      </c>
      <c r="C674" t="s"/>
      <c r="D674" t="s">
        <v>13</v>
      </c>
      <c r="E674">
        <f>HYPERLINK("https://www.britishcycling.org.uk/points?person_id=725339&amp;year=2019&amp;type=national&amp;d=6","Results")</f>
        <v/>
      </c>
    </row>
    <row r="675" spans="1:5">
      <c r="A675" t="s">
        <v>2709</v>
      </c>
      <c r="B675" t="s">
        <v>2710</v>
      </c>
      <c r="C675" t="s">
        <v>2711</v>
      </c>
      <c r="D675" t="s">
        <v>13</v>
      </c>
      <c r="E675">
        <f>HYPERLINK("https://www.britishcycling.org.uk/points?person_id=666591&amp;year=2019&amp;type=national&amp;d=6","Results")</f>
        <v/>
      </c>
    </row>
    <row r="676" spans="1:5">
      <c r="A676" t="s">
        <v>2712</v>
      </c>
      <c r="B676" t="s">
        <v>2713</v>
      </c>
      <c r="C676" t="s">
        <v>2714</v>
      </c>
      <c r="D676" t="s">
        <v>13</v>
      </c>
      <c r="E676">
        <f>HYPERLINK("https://www.britishcycling.org.uk/points?person_id=508718&amp;year=2019&amp;type=national&amp;d=6","Results")</f>
        <v/>
      </c>
    </row>
    <row r="677" spans="1:5">
      <c r="A677" t="s">
        <v>2715</v>
      </c>
      <c r="B677" t="s">
        <v>2716</v>
      </c>
      <c r="C677" t="s">
        <v>2717</v>
      </c>
      <c r="D677" t="s">
        <v>13</v>
      </c>
      <c r="E677">
        <f>HYPERLINK("https://www.britishcycling.org.uk/points?person_id=470759&amp;year=2019&amp;type=national&amp;d=6","Results")</f>
        <v/>
      </c>
    </row>
    <row r="678" spans="1:5">
      <c r="A678" t="s">
        <v>2718</v>
      </c>
      <c r="B678" t="s">
        <v>1280</v>
      </c>
      <c r="C678" t="s">
        <v>2719</v>
      </c>
      <c r="D678" t="s">
        <v>13</v>
      </c>
      <c r="E678">
        <f>HYPERLINK("https://www.britishcycling.org.uk/points?person_id=625621&amp;year=2019&amp;type=national&amp;d=6","Results")</f>
        <v/>
      </c>
    </row>
    <row r="679" spans="1:5">
      <c r="A679" t="s">
        <v>2720</v>
      </c>
      <c r="B679" t="s">
        <v>1728</v>
      </c>
      <c r="C679" t="s"/>
      <c r="D679" t="s">
        <v>13</v>
      </c>
      <c r="E679">
        <f>HYPERLINK("https://www.britishcycling.org.uk/points?person_id=10611&amp;year=2019&amp;type=national&amp;d=6","Results")</f>
        <v/>
      </c>
    </row>
    <row r="680" spans="1:5">
      <c r="A680" t="s">
        <v>2721</v>
      </c>
      <c r="B680" t="s">
        <v>2722</v>
      </c>
      <c r="C680" t="s">
        <v>2723</v>
      </c>
      <c r="D680" t="s">
        <v>13</v>
      </c>
      <c r="E680">
        <f>HYPERLINK("https://www.britishcycling.org.uk/points?person_id=547943&amp;year=2019&amp;type=national&amp;d=6","Results")</f>
        <v/>
      </c>
    </row>
    <row r="681" spans="1:5">
      <c r="A681" t="s">
        <v>2724</v>
      </c>
      <c r="B681" t="s">
        <v>2725</v>
      </c>
      <c r="C681" t="s">
        <v>1694</v>
      </c>
      <c r="D681" t="s">
        <v>13</v>
      </c>
      <c r="E681">
        <f>HYPERLINK("https://www.britishcycling.org.uk/points?person_id=725246&amp;year=2019&amp;type=national&amp;d=6","Results")</f>
        <v/>
      </c>
    </row>
    <row r="682" spans="1:5">
      <c r="A682" t="s">
        <v>2726</v>
      </c>
      <c r="B682" t="s">
        <v>2727</v>
      </c>
      <c r="C682" t="s">
        <v>2728</v>
      </c>
      <c r="D682" t="s">
        <v>9</v>
      </c>
      <c r="E682">
        <f>HYPERLINK("https://www.britishcycling.org.uk/points?person_id=877133&amp;year=2019&amp;type=national&amp;d=6","Results")</f>
        <v/>
      </c>
    </row>
    <row r="683" spans="1:5">
      <c r="A683" t="s">
        <v>2729</v>
      </c>
      <c r="B683" t="s">
        <v>2730</v>
      </c>
      <c r="C683" t="s">
        <v>1397</v>
      </c>
      <c r="D683" t="s">
        <v>9</v>
      </c>
      <c r="E683">
        <f>HYPERLINK("https://www.britishcycling.org.uk/points?person_id=808058&amp;year=2019&amp;type=national&amp;d=6","Results")</f>
        <v/>
      </c>
    </row>
    <row r="684" spans="1:5">
      <c r="A684" t="s">
        <v>2731</v>
      </c>
      <c r="B684" t="s">
        <v>2732</v>
      </c>
      <c r="C684" t="s"/>
      <c r="D684" t="s">
        <v>9</v>
      </c>
      <c r="E684">
        <f>HYPERLINK("https://www.britishcycling.org.uk/points?person_id=47286&amp;year=2019&amp;type=national&amp;d=6","Results")</f>
        <v/>
      </c>
    </row>
    <row r="685" spans="1:5">
      <c r="A685" t="s">
        <v>2733</v>
      </c>
      <c r="B685" t="s">
        <v>2734</v>
      </c>
      <c r="C685" t="s">
        <v>2735</v>
      </c>
      <c r="D685" t="s">
        <v>9</v>
      </c>
      <c r="E685">
        <f>HYPERLINK("https://www.britishcycling.org.uk/points?person_id=52620&amp;year=2019&amp;type=national&amp;d=6","Results")</f>
        <v/>
      </c>
    </row>
    <row r="686" spans="1:5">
      <c r="A686" t="s">
        <v>2736</v>
      </c>
      <c r="B686" t="s">
        <v>2737</v>
      </c>
      <c r="C686" t="s">
        <v>709</v>
      </c>
      <c r="D686" t="s">
        <v>9</v>
      </c>
      <c r="E686">
        <f>HYPERLINK("https://www.britishcycling.org.uk/points?person_id=118341&amp;year=2019&amp;type=national&amp;d=6","Results")</f>
        <v/>
      </c>
    </row>
    <row r="687" spans="1:5">
      <c r="A687" t="s">
        <v>2738</v>
      </c>
      <c r="B687" t="s">
        <v>2739</v>
      </c>
      <c r="C687" t="s">
        <v>1717</v>
      </c>
      <c r="D687" t="s">
        <v>9</v>
      </c>
      <c r="E687">
        <f>HYPERLINK("https://www.britishcycling.org.uk/points?person_id=751375&amp;year=2019&amp;type=national&amp;d=6","Results")</f>
        <v/>
      </c>
    </row>
    <row r="688" spans="1:5">
      <c r="A688" t="s">
        <v>2740</v>
      </c>
      <c r="B688" t="s">
        <v>1054</v>
      </c>
      <c r="C688" t="s">
        <v>814</v>
      </c>
      <c r="D688" t="s">
        <v>9</v>
      </c>
      <c r="E688">
        <f>HYPERLINK("https://www.britishcycling.org.uk/points?person_id=553849&amp;year=2019&amp;type=national&amp;d=6","Results")</f>
        <v/>
      </c>
    </row>
    <row r="689" spans="1:5">
      <c r="A689" t="s">
        <v>2741</v>
      </c>
      <c r="B689" t="s">
        <v>2742</v>
      </c>
      <c r="C689" t="s">
        <v>2132</v>
      </c>
      <c r="D689" t="s">
        <v>9</v>
      </c>
      <c r="E689">
        <f>HYPERLINK("https://www.britishcycling.org.uk/points?person_id=251061&amp;year=2019&amp;type=national&amp;d=6","Results")</f>
        <v/>
      </c>
    </row>
    <row r="690" spans="1:5">
      <c r="A690" t="s">
        <v>2743</v>
      </c>
      <c r="B690" t="s">
        <v>2744</v>
      </c>
      <c r="C690" t="s">
        <v>2655</v>
      </c>
      <c r="D690" t="s">
        <v>9</v>
      </c>
      <c r="E690">
        <f>HYPERLINK("https://www.britishcycling.org.uk/points?person_id=770263&amp;year=2019&amp;type=national&amp;d=6","Results")</f>
        <v/>
      </c>
    </row>
    <row r="691" spans="1:5">
      <c r="A691" t="s">
        <v>2745</v>
      </c>
      <c r="B691" t="s">
        <v>2746</v>
      </c>
      <c r="C691" t="s">
        <v>174</v>
      </c>
      <c r="D691" t="s">
        <v>9</v>
      </c>
      <c r="E691">
        <f>HYPERLINK("https://www.britishcycling.org.uk/points?person_id=217414&amp;year=2019&amp;type=national&amp;d=6","Results")</f>
        <v/>
      </c>
    </row>
    <row r="692" spans="1:5">
      <c r="A692" t="s">
        <v>2747</v>
      </c>
      <c r="B692" t="s">
        <v>1512</v>
      </c>
      <c r="C692" t="s">
        <v>170</v>
      </c>
      <c r="D692" t="s">
        <v>9</v>
      </c>
      <c r="E692">
        <f>HYPERLINK("https://www.britishcycling.org.uk/points?person_id=585178&amp;year=2019&amp;type=national&amp;d=6","Results")</f>
        <v/>
      </c>
    </row>
    <row r="693" spans="1:5">
      <c r="A693" t="s">
        <v>2748</v>
      </c>
      <c r="B693" t="s">
        <v>2749</v>
      </c>
      <c r="C693" t="s">
        <v>2750</v>
      </c>
      <c r="D693" t="s">
        <v>9</v>
      </c>
      <c r="E693">
        <f>HYPERLINK("https://www.britishcycling.org.uk/points?person_id=99135&amp;year=2019&amp;type=national&amp;d=6","Results")</f>
        <v/>
      </c>
    </row>
    <row r="694" spans="1:5">
      <c r="A694" t="s">
        <v>2751</v>
      </c>
      <c r="B694" t="s">
        <v>2752</v>
      </c>
      <c r="C694" t="s">
        <v>1494</v>
      </c>
      <c r="D694" t="s">
        <v>9</v>
      </c>
      <c r="E694">
        <f>HYPERLINK("https://www.britishcycling.org.uk/points?person_id=457541&amp;year=2019&amp;type=national&amp;d=6","Results")</f>
        <v/>
      </c>
    </row>
    <row r="695" spans="1:5">
      <c r="A695" t="s">
        <v>2753</v>
      </c>
      <c r="B695" t="s">
        <v>2754</v>
      </c>
      <c r="C695" t="s">
        <v>2755</v>
      </c>
      <c r="D695" t="s">
        <v>9</v>
      </c>
      <c r="E695">
        <f>HYPERLINK("https://www.britishcycling.org.uk/points?person_id=283458&amp;year=2019&amp;type=national&amp;d=6","Results")</f>
        <v/>
      </c>
    </row>
    <row r="696" spans="1:5">
      <c r="A696" t="s">
        <v>1604</v>
      </c>
      <c r="B696" t="s">
        <v>1471</v>
      </c>
      <c r="C696" t="s">
        <v>514</v>
      </c>
      <c r="D696" t="s">
        <v>9</v>
      </c>
      <c r="E696">
        <f>HYPERLINK("https://www.britishcycling.org.uk/points?person_id=173676&amp;year=2019&amp;type=national&amp;d=6","Results")</f>
        <v/>
      </c>
    </row>
    <row r="697" spans="1:5">
      <c r="A697" t="s">
        <v>2756</v>
      </c>
      <c r="B697" t="s">
        <v>2757</v>
      </c>
      <c r="C697" t="s">
        <v>413</v>
      </c>
      <c r="D697" t="s">
        <v>9</v>
      </c>
      <c r="E697">
        <f>HYPERLINK("https://www.britishcycling.org.uk/points?person_id=377253&amp;year=2019&amp;type=national&amp;d=6","Results")</f>
        <v/>
      </c>
    </row>
    <row r="698" spans="1:5">
      <c r="A698" t="s">
        <v>2758</v>
      </c>
      <c r="B698" t="s">
        <v>2759</v>
      </c>
      <c r="C698" t="s">
        <v>1819</v>
      </c>
      <c r="D698" t="s">
        <v>9</v>
      </c>
      <c r="E698">
        <f>HYPERLINK("https://www.britishcycling.org.uk/points?person_id=4744&amp;year=2019&amp;type=national&amp;d=6","Results")</f>
        <v/>
      </c>
    </row>
    <row r="699" spans="1:5">
      <c r="A699" t="s">
        <v>2760</v>
      </c>
      <c r="B699" t="s">
        <v>2761</v>
      </c>
      <c r="C699" t="s">
        <v>1289</v>
      </c>
      <c r="D699" t="s">
        <v>9</v>
      </c>
      <c r="E699">
        <f>HYPERLINK("https://www.britishcycling.org.uk/points?person_id=384490&amp;year=2019&amp;type=national&amp;d=6","Results")</f>
        <v/>
      </c>
    </row>
    <row r="700" spans="1:5">
      <c r="A700" t="s">
        <v>2762</v>
      </c>
      <c r="B700" t="s">
        <v>2763</v>
      </c>
      <c r="C700" t="s">
        <v>2764</v>
      </c>
      <c r="D700" t="s">
        <v>9</v>
      </c>
      <c r="E700">
        <f>HYPERLINK("https://www.britishcycling.org.uk/points?person_id=336174&amp;year=2019&amp;type=national&amp;d=6","Results")</f>
        <v/>
      </c>
    </row>
    <row r="701" spans="1:5">
      <c r="A701" t="s">
        <v>2765</v>
      </c>
      <c r="B701" t="s">
        <v>1480</v>
      </c>
      <c r="C701" t="s">
        <v>1317</v>
      </c>
      <c r="D701" t="s">
        <v>9</v>
      </c>
      <c r="E701">
        <f>HYPERLINK("https://www.britishcycling.org.uk/points?person_id=75849&amp;year=2019&amp;type=national&amp;d=6","Results")</f>
        <v/>
      </c>
    </row>
    <row r="702" spans="1:5">
      <c r="A702" t="s">
        <v>2766</v>
      </c>
      <c r="B702" t="s">
        <v>2767</v>
      </c>
      <c r="C702" t="s">
        <v>584</v>
      </c>
      <c r="D702" t="s">
        <v>9</v>
      </c>
      <c r="E702">
        <f>HYPERLINK("https://www.britishcycling.org.uk/points?person_id=120398&amp;year=2019&amp;type=national&amp;d=6","Results")</f>
        <v/>
      </c>
    </row>
    <row r="703" spans="1:5">
      <c r="A703" t="s">
        <v>1601</v>
      </c>
      <c r="B703" t="s">
        <v>2768</v>
      </c>
      <c r="C703" t="s">
        <v>1736</v>
      </c>
      <c r="D703" t="s">
        <v>9</v>
      </c>
      <c r="E703">
        <f>HYPERLINK("https://www.britishcycling.org.uk/points?person_id=650421&amp;year=2019&amp;type=national&amp;d=6","Results")</f>
        <v/>
      </c>
    </row>
    <row r="704" spans="1:5">
      <c r="A704" t="s">
        <v>2769</v>
      </c>
      <c r="B704" t="s">
        <v>2770</v>
      </c>
      <c r="C704" t="s"/>
      <c r="D704" t="s">
        <v>9</v>
      </c>
      <c r="E704">
        <f>HYPERLINK("https://www.britishcycling.org.uk/points?person_id=120289&amp;year=2019&amp;type=national&amp;d=6","Results")</f>
        <v/>
      </c>
    </row>
    <row r="705" spans="1:5">
      <c r="A705" t="s">
        <v>2771</v>
      </c>
      <c r="B705" t="s">
        <v>2772</v>
      </c>
      <c r="C705" t="s">
        <v>592</v>
      </c>
      <c r="D705" t="s">
        <v>9</v>
      </c>
      <c r="E705">
        <f>HYPERLINK("https://www.britishcycling.org.uk/points?person_id=535141&amp;year=2019&amp;type=national&amp;d=6","Results")</f>
        <v/>
      </c>
    </row>
    <row r="706" spans="1:5">
      <c r="A706" t="s">
        <v>2773</v>
      </c>
      <c r="B706" t="s">
        <v>2774</v>
      </c>
      <c r="C706" t="s">
        <v>287</v>
      </c>
      <c r="D706" t="s">
        <v>9</v>
      </c>
      <c r="E706">
        <f>HYPERLINK("https://www.britishcycling.org.uk/points?person_id=22859&amp;year=2019&amp;type=national&amp;d=6","Results")</f>
        <v/>
      </c>
    </row>
    <row r="707" spans="1:5">
      <c r="A707" t="s">
        <v>2775</v>
      </c>
      <c r="B707" t="s">
        <v>2776</v>
      </c>
      <c r="C707" t="s">
        <v>2777</v>
      </c>
      <c r="D707" t="s">
        <v>9</v>
      </c>
      <c r="E707">
        <f>HYPERLINK("https://www.britishcycling.org.uk/points?person_id=72214&amp;year=2019&amp;type=national&amp;d=6","Results")</f>
        <v/>
      </c>
    </row>
    <row r="708" spans="1:5">
      <c r="A708" t="s">
        <v>2778</v>
      </c>
      <c r="B708" t="s">
        <v>2779</v>
      </c>
      <c r="C708" t="s">
        <v>1782</v>
      </c>
      <c r="D708" t="s">
        <v>9</v>
      </c>
      <c r="E708">
        <f>HYPERLINK("https://www.britishcycling.org.uk/points?person_id=537846&amp;year=2019&amp;type=national&amp;d=6","Results")</f>
        <v/>
      </c>
    </row>
    <row r="709" spans="1:5">
      <c r="A709" t="s">
        <v>2780</v>
      </c>
      <c r="B709" t="s">
        <v>2781</v>
      </c>
      <c r="C709" t="s">
        <v>1538</v>
      </c>
      <c r="D709" t="s">
        <v>9</v>
      </c>
      <c r="E709">
        <f>HYPERLINK("https://www.britishcycling.org.uk/points?person_id=134904&amp;year=2019&amp;type=national&amp;d=6","Results")</f>
        <v/>
      </c>
    </row>
    <row r="710" spans="1:5">
      <c r="A710" t="s">
        <v>2782</v>
      </c>
      <c r="B710" t="s">
        <v>2783</v>
      </c>
      <c r="C710" t="s"/>
      <c r="D710" t="s">
        <v>9</v>
      </c>
      <c r="E710">
        <f>HYPERLINK("https://www.britishcycling.org.uk/points?person_id=134868&amp;year=2019&amp;type=national&amp;d=6","Results")</f>
        <v/>
      </c>
    </row>
    <row r="711" spans="1:5">
      <c r="A711" t="s">
        <v>2784</v>
      </c>
      <c r="B711" t="s">
        <v>2785</v>
      </c>
      <c r="C711" t="s">
        <v>2786</v>
      </c>
      <c r="D711" t="s">
        <v>9</v>
      </c>
      <c r="E711">
        <f>HYPERLINK("https://www.britishcycling.org.uk/points?person_id=725044&amp;year=2019&amp;type=national&amp;d=6","Results")</f>
        <v/>
      </c>
    </row>
    <row r="712" spans="1:5">
      <c r="A712" t="s">
        <v>2787</v>
      </c>
      <c r="B712" t="s">
        <v>2788</v>
      </c>
      <c r="C712" t="s">
        <v>335</v>
      </c>
      <c r="D712" t="s">
        <v>9</v>
      </c>
      <c r="E712">
        <f>HYPERLINK("https://www.britishcycling.org.uk/points?person_id=587038&amp;year=2019&amp;type=national&amp;d=6","Results")</f>
        <v/>
      </c>
    </row>
    <row r="713" spans="1:5">
      <c r="A713" t="s">
        <v>2789</v>
      </c>
      <c r="B713" t="s">
        <v>1449</v>
      </c>
      <c r="C713" t="s">
        <v>1450</v>
      </c>
      <c r="D713" t="s">
        <v>9</v>
      </c>
      <c r="E713">
        <f>HYPERLINK("https://www.britishcycling.org.uk/points?person_id=171750&amp;year=2019&amp;type=national&amp;d=6","Results")</f>
        <v/>
      </c>
    </row>
    <row r="714" spans="1:5">
      <c r="A714" t="s">
        <v>2790</v>
      </c>
      <c r="B714" t="s">
        <v>2791</v>
      </c>
      <c r="C714" t="s">
        <v>2792</v>
      </c>
      <c r="D714" t="s">
        <v>9</v>
      </c>
      <c r="E714">
        <f>HYPERLINK("https://www.britishcycling.org.uk/points?person_id=98814&amp;year=2019&amp;type=national&amp;d=6","Results")</f>
        <v/>
      </c>
    </row>
    <row r="715" spans="1:5">
      <c r="A715" t="s">
        <v>2793</v>
      </c>
      <c r="B715" t="s">
        <v>2794</v>
      </c>
      <c r="C715" t="s">
        <v>2795</v>
      </c>
      <c r="D715" t="s">
        <v>5</v>
      </c>
      <c r="E715">
        <f>HYPERLINK("https://www.britishcycling.org.uk/points?person_id=344908&amp;year=2019&amp;type=national&amp;d=6","Results")</f>
        <v/>
      </c>
    </row>
    <row r="716" spans="1:5">
      <c r="A716" t="s">
        <v>30</v>
      </c>
      <c r="B716" t="s">
        <v>2796</v>
      </c>
      <c r="C716" t="s">
        <v>2668</v>
      </c>
      <c r="D716" t="s">
        <v>5</v>
      </c>
      <c r="E716">
        <f>HYPERLINK("https://www.britishcycling.org.uk/points?person_id=567943&amp;year=2019&amp;type=national&amp;d=6","Results")</f>
        <v/>
      </c>
    </row>
    <row r="717" spans="1:5">
      <c r="A717" t="s">
        <v>2797</v>
      </c>
      <c r="B717" t="s">
        <v>2798</v>
      </c>
      <c r="C717" t="s">
        <v>511</v>
      </c>
      <c r="D717" t="s">
        <v>5</v>
      </c>
      <c r="E717">
        <f>HYPERLINK("https://www.britishcycling.org.uk/points?person_id=79017&amp;year=2019&amp;type=national&amp;d=6","Results")</f>
        <v/>
      </c>
    </row>
    <row r="718" spans="1:5">
      <c r="A718" t="s">
        <v>27</v>
      </c>
      <c r="B718" t="s">
        <v>1459</v>
      </c>
      <c r="C718" t="s">
        <v>287</v>
      </c>
      <c r="D718" t="s">
        <v>5</v>
      </c>
      <c r="E718">
        <f>HYPERLINK("https://www.britishcycling.org.uk/points?person_id=226234&amp;year=2019&amp;type=national&amp;d=6","Results")</f>
        <v/>
      </c>
    </row>
    <row r="719" spans="1:5">
      <c r="A719" t="s">
        <v>2799</v>
      </c>
      <c r="B719" t="s">
        <v>2800</v>
      </c>
      <c r="C719" t="s">
        <v>1294</v>
      </c>
      <c r="D719" t="s">
        <v>5</v>
      </c>
      <c r="E719">
        <f>HYPERLINK("https://www.britishcycling.org.uk/points?person_id=180739&amp;year=2019&amp;type=national&amp;d=6","Results")</f>
        <v/>
      </c>
    </row>
    <row r="720" spans="1:5">
      <c r="A720" t="s">
        <v>2801</v>
      </c>
      <c r="B720" t="s">
        <v>2802</v>
      </c>
      <c r="C720" t="s"/>
      <c r="D720" t="s">
        <v>5</v>
      </c>
      <c r="E720">
        <f>HYPERLINK("https://www.britishcycling.org.uk/points?person_id=291552&amp;year=2019&amp;type=national&amp;d=6","Results")</f>
        <v/>
      </c>
    </row>
    <row r="721" spans="1:5">
      <c r="A721" t="s">
        <v>2803</v>
      </c>
      <c r="B721" t="s">
        <v>2804</v>
      </c>
      <c r="C721" t="s">
        <v>2675</v>
      </c>
      <c r="D721" t="s">
        <v>5</v>
      </c>
      <c r="E721">
        <f>HYPERLINK("https://www.britishcycling.org.uk/points?person_id=754796&amp;year=2019&amp;type=national&amp;d=6","Results")</f>
        <v/>
      </c>
    </row>
    <row r="722" spans="1:5">
      <c r="A722" t="s">
        <v>2805</v>
      </c>
      <c r="B722" t="s">
        <v>2806</v>
      </c>
      <c r="C722" t="s">
        <v>2702</v>
      </c>
      <c r="D722" t="s">
        <v>5</v>
      </c>
      <c r="E722">
        <f>HYPERLINK("https://www.britishcycling.org.uk/points?person_id=304600&amp;year=2019&amp;type=national&amp;d=6","Results")</f>
        <v/>
      </c>
    </row>
    <row r="723" spans="1:5">
      <c r="A723" t="s">
        <v>2807</v>
      </c>
      <c r="B723" t="s">
        <v>2808</v>
      </c>
      <c r="C723" t="s">
        <v>2809</v>
      </c>
      <c r="D723" t="s">
        <v>5</v>
      </c>
      <c r="E723">
        <f>HYPERLINK("https://www.britishcycling.org.uk/points?person_id=38808&amp;year=2019&amp;type=national&amp;d=6","Results")</f>
        <v/>
      </c>
    </row>
    <row r="724" spans="1:5">
      <c r="A724" t="s">
        <v>2810</v>
      </c>
      <c r="B724" t="s">
        <v>2811</v>
      </c>
      <c r="C724" t="s">
        <v>2812</v>
      </c>
      <c r="D724" t="s">
        <v>5</v>
      </c>
      <c r="E724">
        <f>HYPERLINK("https://www.britishcycling.org.uk/points?person_id=498930&amp;year=2019&amp;type=national&amp;d=6","Results")</f>
        <v/>
      </c>
    </row>
    <row r="725" spans="1:5">
      <c r="A725" t="s">
        <v>2813</v>
      </c>
      <c r="B725" t="s">
        <v>2814</v>
      </c>
      <c r="C725" t="s">
        <v>2815</v>
      </c>
      <c r="D725" t="s">
        <v>5</v>
      </c>
      <c r="E725">
        <f>HYPERLINK("https://www.britishcycling.org.uk/points?person_id=865610&amp;year=2019&amp;type=national&amp;d=6","Results")</f>
        <v/>
      </c>
    </row>
    <row r="726" spans="1:5">
      <c r="A726" t="s">
        <v>2816</v>
      </c>
      <c r="B726" t="s">
        <v>2817</v>
      </c>
      <c r="C726" t="s">
        <v>1699</v>
      </c>
      <c r="D726" t="s">
        <v>5</v>
      </c>
      <c r="E726">
        <f>HYPERLINK("https://www.britishcycling.org.uk/points?person_id=62482&amp;year=2019&amp;type=national&amp;d=6","Results")</f>
        <v/>
      </c>
    </row>
    <row r="727" spans="1:5">
      <c r="A727" t="s">
        <v>2818</v>
      </c>
      <c r="B727" t="s">
        <v>2819</v>
      </c>
      <c r="C727" t="s">
        <v>1603</v>
      </c>
      <c r="D727" t="s">
        <v>5</v>
      </c>
      <c r="E727">
        <f>HYPERLINK("https://www.britishcycling.org.uk/points?person_id=410773&amp;year=2019&amp;type=national&amp;d=6","Results")</f>
        <v/>
      </c>
    </row>
    <row r="728" spans="1:5">
      <c r="A728" t="s">
        <v>2820</v>
      </c>
      <c r="B728" t="s">
        <v>2821</v>
      </c>
      <c r="C728" t="s">
        <v>1874</v>
      </c>
      <c r="D728" t="s">
        <v>5</v>
      </c>
      <c r="E728">
        <f>HYPERLINK("https://www.britishcycling.org.uk/points?person_id=227597&amp;year=2019&amp;type=national&amp;d=6","Results")</f>
        <v/>
      </c>
    </row>
    <row r="729" spans="1:5">
      <c r="A729" t="s">
        <v>2822</v>
      </c>
      <c r="B729" t="s">
        <v>2823</v>
      </c>
      <c r="C729" t="s"/>
      <c r="D729" t="s">
        <v>5</v>
      </c>
      <c r="E729">
        <f>HYPERLINK("https://www.britishcycling.org.uk/points?person_id=729324&amp;year=2019&amp;type=national&amp;d=6","Results")</f>
        <v/>
      </c>
    </row>
    <row r="730" spans="1:5">
      <c r="A730" t="s">
        <v>2824</v>
      </c>
      <c r="B730" t="s">
        <v>2825</v>
      </c>
      <c r="C730" t="s">
        <v>2826</v>
      </c>
      <c r="D730" t="s">
        <v>5</v>
      </c>
      <c r="E730">
        <f>HYPERLINK("https://www.britishcycling.org.uk/points?person_id=353956&amp;year=2019&amp;type=national&amp;d=6","Results")</f>
        <v/>
      </c>
    </row>
    <row r="731" spans="1:5">
      <c r="A731" t="s">
        <v>912</v>
      </c>
      <c r="B731" t="s">
        <v>2827</v>
      </c>
      <c r="C731" t="s">
        <v>2828</v>
      </c>
      <c r="D731" t="s">
        <v>5</v>
      </c>
      <c r="E731">
        <f>HYPERLINK("https://www.britishcycling.org.uk/points?person_id=326217&amp;year=2019&amp;type=national&amp;d=6","Results")</f>
        <v/>
      </c>
    </row>
    <row r="732" spans="1:5">
      <c r="A732" t="s">
        <v>2829</v>
      </c>
      <c r="B732" t="s">
        <v>2830</v>
      </c>
      <c r="C732" t="s">
        <v>1699</v>
      </c>
      <c r="D732" t="s">
        <v>5</v>
      </c>
      <c r="E732">
        <f>HYPERLINK("https://www.britishcycling.org.uk/points?person_id=130948&amp;year=2019&amp;type=national&amp;d=6","Results")</f>
        <v/>
      </c>
    </row>
    <row r="733" spans="1:5">
      <c r="A733" t="s">
        <v>2831</v>
      </c>
      <c r="B733" t="s">
        <v>2832</v>
      </c>
      <c r="C733" t="s">
        <v>2833</v>
      </c>
      <c r="D733" t="s">
        <v>5</v>
      </c>
      <c r="E733">
        <f>HYPERLINK("https://www.britishcycling.org.uk/points?person_id=14983&amp;year=2019&amp;type=national&amp;d=6","Results")</f>
        <v/>
      </c>
    </row>
    <row r="734" spans="1:5">
      <c r="A734" t="s">
        <v>2834</v>
      </c>
      <c r="B734" t="s">
        <v>2835</v>
      </c>
      <c r="C734" t="s"/>
      <c r="D734" t="s">
        <v>5</v>
      </c>
      <c r="E734">
        <f>HYPERLINK("https://www.britishcycling.org.uk/points?person_id=73163&amp;year=2019&amp;type=national&amp;d=6","Results")</f>
        <v/>
      </c>
    </row>
    <row r="735" spans="1:5">
      <c r="A735" t="s">
        <v>2836</v>
      </c>
      <c r="B735" t="s">
        <v>2837</v>
      </c>
      <c r="C735" t="s">
        <v>2838</v>
      </c>
      <c r="D735" t="s">
        <v>5</v>
      </c>
      <c r="E735">
        <f>HYPERLINK("https://www.britishcycling.org.uk/points?person_id=533869&amp;year=2019&amp;type=national&amp;d=6","Results")</f>
        <v/>
      </c>
    </row>
    <row r="736" spans="1:5">
      <c r="A736" t="s">
        <v>2839</v>
      </c>
      <c r="B736" t="s">
        <v>2840</v>
      </c>
      <c r="C736" t="s">
        <v>834</v>
      </c>
      <c r="D736" t="s">
        <v>5</v>
      </c>
      <c r="E736">
        <f>HYPERLINK("https://www.britishcycling.org.uk/points?person_id=288980&amp;year=2019&amp;type=national&amp;d=6","Results")</f>
        <v/>
      </c>
    </row>
    <row r="737" spans="1:5">
      <c r="A737" t="s">
        <v>2841</v>
      </c>
      <c r="B737" t="s">
        <v>2842</v>
      </c>
      <c r="C737" t="s">
        <v>299</v>
      </c>
      <c r="D737" t="s">
        <v>5</v>
      </c>
      <c r="E737">
        <f>HYPERLINK("https://www.britishcycling.org.uk/points?person_id=74470&amp;year=2019&amp;type=national&amp;d=6","Results")</f>
        <v/>
      </c>
    </row>
    <row r="738" spans="1:5">
      <c r="A738" t="s">
        <v>2843</v>
      </c>
      <c r="B738" t="s">
        <v>2844</v>
      </c>
      <c r="C738" t="s">
        <v>1869</v>
      </c>
      <c r="D738" t="s">
        <v>5</v>
      </c>
      <c r="E738">
        <f>HYPERLINK("https://www.britishcycling.org.uk/points?person_id=424130&amp;year=2019&amp;type=national&amp;d=6","Results")</f>
        <v/>
      </c>
    </row>
    <row r="739" spans="1:5">
      <c r="A739" t="s">
        <v>2845</v>
      </c>
      <c r="B739" t="s">
        <v>2846</v>
      </c>
      <c r="C739" t="s">
        <v>2847</v>
      </c>
      <c r="D739" t="s">
        <v>5</v>
      </c>
      <c r="E739">
        <f>HYPERLINK("https://www.britishcycling.org.uk/points?person_id=263599&amp;year=2019&amp;type=national&amp;d=6","Results")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7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2848</v>
      </c>
      <c r="C2" t="s">
        <v>174</v>
      </c>
      <c r="D2" t="s">
        <v>2849</v>
      </c>
      <c r="E2">
        <f>HYPERLINK("https://www.britishcycling.org.uk/points?person_id=64633&amp;year=2019&amp;type=national&amp;d=6","Results")</f>
        <v/>
      </c>
    </row>
    <row r="3" spans="1:5">
      <c r="A3" t="s">
        <v>9</v>
      </c>
      <c r="B3" t="s">
        <v>1948</v>
      </c>
      <c r="C3" t="s">
        <v>1819</v>
      </c>
      <c r="D3" t="s">
        <v>2850</v>
      </c>
      <c r="E3">
        <f>HYPERLINK("https://www.britishcycling.org.uk/points?person_id=78224&amp;year=2019&amp;type=national&amp;d=6","Results")</f>
        <v/>
      </c>
    </row>
    <row r="4" spans="1:5">
      <c r="A4" t="s">
        <v>13</v>
      </c>
      <c r="B4" t="s">
        <v>1818</v>
      </c>
      <c r="C4" t="s">
        <v>1819</v>
      </c>
      <c r="D4" t="s">
        <v>2851</v>
      </c>
      <c r="E4">
        <f>HYPERLINK("https://www.britishcycling.org.uk/points?person_id=13974&amp;year=2019&amp;type=national&amp;d=6","Results")</f>
        <v/>
      </c>
    </row>
    <row r="5" spans="1:5">
      <c r="A5" t="s">
        <v>17</v>
      </c>
      <c r="B5" t="s">
        <v>2852</v>
      </c>
      <c r="C5" t="s">
        <v>1666</v>
      </c>
      <c r="D5" t="s">
        <v>2841</v>
      </c>
      <c r="E5">
        <f>HYPERLINK("https://www.britishcycling.org.uk/points?person_id=17723&amp;year=2019&amp;type=national&amp;d=6","Results")</f>
        <v/>
      </c>
    </row>
    <row r="6" spans="1:5">
      <c r="A6" t="s">
        <v>21</v>
      </c>
      <c r="B6" t="s">
        <v>2853</v>
      </c>
      <c r="C6" t="s">
        <v>2854</v>
      </c>
      <c r="D6" t="s">
        <v>2729</v>
      </c>
      <c r="E6">
        <f>HYPERLINK("https://www.britishcycling.org.uk/points?person_id=29789&amp;year=2019&amp;type=national&amp;d=6","Results")</f>
        <v/>
      </c>
    </row>
    <row r="7" spans="1:5">
      <c r="A7" t="s">
        <v>25</v>
      </c>
      <c r="B7" t="s">
        <v>1763</v>
      </c>
      <c r="C7" t="s">
        <v>511</v>
      </c>
      <c r="D7" t="s">
        <v>2729</v>
      </c>
      <c r="E7">
        <f>HYPERLINK("https://www.britishcycling.org.uk/points?person_id=29240&amp;year=2019&amp;type=national&amp;d=6","Results")</f>
        <v/>
      </c>
    </row>
    <row r="8" spans="1:5">
      <c r="A8" t="s">
        <v>28</v>
      </c>
      <c r="B8" t="s">
        <v>1980</v>
      </c>
      <c r="C8" t="s">
        <v>1819</v>
      </c>
      <c r="D8" t="s">
        <v>2619</v>
      </c>
      <c r="E8">
        <f>HYPERLINK("https://www.britishcycling.org.uk/points?person_id=253654&amp;year=2019&amp;type=national&amp;d=6","Results")</f>
        <v/>
      </c>
    </row>
    <row r="9" spans="1:5">
      <c r="A9" t="s">
        <v>31</v>
      </c>
      <c r="B9" t="s">
        <v>2106</v>
      </c>
      <c r="C9" t="s">
        <v>1354</v>
      </c>
      <c r="D9" t="s">
        <v>2599</v>
      </c>
      <c r="E9">
        <f>HYPERLINK("https://www.britishcycling.org.uk/points?person_id=47407&amp;year=2019&amp;type=national&amp;d=6","Results")</f>
        <v/>
      </c>
    </row>
    <row r="10" spans="1:5">
      <c r="A10" t="s">
        <v>35</v>
      </c>
      <c r="B10" t="s">
        <v>2855</v>
      </c>
      <c r="C10" t="s">
        <v>945</v>
      </c>
      <c r="D10" t="s">
        <v>2525</v>
      </c>
      <c r="E10">
        <f>HYPERLINK("https://www.britishcycling.org.uk/points?person_id=37986&amp;year=2019&amp;type=national&amp;d=6","Results")</f>
        <v/>
      </c>
    </row>
    <row r="11" spans="1:5">
      <c r="A11" t="s">
        <v>39</v>
      </c>
      <c r="B11" t="s">
        <v>2856</v>
      </c>
      <c r="C11" t="s">
        <v>2857</v>
      </c>
      <c r="D11" t="s">
        <v>2469</v>
      </c>
      <c r="E11">
        <f>HYPERLINK("https://www.britishcycling.org.uk/points?person_id=304160&amp;year=2019&amp;type=national&amp;d=6","Results")</f>
        <v/>
      </c>
    </row>
    <row r="12" spans="1:5">
      <c r="A12" t="s">
        <v>43</v>
      </c>
      <c r="B12" t="s">
        <v>2858</v>
      </c>
      <c r="C12" t="s">
        <v>1344</v>
      </c>
      <c r="D12" t="s">
        <v>920</v>
      </c>
      <c r="E12">
        <f>HYPERLINK("https://www.britishcycling.org.uk/points?person_id=3157&amp;year=2019&amp;type=national&amp;d=6","Results")</f>
        <v/>
      </c>
    </row>
    <row r="13" spans="1:5">
      <c r="A13" t="s">
        <v>47</v>
      </c>
      <c r="B13" t="s">
        <v>1775</v>
      </c>
      <c r="C13" t="s">
        <v>401</v>
      </c>
      <c r="D13" t="s">
        <v>2442</v>
      </c>
      <c r="E13">
        <f>HYPERLINK("https://www.britishcycling.org.uk/points?person_id=39724&amp;year=2019&amp;type=national&amp;d=6","Results")</f>
        <v/>
      </c>
    </row>
    <row r="14" spans="1:5">
      <c r="A14" t="s">
        <v>51</v>
      </c>
      <c r="B14" t="s">
        <v>1802</v>
      </c>
      <c r="C14" t="s">
        <v>1397</v>
      </c>
      <c r="D14" t="s">
        <v>922</v>
      </c>
      <c r="E14">
        <f>HYPERLINK("https://www.britishcycling.org.uk/points?person_id=14968&amp;year=2019&amp;type=national&amp;d=6","Results")</f>
        <v/>
      </c>
    </row>
    <row r="15" spans="1:5">
      <c r="A15" t="s">
        <v>55</v>
      </c>
      <c r="B15" t="s">
        <v>2046</v>
      </c>
      <c r="C15" t="s">
        <v>1925</v>
      </c>
      <c r="D15" t="s">
        <v>2400</v>
      </c>
      <c r="E15">
        <f>HYPERLINK("https://www.britishcycling.org.uk/points?person_id=169425&amp;year=2019&amp;type=national&amp;d=6","Results")</f>
        <v/>
      </c>
    </row>
    <row r="16" spans="1:5">
      <c r="A16" t="s">
        <v>59</v>
      </c>
      <c r="B16" t="s">
        <v>1904</v>
      </c>
      <c r="C16" t="s">
        <v>283</v>
      </c>
      <c r="D16" t="s">
        <v>2378</v>
      </c>
      <c r="E16">
        <f>HYPERLINK("https://www.britishcycling.org.uk/points?person_id=2125&amp;year=2019&amp;type=national&amp;d=6","Results")</f>
        <v/>
      </c>
    </row>
    <row r="17" spans="1:5">
      <c r="A17" t="s">
        <v>63</v>
      </c>
      <c r="B17" t="s">
        <v>1914</v>
      </c>
      <c r="C17" t="s">
        <v>1915</v>
      </c>
      <c r="D17" t="s">
        <v>2360</v>
      </c>
      <c r="E17">
        <f>HYPERLINK("https://www.britishcycling.org.uk/points?person_id=73130&amp;year=2019&amp;type=national&amp;d=6","Results")</f>
        <v/>
      </c>
    </row>
    <row r="18" spans="1:5">
      <c r="A18" t="s">
        <v>67</v>
      </c>
      <c r="B18" t="s">
        <v>2859</v>
      </c>
      <c r="C18" t="s">
        <v>1719</v>
      </c>
      <c r="D18" t="s">
        <v>2358</v>
      </c>
      <c r="E18">
        <f>HYPERLINK("https://www.britishcycling.org.uk/points?person_id=72548&amp;year=2019&amp;type=national&amp;d=6","Results")</f>
        <v/>
      </c>
    </row>
    <row r="19" spans="1:5">
      <c r="A19" t="s">
        <v>71</v>
      </c>
      <c r="B19" t="s">
        <v>2860</v>
      </c>
      <c r="C19" t="s">
        <v>511</v>
      </c>
      <c r="D19" t="s">
        <v>2355</v>
      </c>
      <c r="E19">
        <f>HYPERLINK("https://www.britishcycling.org.uk/points?person_id=323426&amp;year=2019&amp;type=national&amp;d=6","Results")</f>
        <v/>
      </c>
    </row>
    <row r="20" spans="1:5">
      <c r="A20" t="s">
        <v>75</v>
      </c>
      <c r="B20" t="s">
        <v>2385</v>
      </c>
      <c r="C20" t="s">
        <v>2386</v>
      </c>
      <c r="D20" t="s">
        <v>2330</v>
      </c>
      <c r="E20">
        <f>HYPERLINK("https://www.britishcycling.org.uk/points?person_id=79255&amp;year=2019&amp;type=national&amp;d=6","Results")</f>
        <v/>
      </c>
    </row>
    <row r="21" spans="1:5">
      <c r="A21" t="s">
        <v>78</v>
      </c>
      <c r="B21" t="s">
        <v>2861</v>
      </c>
      <c r="C21" t="s">
        <v>65</v>
      </c>
      <c r="D21" t="s">
        <v>2330</v>
      </c>
      <c r="E21">
        <f>HYPERLINK("https://www.britishcycling.org.uk/points?person_id=52929&amp;year=2019&amp;type=national&amp;d=6","Results")</f>
        <v/>
      </c>
    </row>
    <row r="22" spans="1:5">
      <c r="A22" t="s">
        <v>82</v>
      </c>
      <c r="B22" t="s">
        <v>2226</v>
      </c>
      <c r="C22" t="s">
        <v>1819</v>
      </c>
      <c r="D22" t="s">
        <v>58</v>
      </c>
      <c r="E22">
        <f>HYPERLINK("https://www.britishcycling.org.uk/points?person_id=32992&amp;year=2019&amp;type=national&amp;d=6","Results")</f>
        <v/>
      </c>
    </row>
    <row r="23" spans="1:5">
      <c r="A23" t="s">
        <v>85</v>
      </c>
      <c r="B23" t="s">
        <v>2862</v>
      </c>
      <c r="C23" t="s">
        <v>1998</v>
      </c>
      <c r="D23" t="s">
        <v>2261</v>
      </c>
      <c r="E23">
        <f>HYPERLINK("https://www.britishcycling.org.uk/points?person_id=3985&amp;year=2019&amp;type=national&amp;d=6","Results")</f>
        <v/>
      </c>
    </row>
    <row r="24" spans="1:5">
      <c r="A24" t="s">
        <v>89</v>
      </c>
      <c r="B24" t="s">
        <v>2863</v>
      </c>
      <c r="C24" t="s">
        <v>1734</v>
      </c>
      <c r="D24" t="s">
        <v>2246</v>
      </c>
      <c r="E24">
        <f>HYPERLINK("https://www.britishcycling.org.uk/points?person_id=121731&amp;year=2019&amp;type=national&amp;d=6","Results")</f>
        <v/>
      </c>
    </row>
    <row r="25" spans="1:5">
      <c r="A25" t="s">
        <v>92</v>
      </c>
      <c r="B25" t="s">
        <v>1679</v>
      </c>
      <c r="C25" t="s">
        <v>1603</v>
      </c>
      <c r="D25" t="s">
        <v>2227</v>
      </c>
      <c r="E25">
        <f>HYPERLINK("https://www.britishcycling.org.uk/points?person_id=79292&amp;year=2019&amp;type=national&amp;d=6","Results")</f>
        <v/>
      </c>
    </row>
    <row r="26" spans="1:5">
      <c r="A26" t="s">
        <v>96</v>
      </c>
      <c r="B26" t="s">
        <v>2507</v>
      </c>
      <c r="C26" t="s">
        <v>2126</v>
      </c>
      <c r="D26" t="s">
        <v>2219</v>
      </c>
      <c r="E26">
        <f>HYPERLINK("https://www.britishcycling.org.uk/points?person_id=78710&amp;year=2019&amp;type=national&amp;d=6","Results")</f>
        <v/>
      </c>
    </row>
    <row r="27" spans="1:5">
      <c r="A27" t="s">
        <v>99</v>
      </c>
      <c r="B27" t="s">
        <v>2179</v>
      </c>
      <c r="C27" t="s">
        <v>23</v>
      </c>
      <c r="D27" t="s">
        <v>1637</v>
      </c>
      <c r="E27">
        <f>HYPERLINK("https://www.britishcycling.org.uk/points?person_id=104475&amp;year=2019&amp;type=national&amp;d=6","Results")</f>
        <v/>
      </c>
    </row>
    <row r="28" spans="1:5">
      <c r="A28" t="s">
        <v>103</v>
      </c>
      <c r="B28" t="s">
        <v>2519</v>
      </c>
      <c r="C28" t="s">
        <v>1704</v>
      </c>
      <c r="D28" t="s">
        <v>2204</v>
      </c>
      <c r="E28">
        <f>HYPERLINK("https://www.britishcycling.org.uk/points?person_id=929&amp;year=2019&amp;type=national&amp;d=6","Results")</f>
        <v/>
      </c>
    </row>
    <row r="29" spans="1:5">
      <c r="A29" t="s">
        <v>107</v>
      </c>
      <c r="B29" t="s">
        <v>1967</v>
      </c>
      <c r="C29" t="s">
        <v>1968</v>
      </c>
      <c r="D29" t="s">
        <v>2200</v>
      </c>
      <c r="E29">
        <f>HYPERLINK("https://www.britishcycling.org.uk/points?person_id=288497&amp;year=2019&amp;type=national&amp;d=6","Results")</f>
        <v/>
      </c>
    </row>
    <row r="30" spans="1:5">
      <c r="A30" t="s">
        <v>111</v>
      </c>
      <c r="B30" t="s">
        <v>2160</v>
      </c>
      <c r="C30" t="s">
        <v>2161</v>
      </c>
      <c r="D30" t="s">
        <v>2186</v>
      </c>
      <c r="E30">
        <f>HYPERLINK("https://www.britishcycling.org.uk/points?person_id=73475&amp;year=2019&amp;type=national&amp;d=6","Results")</f>
        <v/>
      </c>
    </row>
    <row r="31" spans="1:5">
      <c r="A31" t="s">
        <v>115</v>
      </c>
      <c r="B31" t="s">
        <v>1811</v>
      </c>
      <c r="C31" t="s">
        <v>584</v>
      </c>
      <c r="D31" t="s">
        <v>2175</v>
      </c>
      <c r="E31">
        <f>HYPERLINK("https://www.britishcycling.org.uk/points?person_id=29364&amp;year=2019&amp;type=national&amp;d=6","Results")</f>
        <v/>
      </c>
    </row>
    <row r="32" spans="1:5">
      <c r="A32" t="s">
        <v>119</v>
      </c>
      <c r="B32" t="s">
        <v>2148</v>
      </c>
      <c r="C32" t="s">
        <v>2149</v>
      </c>
      <c r="D32" t="s">
        <v>2168</v>
      </c>
      <c r="E32">
        <f>HYPERLINK("https://www.britishcycling.org.uk/points?person_id=347498&amp;year=2019&amp;type=national&amp;d=6","Results")</f>
        <v/>
      </c>
    </row>
    <row r="33" spans="1:5">
      <c r="A33" t="s">
        <v>123</v>
      </c>
      <c r="B33" t="s">
        <v>2864</v>
      </c>
      <c r="C33" t="s">
        <v>1440</v>
      </c>
      <c r="D33" t="s">
        <v>1336</v>
      </c>
      <c r="E33">
        <f>HYPERLINK("https://www.britishcycling.org.uk/points?person_id=48856&amp;year=2019&amp;type=national&amp;d=6","Results")</f>
        <v/>
      </c>
    </row>
    <row r="34" spans="1:5">
      <c r="A34" t="s">
        <v>127</v>
      </c>
      <c r="B34" t="s">
        <v>2865</v>
      </c>
      <c r="C34" t="s">
        <v>2866</v>
      </c>
      <c r="D34" t="s">
        <v>2153</v>
      </c>
      <c r="E34">
        <f>HYPERLINK("https://www.britishcycling.org.uk/points?person_id=132173&amp;year=2019&amp;type=national&amp;d=6","Results")</f>
        <v/>
      </c>
    </row>
    <row r="35" spans="1:5">
      <c r="A35" t="s">
        <v>130</v>
      </c>
      <c r="B35" t="s">
        <v>2867</v>
      </c>
      <c r="C35" t="s">
        <v>1494</v>
      </c>
      <c r="D35" t="s">
        <v>2107</v>
      </c>
      <c r="E35">
        <f>HYPERLINK("https://www.britishcycling.org.uk/points?person_id=71029&amp;year=2019&amp;type=national&amp;d=6","Results")</f>
        <v/>
      </c>
    </row>
    <row r="36" spans="1:5">
      <c r="A36" t="s">
        <v>133</v>
      </c>
      <c r="B36" t="s">
        <v>2868</v>
      </c>
      <c r="C36" t="s"/>
      <c r="D36" t="s">
        <v>2094</v>
      </c>
      <c r="E36">
        <f>HYPERLINK("https://www.britishcycling.org.uk/points?person_id=107184&amp;year=2019&amp;type=national&amp;d=6","Results")</f>
        <v/>
      </c>
    </row>
    <row r="37" spans="1:5">
      <c r="A37" t="s">
        <v>137</v>
      </c>
      <c r="B37" t="s">
        <v>2029</v>
      </c>
      <c r="C37" t="s">
        <v>1694</v>
      </c>
      <c r="D37" t="s">
        <v>1649</v>
      </c>
      <c r="E37">
        <f>HYPERLINK("https://www.britishcycling.org.uk/points?person_id=104264&amp;year=2019&amp;type=national&amp;d=6","Results")</f>
        <v/>
      </c>
    </row>
    <row r="38" spans="1:5">
      <c r="A38" t="s">
        <v>141</v>
      </c>
      <c r="B38" t="s">
        <v>2869</v>
      </c>
      <c r="C38" t="s">
        <v>2870</v>
      </c>
      <c r="D38" t="s">
        <v>941</v>
      </c>
      <c r="E38">
        <f>HYPERLINK("https://www.britishcycling.org.uk/points?person_id=8174&amp;year=2019&amp;type=national&amp;d=6","Results")</f>
        <v/>
      </c>
    </row>
    <row r="39" spans="1:5">
      <c r="A39" t="s">
        <v>145</v>
      </c>
      <c r="B39" t="s">
        <v>2871</v>
      </c>
      <c r="C39" t="s">
        <v>511</v>
      </c>
      <c r="D39" t="s">
        <v>890</v>
      </c>
      <c r="E39">
        <f>HYPERLINK("https://www.britishcycling.org.uk/points?person_id=74907&amp;year=2019&amp;type=national&amp;d=6","Results")</f>
        <v/>
      </c>
    </row>
    <row r="40" spans="1:5">
      <c r="A40" t="s">
        <v>148</v>
      </c>
      <c r="B40" t="s">
        <v>2254</v>
      </c>
      <c r="C40" t="s">
        <v>2255</v>
      </c>
      <c r="D40" t="s">
        <v>890</v>
      </c>
      <c r="E40">
        <f>HYPERLINK("https://www.britishcycling.org.uk/points?person_id=138761&amp;year=2019&amp;type=national&amp;d=6","Results")</f>
        <v/>
      </c>
    </row>
    <row r="41" spans="1:5">
      <c r="A41" t="s">
        <v>151</v>
      </c>
      <c r="B41" t="s">
        <v>2872</v>
      </c>
      <c r="C41" t="s">
        <v>2438</v>
      </c>
      <c r="D41" t="s">
        <v>851</v>
      </c>
      <c r="E41">
        <f>HYPERLINK("https://www.britishcycling.org.uk/points?person_id=51615&amp;year=2019&amp;type=national&amp;d=6","Results")</f>
        <v/>
      </c>
    </row>
    <row r="42" spans="1:5">
      <c r="A42" t="s">
        <v>155</v>
      </c>
      <c r="B42" t="s">
        <v>2873</v>
      </c>
      <c r="C42" t="s">
        <v>2874</v>
      </c>
      <c r="D42" t="s">
        <v>102</v>
      </c>
      <c r="E42">
        <f>HYPERLINK("https://www.britishcycling.org.uk/points?person_id=34789&amp;year=2019&amp;type=national&amp;d=6","Results")</f>
        <v/>
      </c>
    </row>
    <row r="43" spans="1:5">
      <c r="A43" t="s">
        <v>158</v>
      </c>
      <c r="B43" t="s">
        <v>2875</v>
      </c>
      <c r="C43" t="s">
        <v>2438</v>
      </c>
      <c r="D43" t="s">
        <v>820</v>
      </c>
      <c r="E43">
        <f>HYPERLINK("https://www.britishcycling.org.uk/points?person_id=63645&amp;year=2019&amp;type=national&amp;d=6","Results")</f>
        <v/>
      </c>
    </row>
    <row r="44" spans="1:5">
      <c r="A44" t="s">
        <v>161</v>
      </c>
      <c r="B44" t="s">
        <v>2876</v>
      </c>
      <c r="C44" t="s">
        <v>2877</v>
      </c>
      <c r="D44" t="s">
        <v>815</v>
      </c>
      <c r="E44">
        <f>HYPERLINK("https://www.britishcycling.org.uk/points?person_id=369502&amp;year=2019&amp;type=national&amp;d=6","Results")</f>
        <v/>
      </c>
    </row>
    <row r="45" spans="1:5">
      <c r="A45" t="s">
        <v>165</v>
      </c>
      <c r="B45" t="s">
        <v>2209</v>
      </c>
      <c r="C45" t="s">
        <v>2210</v>
      </c>
      <c r="D45" t="s">
        <v>810</v>
      </c>
      <c r="E45">
        <f>HYPERLINK("https://www.britishcycling.org.uk/points?person_id=202525&amp;year=2019&amp;type=national&amp;d=6","Results")</f>
        <v/>
      </c>
    </row>
    <row r="46" spans="1:5">
      <c r="A46" t="s">
        <v>168</v>
      </c>
      <c r="B46" t="s">
        <v>2878</v>
      </c>
      <c r="C46" t="s">
        <v>2206</v>
      </c>
      <c r="D46" t="s">
        <v>110</v>
      </c>
      <c r="E46">
        <f>HYPERLINK("https://www.britishcycling.org.uk/points?person_id=278183&amp;year=2019&amp;type=national&amp;d=6","Results")</f>
        <v/>
      </c>
    </row>
    <row r="47" spans="1:5">
      <c r="A47" t="s">
        <v>172</v>
      </c>
      <c r="B47" t="s">
        <v>2879</v>
      </c>
      <c r="C47" t="s">
        <v>551</v>
      </c>
      <c r="D47" t="s">
        <v>782</v>
      </c>
      <c r="E47">
        <f>HYPERLINK("https://www.britishcycling.org.uk/points?person_id=203162&amp;year=2019&amp;type=national&amp;d=6","Results")</f>
        <v/>
      </c>
    </row>
    <row r="48" spans="1:5">
      <c r="A48" t="s">
        <v>176</v>
      </c>
      <c r="B48" t="s">
        <v>2880</v>
      </c>
      <c r="C48" t="s">
        <v>1626</v>
      </c>
      <c r="D48" t="s">
        <v>779</v>
      </c>
      <c r="E48">
        <f>HYPERLINK("https://www.britishcycling.org.uk/points?person_id=172366&amp;year=2019&amp;type=national&amp;d=6","Results")</f>
        <v/>
      </c>
    </row>
    <row r="49" spans="1:5">
      <c r="A49" t="s">
        <v>180</v>
      </c>
      <c r="B49" t="s">
        <v>2881</v>
      </c>
      <c r="C49" t="s">
        <v>1635</v>
      </c>
      <c r="D49" t="s">
        <v>118</v>
      </c>
      <c r="E49">
        <f>HYPERLINK("https://www.britishcycling.org.uk/points?person_id=36242&amp;year=2019&amp;type=national&amp;d=6","Results")</f>
        <v/>
      </c>
    </row>
    <row r="50" spans="1:5">
      <c r="A50" t="s">
        <v>184</v>
      </c>
      <c r="B50" t="s">
        <v>2470</v>
      </c>
      <c r="C50" t="s">
        <v>837</v>
      </c>
      <c r="D50" t="s">
        <v>118</v>
      </c>
      <c r="E50">
        <f>HYPERLINK("https://www.britishcycling.org.uk/points?person_id=76157&amp;year=2019&amp;type=national&amp;d=6","Results")</f>
        <v/>
      </c>
    </row>
    <row r="51" spans="1:5">
      <c r="A51" t="s">
        <v>188</v>
      </c>
      <c r="B51" t="s">
        <v>2882</v>
      </c>
      <c r="C51" t="s">
        <v>363</v>
      </c>
      <c r="D51" t="s">
        <v>758</v>
      </c>
      <c r="E51">
        <f>HYPERLINK("https://www.britishcycling.org.uk/points?person_id=370578&amp;year=2019&amp;type=national&amp;d=6","Results")</f>
        <v/>
      </c>
    </row>
    <row r="52" spans="1:5">
      <c r="A52" t="s">
        <v>192</v>
      </c>
      <c r="B52" t="s">
        <v>2883</v>
      </c>
      <c r="C52" t="s">
        <v>2866</v>
      </c>
      <c r="D52" t="s">
        <v>749</v>
      </c>
      <c r="E52">
        <f>HYPERLINK("https://www.britishcycling.org.uk/points?person_id=51080&amp;year=2019&amp;type=national&amp;d=6","Results")</f>
        <v/>
      </c>
    </row>
    <row r="53" spans="1:5">
      <c r="A53" t="s">
        <v>196</v>
      </c>
      <c r="B53" t="s">
        <v>2884</v>
      </c>
      <c r="C53" t="s">
        <v>2885</v>
      </c>
      <c r="D53" t="s">
        <v>747</v>
      </c>
      <c r="E53">
        <f>HYPERLINK("https://www.britishcycling.org.uk/points?person_id=63568&amp;year=2019&amp;type=national&amp;d=6","Results")</f>
        <v/>
      </c>
    </row>
    <row r="54" spans="1:5">
      <c r="A54" t="s">
        <v>199</v>
      </c>
      <c r="B54" t="s">
        <v>2359</v>
      </c>
      <c r="C54" t="s">
        <v>1354</v>
      </c>
      <c r="D54" t="s">
        <v>737</v>
      </c>
      <c r="E54">
        <f>HYPERLINK("https://www.britishcycling.org.uk/points?person_id=30533&amp;year=2019&amp;type=national&amp;d=6","Results")</f>
        <v/>
      </c>
    </row>
    <row r="55" spans="1:5">
      <c r="A55" t="s">
        <v>203</v>
      </c>
      <c r="B55" t="s">
        <v>2886</v>
      </c>
      <c r="C55" t="s">
        <v>1782</v>
      </c>
      <c r="D55" t="s">
        <v>737</v>
      </c>
      <c r="E55">
        <f>HYPERLINK("https://www.britishcycling.org.uk/points?person_id=524367&amp;year=2019&amp;type=national&amp;d=6","Results")</f>
        <v/>
      </c>
    </row>
    <row r="56" spans="1:5">
      <c r="A56" t="s">
        <v>207</v>
      </c>
      <c r="B56" t="s">
        <v>2887</v>
      </c>
      <c r="C56" t="s">
        <v>324</v>
      </c>
      <c r="D56" t="s">
        <v>735</v>
      </c>
      <c r="E56">
        <f>HYPERLINK("https://www.britishcycling.org.uk/points?person_id=443993&amp;year=2019&amp;type=national&amp;d=6","Results")</f>
        <v/>
      </c>
    </row>
    <row r="57" spans="1:5">
      <c r="A57" t="s">
        <v>210</v>
      </c>
      <c r="B57" t="s">
        <v>2888</v>
      </c>
      <c r="C57" t="s"/>
      <c r="D57" t="s">
        <v>726</v>
      </c>
      <c r="E57">
        <f>HYPERLINK("https://www.britishcycling.org.uk/points?person_id=187577&amp;year=2019&amp;type=national&amp;d=6","Results")</f>
        <v/>
      </c>
    </row>
    <row r="58" spans="1:5">
      <c r="A58" t="s">
        <v>214</v>
      </c>
      <c r="B58" t="s">
        <v>2889</v>
      </c>
      <c r="C58" t="s">
        <v>1621</v>
      </c>
      <c r="D58" t="s">
        <v>726</v>
      </c>
      <c r="E58">
        <f>HYPERLINK("https://www.britishcycling.org.uk/points?person_id=7166&amp;year=2019&amp;type=national&amp;d=6","Results")</f>
        <v/>
      </c>
    </row>
    <row r="59" spans="1:5">
      <c r="A59" t="s">
        <v>218</v>
      </c>
      <c r="B59" t="s">
        <v>2890</v>
      </c>
      <c r="C59" t="s">
        <v>472</v>
      </c>
      <c r="D59" t="s">
        <v>129</v>
      </c>
      <c r="E59">
        <f>HYPERLINK("https://www.britishcycling.org.uk/points?person_id=55360&amp;year=2019&amp;type=national&amp;d=6","Results")</f>
        <v/>
      </c>
    </row>
    <row r="60" spans="1:5">
      <c r="A60" t="s">
        <v>221</v>
      </c>
      <c r="B60" t="s">
        <v>2891</v>
      </c>
      <c r="C60" t="s">
        <v>2009</v>
      </c>
      <c r="D60" t="s">
        <v>705</v>
      </c>
      <c r="E60">
        <f>HYPERLINK("https://www.britishcycling.org.uk/points?person_id=63785&amp;year=2019&amp;type=national&amp;d=6","Results")</f>
        <v/>
      </c>
    </row>
    <row r="61" spans="1:5">
      <c r="A61" t="s">
        <v>225</v>
      </c>
      <c r="B61" t="s">
        <v>2245</v>
      </c>
      <c r="C61" t="s">
        <v>1750</v>
      </c>
      <c r="D61" t="s">
        <v>703</v>
      </c>
      <c r="E61">
        <f>HYPERLINK("https://www.britishcycling.org.uk/points?person_id=199183&amp;year=2019&amp;type=national&amp;d=6","Results")</f>
        <v/>
      </c>
    </row>
    <row r="62" spans="1:5">
      <c r="A62" t="s">
        <v>228</v>
      </c>
      <c r="B62" t="s">
        <v>2892</v>
      </c>
      <c r="C62" t="s">
        <v>65</v>
      </c>
      <c r="D62" t="s">
        <v>697</v>
      </c>
      <c r="E62">
        <f>HYPERLINK("https://www.britishcycling.org.uk/points?person_id=605010&amp;year=2019&amp;type=national&amp;d=6","Results")</f>
        <v/>
      </c>
    </row>
    <row r="63" spans="1:5">
      <c r="A63" t="s">
        <v>232</v>
      </c>
      <c r="B63" t="s">
        <v>2893</v>
      </c>
      <c r="C63" t="s">
        <v>1765</v>
      </c>
      <c r="D63" t="s">
        <v>697</v>
      </c>
      <c r="E63">
        <f>HYPERLINK("https://www.britishcycling.org.uk/points?person_id=14945&amp;year=2019&amp;type=national&amp;d=6","Results")</f>
        <v/>
      </c>
    </row>
    <row r="64" spans="1:5">
      <c r="A64" t="s">
        <v>236</v>
      </c>
      <c r="B64" t="s">
        <v>2894</v>
      </c>
      <c r="C64" t="s">
        <v>1760</v>
      </c>
      <c r="D64" t="s">
        <v>694</v>
      </c>
      <c r="E64">
        <f>HYPERLINK("https://www.britishcycling.org.uk/points?person_id=376605&amp;year=2019&amp;type=national&amp;d=6","Results")</f>
        <v/>
      </c>
    </row>
    <row r="65" spans="1:5">
      <c r="A65" t="s">
        <v>239</v>
      </c>
      <c r="B65" t="s">
        <v>2895</v>
      </c>
      <c r="C65" t="s">
        <v>23</v>
      </c>
      <c r="D65" t="s">
        <v>136</v>
      </c>
      <c r="E65">
        <f>HYPERLINK("https://www.britishcycling.org.uk/points?person_id=167652&amp;year=2019&amp;type=national&amp;d=6","Results")</f>
        <v/>
      </c>
    </row>
    <row r="66" spans="1:5">
      <c r="A66" t="s">
        <v>241</v>
      </c>
      <c r="B66" t="s">
        <v>2896</v>
      </c>
      <c r="C66" t="s">
        <v>2897</v>
      </c>
      <c r="D66" t="s">
        <v>682</v>
      </c>
      <c r="E66">
        <f>HYPERLINK("https://www.britishcycling.org.uk/points?person_id=124720&amp;year=2019&amp;type=national&amp;d=6","Results")</f>
        <v/>
      </c>
    </row>
    <row r="67" spans="1:5">
      <c r="A67" t="s">
        <v>244</v>
      </c>
      <c r="B67" t="s">
        <v>2898</v>
      </c>
      <c r="C67" t="s">
        <v>2899</v>
      </c>
      <c r="D67" t="s">
        <v>682</v>
      </c>
      <c r="E67">
        <f>HYPERLINK("https://www.britishcycling.org.uk/points?person_id=51602&amp;year=2019&amp;type=national&amp;d=6","Results")</f>
        <v/>
      </c>
    </row>
    <row r="68" spans="1:5">
      <c r="A68" t="s">
        <v>247</v>
      </c>
      <c r="B68" t="s">
        <v>2900</v>
      </c>
      <c r="C68" t="s"/>
      <c r="D68" t="s">
        <v>672</v>
      </c>
      <c r="E68">
        <f>HYPERLINK("https://www.britishcycling.org.uk/points?person_id=100772&amp;year=2019&amp;type=national&amp;d=6","Results")</f>
        <v/>
      </c>
    </row>
    <row r="69" spans="1:5">
      <c r="A69" t="s">
        <v>250</v>
      </c>
      <c r="B69" t="s">
        <v>2901</v>
      </c>
      <c r="C69" t="s"/>
      <c r="D69" t="s">
        <v>672</v>
      </c>
      <c r="E69">
        <f>HYPERLINK("https://www.britishcycling.org.uk/points?person_id=177968&amp;year=2019&amp;type=national&amp;d=6","Results")</f>
        <v/>
      </c>
    </row>
    <row r="70" spans="1:5">
      <c r="A70" t="s">
        <v>254</v>
      </c>
      <c r="B70" t="s">
        <v>2902</v>
      </c>
      <c r="C70" t="s">
        <v>1440</v>
      </c>
      <c r="D70" t="s">
        <v>672</v>
      </c>
      <c r="E70">
        <f>HYPERLINK("https://www.britishcycling.org.uk/points?person_id=20585&amp;year=2019&amp;type=national&amp;d=6","Results")</f>
        <v/>
      </c>
    </row>
    <row r="71" spans="1:5">
      <c r="A71" t="s">
        <v>257</v>
      </c>
      <c r="B71" t="s">
        <v>2903</v>
      </c>
      <c r="C71" t="s">
        <v>2904</v>
      </c>
      <c r="D71" t="s">
        <v>672</v>
      </c>
      <c r="E71">
        <f>HYPERLINK("https://www.britishcycling.org.uk/points?person_id=28851&amp;year=2019&amp;type=national&amp;d=6","Results")</f>
        <v/>
      </c>
    </row>
    <row r="72" spans="1:5">
      <c r="A72" t="s">
        <v>260</v>
      </c>
      <c r="B72" t="s">
        <v>2905</v>
      </c>
      <c r="C72" t="s"/>
      <c r="D72" t="s">
        <v>668</v>
      </c>
      <c r="E72">
        <f>HYPERLINK("https://www.britishcycling.org.uk/points?person_id=128523&amp;year=2019&amp;type=national&amp;d=6","Results")</f>
        <v/>
      </c>
    </row>
    <row r="73" spans="1:5">
      <c r="A73" t="s">
        <v>264</v>
      </c>
      <c r="B73" t="s">
        <v>2906</v>
      </c>
      <c r="C73" t="s">
        <v>392</v>
      </c>
      <c r="D73" t="s">
        <v>659</v>
      </c>
      <c r="E73">
        <f>HYPERLINK("https://www.britishcycling.org.uk/points?person_id=99454&amp;year=2019&amp;type=national&amp;d=6","Results")</f>
        <v/>
      </c>
    </row>
    <row r="74" spans="1:5">
      <c r="A74" t="s">
        <v>267</v>
      </c>
      <c r="B74" t="s">
        <v>2907</v>
      </c>
      <c r="C74" t="s">
        <v>2885</v>
      </c>
      <c r="D74" t="s">
        <v>154</v>
      </c>
      <c r="E74">
        <f>HYPERLINK("https://www.britishcycling.org.uk/points?person_id=104642&amp;year=2019&amp;type=national&amp;d=6","Results")</f>
        <v/>
      </c>
    </row>
    <row r="75" spans="1:5">
      <c r="A75" t="s">
        <v>270</v>
      </c>
      <c r="B75" t="s">
        <v>2908</v>
      </c>
      <c r="C75" t="s">
        <v>2054</v>
      </c>
      <c r="D75" t="s">
        <v>654</v>
      </c>
      <c r="E75">
        <f>HYPERLINK("https://www.britishcycling.org.uk/points?person_id=132347&amp;year=2019&amp;type=national&amp;d=6","Results")</f>
        <v/>
      </c>
    </row>
    <row r="76" spans="1:5">
      <c r="A76" t="s">
        <v>274</v>
      </c>
      <c r="B76" t="s">
        <v>2909</v>
      </c>
      <c r="C76" t="s">
        <v>1923</v>
      </c>
      <c r="D76" t="s">
        <v>647</v>
      </c>
      <c r="E76">
        <f>HYPERLINK("https://www.britishcycling.org.uk/points?person_id=186340&amp;year=2019&amp;type=national&amp;d=6","Results")</f>
        <v/>
      </c>
    </row>
    <row r="77" spans="1:5">
      <c r="A77" t="s">
        <v>277</v>
      </c>
      <c r="B77" t="s">
        <v>2910</v>
      </c>
      <c r="C77" t="s">
        <v>551</v>
      </c>
      <c r="D77" t="s">
        <v>644</v>
      </c>
      <c r="E77">
        <f>HYPERLINK("https://www.britishcycling.org.uk/points?person_id=13187&amp;year=2019&amp;type=national&amp;d=6","Results")</f>
        <v/>
      </c>
    </row>
    <row r="78" spans="1:5">
      <c r="A78" t="s">
        <v>281</v>
      </c>
      <c r="B78" t="s">
        <v>2911</v>
      </c>
      <c r="C78" t="s">
        <v>1925</v>
      </c>
      <c r="D78" t="s">
        <v>625</v>
      </c>
      <c r="E78">
        <f>HYPERLINK("https://www.britishcycling.org.uk/points?person_id=15692&amp;year=2019&amp;type=national&amp;d=6","Results")</f>
        <v/>
      </c>
    </row>
    <row r="79" spans="1:5">
      <c r="A79" t="s">
        <v>285</v>
      </c>
      <c r="B79" t="s">
        <v>2912</v>
      </c>
      <c r="C79" t="s">
        <v>2438</v>
      </c>
      <c r="D79" t="s">
        <v>619</v>
      </c>
      <c r="E79">
        <f>HYPERLINK("https://www.britishcycling.org.uk/points?person_id=194614&amp;year=2019&amp;type=national&amp;d=6","Results")</f>
        <v/>
      </c>
    </row>
    <row r="80" spans="1:5">
      <c r="A80" t="s">
        <v>289</v>
      </c>
      <c r="B80" t="s">
        <v>2913</v>
      </c>
      <c r="C80" t="s"/>
      <c r="D80" t="s">
        <v>619</v>
      </c>
      <c r="E80">
        <f>HYPERLINK("https://www.britishcycling.org.uk/points?person_id=29009&amp;year=2019&amp;type=national&amp;d=6","Results")</f>
        <v/>
      </c>
    </row>
    <row r="81" spans="1:5">
      <c r="A81" t="s">
        <v>293</v>
      </c>
      <c r="B81" t="s">
        <v>2258</v>
      </c>
      <c r="C81" t="s">
        <v>554</v>
      </c>
      <c r="D81" t="s">
        <v>179</v>
      </c>
      <c r="E81">
        <f>HYPERLINK("https://www.britishcycling.org.uk/points?person_id=207233&amp;year=2019&amp;type=national&amp;d=6","Results")</f>
        <v/>
      </c>
    </row>
    <row r="82" spans="1:5">
      <c r="A82" t="s">
        <v>297</v>
      </c>
      <c r="B82" t="s">
        <v>2914</v>
      </c>
      <c r="C82" t="s">
        <v>2915</v>
      </c>
      <c r="D82" t="s">
        <v>613</v>
      </c>
      <c r="E82">
        <f>HYPERLINK("https://www.britishcycling.org.uk/points?person_id=220033&amp;year=2019&amp;type=national&amp;d=6","Results")</f>
        <v/>
      </c>
    </row>
    <row r="83" spans="1:5">
      <c r="A83" t="s">
        <v>301</v>
      </c>
      <c r="B83" t="s">
        <v>2916</v>
      </c>
      <c r="C83" t="s">
        <v>1968</v>
      </c>
      <c r="D83" t="s">
        <v>187</v>
      </c>
      <c r="E83">
        <f>HYPERLINK("https://www.britishcycling.org.uk/points?person_id=42770&amp;year=2019&amp;type=national&amp;d=6","Results")</f>
        <v/>
      </c>
    </row>
    <row r="84" spans="1:5">
      <c r="A84" t="s">
        <v>304</v>
      </c>
      <c r="B84" t="s">
        <v>2917</v>
      </c>
      <c r="C84" t="s">
        <v>691</v>
      </c>
      <c r="D84" t="s">
        <v>593</v>
      </c>
      <c r="E84">
        <f>HYPERLINK("https://www.britishcycling.org.uk/points?person_id=67024&amp;year=2019&amp;type=national&amp;d=6","Results")</f>
        <v/>
      </c>
    </row>
    <row r="85" spans="1:5">
      <c r="A85" t="s">
        <v>307</v>
      </c>
      <c r="B85" t="s">
        <v>2918</v>
      </c>
      <c r="C85" t="s">
        <v>615</v>
      </c>
      <c r="D85" t="s">
        <v>582</v>
      </c>
      <c r="E85">
        <f>HYPERLINK("https://www.britishcycling.org.uk/points?person_id=3520&amp;year=2019&amp;type=national&amp;d=6","Results")</f>
        <v/>
      </c>
    </row>
    <row r="86" spans="1:5">
      <c r="A86" t="s">
        <v>310</v>
      </c>
      <c r="B86" t="s">
        <v>2919</v>
      </c>
      <c r="C86" t="s">
        <v>2281</v>
      </c>
      <c r="D86" t="s">
        <v>571</v>
      </c>
      <c r="E86">
        <f>HYPERLINK("https://www.britishcycling.org.uk/points?person_id=78594&amp;year=2019&amp;type=national&amp;d=6","Results")</f>
        <v/>
      </c>
    </row>
    <row r="87" spans="1:5">
      <c r="A87" t="s">
        <v>313</v>
      </c>
      <c r="B87" t="s">
        <v>2920</v>
      </c>
      <c r="C87" t="s">
        <v>2921</v>
      </c>
      <c r="D87" t="s">
        <v>560</v>
      </c>
      <c r="E87">
        <f>HYPERLINK("https://www.britishcycling.org.uk/points?person_id=24153&amp;year=2019&amp;type=national&amp;d=6","Results")</f>
        <v/>
      </c>
    </row>
    <row r="88" spans="1:5">
      <c r="A88" t="s">
        <v>317</v>
      </c>
      <c r="B88" t="s">
        <v>2922</v>
      </c>
      <c r="C88" t="s">
        <v>1529</v>
      </c>
      <c r="D88" t="s">
        <v>555</v>
      </c>
      <c r="E88">
        <f>HYPERLINK("https://www.britishcycling.org.uk/points?person_id=685520&amp;year=2019&amp;type=national&amp;d=6","Results")</f>
        <v/>
      </c>
    </row>
    <row r="89" spans="1:5">
      <c r="A89" t="s">
        <v>319</v>
      </c>
      <c r="B89" t="s">
        <v>2923</v>
      </c>
      <c r="C89" t="s">
        <v>2142</v>
      </c>
      <c r="D89" t="s">
        <v>542</v>
      </c>
      <c r="E89">
        <f>HYPERLINK("https://www.britishcycling.org.uk/points?person_id=79278&amp;year=2019&amp;type=national&amp;d=6","Results")</f>
        <v/>
      </c>
    </row>
    <row r="90" spans="1:5">
      <c r="A90" t="s">
        <v>322</v>
      </c>
      <c r="B90" t="s">
        <v>2240</v>
      </c>
      <c r="C90" t="s"/>
      <c r="D90" t="s">
        <v>542</v>
      </c>
      <c r="E90">
        <f>HYPERLINK("https://www.britishcycling.org.uk/points?person_id=574453&amp;year=2019&amp;type=national&amp;d=6","Results")</f>
        <v/>
      </c>
    </row>
    <row r="91" spans="1:5">
      <c r="A91" t="s">
        <v>326</v>
      </c>
      <c r="B91" t="s">
        <v>2924</v>
      </c>
      <c r="C91" t="s">
        <v>1819</v>
      </c>
      <c r="D91" t="s">
        <v>539</v>
      </c>
      <c r="E91">
        <f>HYPERLINK("https://www.britishcycling.org.uk/points?person_id=21998&amp;year=2019&amp;type=national&amp;d=6","Results")</f>
        <v/>
      </c>
    </row>
    <row r="92" spans="1:5">
      <c r="A92" t="s">
        <v>329</v>
      </c>
      <c r="B92" t="s">
        <v>2925</v>
      </c>
      <c r="C92" t="s">
        <v>2717</v>
      </c>
      <c r="D92" t="s">
        <v>206</v>
      </c>
      <c r="E92">
        <f>HYPERLINK("https://www.britishcycling.org.uk/points?person_id=216677&amp;year=2019&amp;type=national&amp;d=6","Results")</f>
        <v/>
      </c>
    </row>
    <row r="93" spans="1:5">
      <c r="A93" t="s">
        <v>333</v>
      </c>
      <c r="B93" t="s">
        <v>2926</v>
      </c>
      <c r="C93" t="s">
        <v>80</v>
      </c>
      <c r="D93" t="s">
        <v>206</v>
      </c>
      <c r="E93">
        <f>HYPERLINK("https://www.britishcycling.org.uk/points?person_id=290994&amp;year=2019&amp;type=national&amp;d=6","Results")</f>
        <v/>
      </c>
    </row>
    <row r="94" spans="1:5">
      <c r="A94" t="s">
        <v>337</v>
      </c>
      <c r="B94" t="s">
        <v>2927</v>
      </c>
      <c r="C94" t="s">
        <v>1598</v>
      </c>
      <c r="D94" t="s">
        <v>536</v>
      </c>
      <c r="E94">
        <f>HYPERLINK("https://www.britishcycling.org.uk/points?person_id=37607&amp;year=2019&amp;type=national&amp;d=6","Results")</f>
        <v/>
      </c>
    </row>
    <row r="95" spans="1:5">
      <c r="A95" t="s">
        <v>341</v>
      </c>
      <c r="B95" t="s">
        <v>2928</v>
      </c>
      <c r="C95" t="s">
        <v>1706</v>
      </c>
      <c r="D95" t="s">
        <v>534</v>
      </c>
      <c r="E95">
        <f>HYPERLINK("https://www.britishcycling.org.uk/points?person_id=179039&amp;year=2019&amp;type=national&amp;d=6","Results")</f>
        <v/>
      </c>
    </row>
    <row r="96" spans="1:5">
      <c r="A96" t="s">
        <v>344</v>
      </c>
      <c r="B96" t="s">
        <v>2929</v>
      </c>
      <c r="C96" t="s">
        <v>2412</v>
      </c>
      <c r="D96" t="s">
        <v>534</v>
      </c>
      <c r="E96">
        <f>HYPERLINK("https://www.britishcycling.org.uk/points?person_id=107592&amp;year=2019&amp;type=national&amp;d=6","Results")</f>
        <v/>
      </c>
    </row>
    <row r="97" spans="1:5">
      <c r="A97" t="s">
        <v>347</v>
      </c>
      <c r="B97" t="s">
        <v>2930</v>
      </c>
      <c r="C97" t="s">
        <v>1865</v>
      </c>
      <c r="D97" t="s">
        <v>527</v>
      </c>
      <c r="E97">
        <f>HYPERLINK("https://www.britishcycling.org.uk/points?person_id=2947&amp;year=2019&amp;type=national&amp;d=6","Results")</f>
        <v/>
      </c>
    </row>
    <row r="98" spans="1:5">
      <c r="A98" t="s">
        <v>350</v>
      </c>
      <c r="B98" t="s">
        <v>2931</v>
      </c>
      <c r="C98" t="s">
        <v>2090</v>
      </c>
      <c r="D98" t="s">
        <v>527</v>
      </c>
      <c r="E98">
        <f>HYPERLINK("https://www.britishcycling.org.uk/points?person_id=62883&amp;year=2019&amp;type=national&amp;d=6","Results")</f>
        <v/>
      </c>
    </row>
    <row r="99" spans="1:5">
      <c r="A99" t="s">
        <v>352</v>
      </c>
      <c r="B99" t="s">
        <v>2932</v>
      </c>
      <c r="C99" t="s">
        <v>1498</v>
      </c>
      <c r="D99" t="s">
        <v>512</v>
      </c>
      <c r="E99">
        <f>HYPERLINK("https://www.britishcycling.org.uk/points?person_id=185655&amp;year=2019&amp;type=national&amp;d=6","Results")</f>
        <v/>
      </c>
    </row>
    <row r="100" spans="1:5">
      <c r="A100" t="s">
        <v>349</v>
      </c>
      <c r="B100" t="s">
        <v>2933</v>
      </c>
      <c r="C100" t="s">
        <v>2934</v>
      </c>
      <c r="D100" t="s">
        <v>509</v>
      </c>
      <c r="E100">
        <f>HYPERLINK("https://www.britishcycling.org.uk/points?person_id=50431&amp;year=2019&amp;type=national&amp;d=6","Results")</f>
        <v/>
      </c>
    </row>
    <row r="101" spans="1:5">
      <c r="A101" t="s">
        <v>356</v>
      </c>
      <c r="B101" t="s">
        <v>2935</v>
      </c>
      <c r="C101" t="s">
        <v>2161</v>
      </c>
      <c r="D101" t="s">
        <v>507</v>
      </c>
      <c r="E101">
        <f>HYPERLINK("https://www.britishcycling.org.uk/points?person_id=101905&amp;year=2019&amp;type=national&amp;d=6","Results")</f>
        <v/>
      </c>
    </row>
    <row r="102" spans="1:5">
      <c r="A102" t="s">
        <v>359</v>
      </c>
      <c r="B102" t="s">
        <v>2936</v>
      </c>
      <c r="C102" t="s">
        <v>139</v>
      </c>
      <c r="D102" t="s">
        <v>507</v>
      </c>
      <c r="E102">
        <f>HYPERLINK("https://www.britishcycling.org.uk/points?person_id=856762&amp;year=2019&amp;type=national&amp;d=6","Results")</f>
        <v/>
      </c>
    </row>
    <row r="103" spans="1:5">
      <c r="A103" t="s">
        <v>343</v>
      </c>
      <c r="B103" t="s">
        <v>2937</v>
      </c>
      <c r="C103" t="s"/>
      <c r="D103" t="s">
        <v>499</v>
      </c>
      <c r="E103">
        <f>HYPERLINK("https://www.britishcycling.org.uk/points?person_id=119807&amp;year=2019&amp;type=national&amp;d=6","Results")</f>
        <v/>
      </c>
    </row>
    <row r="104" spans="1:5">
      <c r="A104" t="s">
        <v>364</v>
      </c>
      <c r="B104" t="s">
        <v>2938</v>
      </c>
      <c r="C104" t="s">
        <v>1677</v>
      </c>
      <c r="D104" t="s">
        <v>499</v>
      </c>
      <c r="E104">
        <f>HYPERLINK("https://www.britishcycling.org.uk/points?person_id=120601&amp;year=2019&amp;type=national&amp;d=6","Results")</f>
        <v/>
      </c>
    </row>
    <row r="105" spans="1:5">
      <c r="A105" t="s">
        <v>340</v>
      </c>
      <c r="B105" t="s">
        <v>2002</v>
      </c>
      <c r="C105" t="s">
        <v>2003</v>
      </c>
      <c r="D105" t="s">
        <v>493</v>
      </c>
      <c r="E105">
        <f>HYPERLINK("https://www.britishcycling.org.uk/points?person_id=372693&amp;year=2019&amp;type=national&amp;d=6","Results")</f>
        <v/>
      </c>
    </row>
    <row r="106" spans="1:5">
      <c r="A106" t="s">
        <v>368</v>
      </c>
      <c r="B106" t="s">
        <v>2939</v>
      </c>
      <c r="C106" t="s">
        <v>163</v>
      </c>
      <c r="D106" t="s">
        <v>493</v>
      </c>
      <c r="E106">
        <f>HYPERLINK("https://www.britishcycling.org.uk/points?person_id=18590&amp;year=2019&amp;type=national&amp;d=6","Results")</f>
        <v/>
      </c>
    </row>
    <row r="107" spans="1:5">
      <c r="A107" t="s">
        <v>370</v>
      </c>
      <c r="B107" t="s">
        <v>2940</v>
      </c>
      <c r="C107" t="s"/>
      <c r="D107" t="s">
        <v>493</v>
      </c>
      <c r="E107">
        <f>HYPERLINK("https://www.britishcycling.org.uk/points?person_id=200603&amp;year=2019&amp;type=national&amp;d=6","Results")</f>
        <v/>
      </c>
    </row>
    <row r="108" spans="1:5">
      <c r="A108" t="s">
        <v>372</v>
      </c>
      <c r="B108" t="s">
        <v>2941</v>
      </c>
      <c r="C108" t="s"/>
      <c r="D108" t="s">
        <v>490</v>
      </c>
      <c r="E108">
        <f>HYPERLINK("https://www.britishcycling.org.uk/points?person_id=130042&amp;year=2019&amp;type=national&amp;d=6","Results")</f>
        <v/>
      </c>
    </row>
    <row r="109" spans="1:5">
      <c r="A109" t="s">
        <v>374</v>
      </c>
      <c r="B109" t="s">
        <v>2942</v>
      </c>
      <c r="C109" t="s"/>
      <c r="D109" t="s">
        <v>490</v>
      </c>
      <c r="E109">
        <f>HYPERLINK("https://www.britishcycling.org.uk/points?person_id=244391&amp;year=2019&amp;type=national&amp;d=6","Results")</f>
        <v/>
      </c>
    </row>
    <row r="110" spans="1:5">
      <c r="A110" t="s">
        <v>377</v>
      </c>
      <c r="B110" t="s">
        <v>2943</v>
      </c>
      <c r="C110" t="s">
        <v>80</v>
      </c>
      <c r="D110" t="s">
        <v>484</v>
      </c>
      <c r="E110">
        <f>HYPERLINK("https://www.britishcycling.org.uk/points?person_id=26427&amp;year=2019&amp;type=national&amp;d=6","Results")</f>
        <v/>
      </c>
    </row>
    <row r="111" spans="1:5">
      <c r="A111" t="s">
        <v>336</v>
      </c>
      <c r="B111" t="s">
        <v>2055</v>
      </c>
      <c r="C111" t="s">
        <v>2056</v>
      </c>
      <c r="D111" t="s">
        <v>246</v>
      </c>
      <c r="E111">
        <f>HYPERLINK("https://www.britishcycling.org.uk/points?person_id=725072&amp;year=2019&amp;type=national&amp;d=6","Results")</f>
        <v/>
      </c>
    </row>
    <row r="112" spans="1:5">
      <c r="A112" t="s">
        <v>332</v>
      </c>
      <c r="B112" t="s">
        <v>1805</v>
      </c>
      <c r="C112" t="s">
        <v>1603</v>
      </c>
      <c r="D112" t="s">
        <v>473</v>
      </c>
      <c r="E112">
        <f>HYPERLINK("https://www.britishcycling.org.uk/points?person_id=27371&amp;year=2019&amp;type=national&amp;d=6","Results")</f>
        <v/>
      </c>
    </row>
    <row r="113" spans="1:5">
      <c r="A113" t="s">
        <v>384</v>
      </c>
      <c r="B113" t="s">
        <v>2944</v>
      </c>
      <c r="C113" t="s">
        <v>2281</v>
      </c>
      <c r="D113" t="s">
        <v>470</v>
      </c>
      <c r="E113">
        <f>HYPERLINK("https://www.britishcycling.org.uk/points?person_id=296682&amp;year=2019&amp;type=national&amp;d=6","Results")</f>
        <v/>
      </c>
    </row>
    <row r="114" spans="1:5">
      <c r="A114" t="s">
        <v>387</v>
      </c>
      <c r="B114" t="s">
        <v>2945</v>
      </c>
      <c r="C114" t="s">
        <v>1538</v>
      </c>
      <c r="D114" t="s">
        <v>470</v>
      </c>
      <c r="E114">
        <f>HYPERLINK("https://www.britishcycling.org.uk/points?person_id=62670&amp;year=2019&amp;type=national&amp;d=6","Results")</f>
        <v/>
      </c>
    </row>
    <row r="115" spans="1:5">
      <c r="A115" t="s">
        <v>389</v>
      </c>
      <c r="B115" t="s">
        <v>2946</v>
      </c>
      <c r="C115" t="s">
        <v>2947</v>
      </c>
      <c r="D115" t="s">
        <v>467</v>
      </c>
      <c r="E115">
        <f>HYPERLINK("https://www.britishcycling.org.uk/points?person_id=471945&amp;year=2019&amp;type=national&amp;d=6","Results")</f>
        <v/>
      </c>
    </row>
    <row r="116" spans="1:5">
      <c r="A116" t="s">
        <v>325</v>
      </c>
      <c r="B116" t="s">
        <v>2948</v>
      </c>
      <c r="C116" t="s">
        <v>973</v>
      </c>
      <c r="D116" t="s">
        <v>465</v>
      </c>
      <c r="E116">
        <f>HYPERLINK("https://www.britishcycling.org.uk/points?person_id=31504&amp;year=2019&amp;type=national&amp;d=6","Results")</f>
        <v/>
      </c>
    </row>
    <row r="117" spans="1:5">
      <c r="A117" t="s">
        <v>393</v>
      </c>
      <c r="B117" t="s">
        <v>2949</v>
      </c>
      <c r="C117" t="s">
        <v>2950</v>
      </c>
      <c r="D117" t="s">
        <v>256</v>
      </c>
      <c r="E117">
        <f>HYPERLINK("https://www.britishcycling.org.uk/points?person_id=12397&amp;year=2019&amp;type=national&amp;d=6","Results")</f>
        <v/>
      </c>
    </row>
    <row r="118" spans="1:5">
      <c r="A118" t="s">
        <v>321</v>
      </c>
      <c r="B118" t="s">
        <v>2951</v>
      </c>
      <c r="C118" t="s">
        <v>1921</v>
      </c>
      <c r="D118" t="s">
        <v>452</v>
      </c>
      <c r="E118">
        <f>HYPERLINK("https://www.britishcycling.org.uk/points?person_id=79257&amp;year=2019&amp;type=national&amp;d=6","Results")</f>
        <v/>
      </c>
    </row>
    <row r="119" spans="1:5">
      <c r="A119" t="s">
        <v>316</v>
      </c>
      <c r="B119" t="s">
        <v>2952</v>
      </c>
      <c r="C119" t="s">
        <v>817</v>
      </c>
      <c r="D119" t="s">
        <v>448</v>
      </c>
      <c r="E119">
        <f>HYPERLINK("https://www.britishcycling.org.uk/points?person_id=68560&amp;year=2019&amp;type=national&amp;d=6","Results")</f>
        <v/>
      </c>
    </row>
    <row r="120" spans="1:5">
      <c r="A120" t="s">
        <v>399</v>
      </c>
      <c r="B120" t="s">
        <v>2112</v>
      </c>
      <c r="C120" t="s">
        <v>1294</v>
      </c>
      <c r="D120" t="s">
        <v>448</v>
      </c>
      <c r="E120">
        <f>HYPERLINK("https://www.britishcycling.org.uk/points?person_id=189279&amp;year=2019&amp;type=national&amp;d=6","Results")</f>
        <v/>
      </c>
    </row>
    <row r="121" spans="1:5">
      <c r="A121" t="s">
        <v>309</v>
      </c>
      <c r="B121" t="s">
        <v>2953</v>
      </c>
      <c r="C121" t="s">
        <v>2954</v>
      </c>
      <c r="D121" t="s">
        <v>266</v>
      </c>
      <c r="E121">
        <f>HYPERLINK("https://www.britishcycling.org.uk/points?person_id=612972&amp;year=2019&amp;type=national&amp;d=6","Results")</f>
        <v/>
      </c>
    </row>
    <row r="122" spans="1:5">
      <c r="A122" t="s">
        <v>306</v>
      </c>
      <c r="B122" t="s">
        <v>2955</v>
      </c>
      <c r="C122" t="s">
        <v>2281</v>
      </c>
      <c r="D122" t="s">
        <v>266</v>
      </c>
      <c r="E122">
        <f>HYPERLINK("https://www.britishcycling.org.uk/points?person_id=61134&amp;year=2019&amp;type=national&amp;d=6","Results")</f>
        <v/>
      </c>
    </row>
    <row r="123" spans="1:5">
      <c r="A123" t="s">
        <v>405</v>
      </c>
      <c r="B123" t="s">
        <v>2832</v>
      </c>
      <c r="C123" t="s">
        <v>2833</v>
      </c>
      <c r="D123" t="s">
        <v>266</v>
      </c>
      <c r="E123">
        <f>HYPERLINK("https://www.britishcycling.org.uk/points?person_id=14983&amp;year=2019&amp;type=national&amp;d=6","Results")</f>
        <v/>
      </c>
    </row>
    <row r="124" spans="1:5">
      <c r="A124" t="s">
        <v>408</v>
      </c>
      <c r="B124" t="s">
        <v>2956</v>
      </c>
      <c r="C124" t="s">
        <v>1699</v>
      </c>
      <c r="D124" t="s">
        <v>269</v>
      </c>
      <c r="E124">
        <f>HYPERLINK("https://www.britishcycling.org.uk/points?person_id=361576&amp;year=2019&amp;type=national&amp;d=6","Results")</f>
        <v/>
      </c>
    </row>
    <row r="125" spans="1:5">
      <c r="A125" t="s">
        <v>410</v>
      </c>
      <c r="B125" t="s">
        <v>2957</v>
      </c>
      <c r="C125" t="s">
        <v>844</v>
      </c>
      <c r="D125" t="s">
        <v>269</v>
      </c>
      <c r="E125">
        <f>HYPERLINK("https://www.britishcycling.org.uk/points?person_id=263728&amp;year=2019&amp;type=national&amp;d=6","Results")</f>
        <v/>
      </c>
    </row>
    <row r="126" spans="1:5">
      <c r="A126" t="s">
        <v>303</v>
      </c>
      <c r="B126" t="s">
        <v>2958</v>
      </c>
      <c r="C126" t="s">
        <v>174</v>
      </c>
      <c r="D126" t="s">
        <v>269</v>
      </c>
      <c r="E126">
        <f>HYPERLINK("https://www.britishcycling.org.uk/points?person_id=107121&amp;year=2019&amp;type=national&amp;d=6","Results")</f>
        <v/>
      </c>
    </row>
    <row r="127" spans="1:5">
      <c r="A127" t="s">
        <v>414</v>
      </c>
      <c r="B127" t="s">
        <v>2959</v>
      </c>
      <c r="C127" t="s">
        <v>2960</v>
      </c>
      <c r="D127" t="s">
        <v>436</v>
      </c>
      <c r="E127">
        <f>HYPERLINK("https://www.britishcycling.org.uk/points?person_id=531957&amp;year=2019&amp;type=national&amp;d=6","Results")</f>
        <v/>
      </c>
    </row>
    <row r="128" spans="1:5">
      <c r="A128" t="s">
        <v>416</v>
      </c>
      <c r="B128" t="s">
        <v>2586</v>
      </c>
      <c r="C128" t="s"/>
      <c r="D128" t="s">
        <v>436</v>
      </c>
      <c r="E128">
        <f>HYPERLINK("https://www.britishcycling.org.uk/points?person_id=588808&amp;year=2019&amp;type=national&amp;d=6","Results")</f>
        <v/>
      </c>
    </row>
    <row r="129" spans="1:5">
      <c r="A129" t="s">
        <v>418</v>
      </c>
      <c r="B129" t="s">
        <v>2961</v>
      </c>
      <c r="C129" t="s">
        <v>1760</v>
      </c>
      <c r="D129" t="s">
        <v>280</v>
      </c>
      <c r="E129">
        <f>HYPERLINK("https://www.britishcycling.org.uk/points?person_id=280221&amp;year=2019&amp;type=national&amp;d=6","Results")</f>
        <v/>
      </c>
    </row>
    <row r="130" spans="1:5">
      <c r="A130" t="s">
        <v>300</v>
      </c>
      <c r="B130" t="s">
        <v>2962</v>
      </c>
      <c r="C130" t="s">
        <v>363</v>
      </c>
      <c r="D130" t="s">
        <v>432</v>
      </c>
      <c r="E130">
        <f>HYPERLINK("https://www.britishcycling.org.uk/points?person_id=3235&amp;year=2019&amp;type=national&amp;d=6","Results")</f>
        <v/>
      </c>
    </row>
    <row r="131" spans="1:5">
      <c r="A131" t="s">
        <v>296</v>
      </c>
      <c r="B131" t="s">
        <v>2963</v>
      </c>
      <c r="C131" t="s">
        <v>216</v>
      </c>
      <c r="D131" t="s">
        <v>430</v>
      </c>
      <c r="E131">
        <f>HYPERLINK("https://www.britishcycling.org.uk/points?person_id=191595&amp;year=2019&amp;type=national&amp;d=6","Results")</f>
        <v/>
      </c>
    </row>
    <row r="132" spans="1:5">
      <c r="A132" t="s">
        <v>292</v>
      </c>
      <c r="B132" t="s">
        <v>2964</v>
      </c>
      <c r="C132" t="s">
        <v>376</v>
      </c>
      <c r="D132" t="s">
        <v>284</v>
      </c>
      <c r="E132">
        <f>HYPERLINK("https://www.britishcycling.org.uk/points?person_id=26403&amp;year=2019&amp;type=national&amp;d=6","Results")</f>
        <v/>
      </c>
    </row>
    <row r="133" spans="1:5">
      <c r="A133" t="s">
        <v>288</v>
      </c>
      <c r="B133" t="s">
        <v>2965</v>
      </c>
      <c r="C133" t="s">
        <v>1709</v>
      </c>
      <c r="D133" t="s">
        <v>284</v>
      </c>
      <c r="E133">
        <f>HYPERLINK("https://www.britishcycling.org.uk/points?person_id=18896&amp;year=2019&amp;type=national&amp;d=6","Results")</f>
        <v/>
      </c>
    </row>
    <row r="134" spans="1:5">
      <c r="A134" t="s">
        <v>425</v>
      </c>
      <c r="B134" t="s">
        <v>2966</v>
      </c>
      <c r="C134" t="s">
        <v>615</v>
      </c>
      <c r="D134" t="s">
        <v>425</v>
      </c>
      <c r="E134">
        <f>HYPERLINK("https://www.britishcycling.org.uk/points?person_id=305973&amp;year=2019&amp;type=national&amp;d=6","Results")</f>
        <v/>
      </c>
    </row>
    <row r="135" spans="1:5">
      <c r="A135" t="s">
        <v>284</v>
      </c>
      <c r="B135" t="s">
        <v>2967</v>
      </c>
      <c r="C135" t="s">
        <v>2968</v>
      </c>
      <c r="D135" t="s">
        <v>288</v>
      </c>
      <c r="E135">
        <f>HYPERLINK("https://www.britishcycling.org.uk/points?person_id=78013&amp;year=2019&amp;type=national&amp;d=6","Results")</f>
        <v/>
      </c>
    </row>
    <row r="136" spans="1:5">
      <c r="A136" t="s">
        <v>430</v>
      </c>
      <c r="B136" t="s">
        <v>2969</v>
      </c>
      <c r="C136" t="s">
        <v>1498</v>
      </c>
      <c r="D136" t="s">
        <v>288</v>
      </c>
      <c r="E136">
        <f>HYPERLINK("https://www.britishcycling.org.uk/points?person_id=498425&amp;year=2019&amp;type=national&amp;d=6","Results")</f>
        <v/>
      </c>
    </row>
    <row r="137" spans="1:5">
      <c r="A137" t="s">
        <v>432</v>
      </c>
      <c r="B137" t="s">
        <v>2970</v>
      </c>
      <c r="C137" t="s"/>
      <c r="D137" t="s">
        <v>300</v>
      </c>
      <c r="E137">
        <f>HYPERLINK("https://www.britishcycling.org.uk/points?person_id=45039&amp;year=2019&amp;type=national&amp;d=6","Results")</f>
        <v/>
      </c>
    </row>
    <row r="138" spans="1:5">
      <c r="A138" t="s">
        <v>280</v>
      </c>
      <c r="B138" t="s">
        <v>2971</v>
      </c>
      <c r="C138" t="s"/>
      <c r="D138" t="s">
        <v>418</v>
      </c>
      <c r="E138">
        <f>HYPERLINK("https://www.britishcycling.org.uk/points?person_id=68115&amp;year=2019&amp;type=national&amp;d=6","Results")</f>
        <v/>
      </c>
    </row>
    <row r="139" spans="1:5">
      <c r="A139" t="s">
        <v>436</v>
      </c>
      <c r="B139" t="s">
        <v>2972</v>
      </c>
      <c r="C139" t="s">
        <v>2044</v>
      </c>
      <c r="D139" t="s">
        <v>416</v>
      </c>
      <c r="E139">
        <f>HYPERLINK("https://www.britishcycling.org.uk/points?person_id=8165&amp;year=2019&amp;type=national&amp;d=6","Results")</f>
        <v/>
      </c>
    </row>
    <row r="140" spans="1:5">
      <c r="A140" t="s">
        <v>276</v>
      </c>
      <c r="B140" t="s">
        <v>2111</v>
      </c>
      <c r="C140" t="s">
        <v>65</v>
      </c>
      <c r="D140" t="s">
        <v>416</v>
      </c>
      <c r="E140">
        <f>HYPERLINK("https://www.britishcycling.org.uk/points?person_id=30980&amp;year=2019&amp;type=national&amp;d=6","Results")</f>
        <v/>
      </c>
    </row>
    <row r="141" spans="1:5">
      <c r="A141" t="s">
        <v>439</v>
      </c>
      <c r="B141" t="s">
        <v>2973</v>
      </c>
      <c r="C141" t="s">
        <v>223</v>
      </c>
      <c r="D141" t="s">
        <v>303</v>
      </c>
      <c r="E141">
        <f>HYPERLINK("https://www.britishcycling.org.uk/points?person_id=395794&amp;year=2019&amp;type=national&amp;d=6","Results")</f>
        <v/>
      </c>
    </row>
    <row r="142" spans="1:5">
      <c r="A142" t="s">
        <v>273</v>
      </c>
      <c r="B142" t="s">
        <v>2974</v>
      </c>
      <c r="C142" t="s">
        <v>65</v>
      </c>
      <c r="D142" t="s">
        <v>410</v>
      </c>
      <c r="E142">
        <f>HYPERLINK("https://www.britishcycling.org.uk/points?person_id=103378&amp;year=2019&amp;type=national&amp;d=6","Results")</f>
        <v/>
      </c>
    </row>
    <row r="143" spans="1:5">
      <c r="A143" t="s">
        <v>269</v>
      </c>
      <c r="B143" t="s">
        <v>2975</v>
      </c>
      <c r="C143" t="s">
        <v>299</v>
      </c>
      <c r="D143" t="s">
        <v>410</v>
      </c>
      <c r="E143">
        <f>HYPERLINK("https://www.britishcycling.org.uk/points?person_id=25794&amp;year=2019&amp;type=national&amp;d=6","Results")</f>
        <v/>
      </c>
    </row>
    <row r="144" spans="1:5">
      <c r="A144" t="s">
        <v>266</v>
      </c>
      <c r="B144" t="s">
        <v>2976</v>
      </c>
      <c r="C144" t="s">
        <v>174</v>
      </c>
      <c r="D144" t="s">
        <v>408</v>
      </c>
      <c r="E144">
        <f>HYPERLINK("https://www.britishcycling.org.uk/points?person_id=303696&amp;year=2019&amp;type=national&amp;d=6","Results")</f>
        <v/>
      </c>
    </row>
    <row r="145" spans="1:5">
      <c r="A145" t="s">
        <v>263</v>
      </c>
      <c r="B145" t="s">
        <v>2977</v>
      </c>
      <c r="C145" t="s">
        <v>216</v>
      </c>
      <c r="D145" t="s">
        <v>405</v>
      </c>
      <c r="E145">
        <f>HYPERLINK("https://www.britishcycling.org.uk/points?person_id=311966&amp;year=2019&amp;type=national&amp;d=6","Results")</f>
        <v/>
      </c>
    </row>
    <row r="146" spans="1:5">
      <c r="A146" t="s">
        <v>448</v>
      </c>
      <c r="B146" t="s">
        <v>2739</v>
      </c>
      <c r="C146" t="s">
        <v>1717</v>
      </c>
      <c r="D146" t="s">
        <v>306</v>
      </c>
      <c r="E146">
        <f>HYPERLINK("https://www.britishcycling.org.uk/points?person_id=751375&amp;year=2019&amp;type=national&amp;d=6","Results")</f>
        <v/>
      </c>
    </row>
    <row r="147" spans="1:5">
      <c r="A147" t="s">
        <v>450</v>
      </c>
      <c r="B147" t="s">
        <v>2978</v>
      </c>
      <c r="C147" t="s">
        <v>1998</v>
      </c>
      <c r="D147" t="s">
        <v>306</v>
      </c>
      <c r="E147">
        <f>HYPERLINK("https://www.britishcycling.org.uk/points?person_id=75740&amp;year=2019&amp;type=national&amp;d=6","Results")</f>
        <v/>
      </c>
    </row>
    <row r="148" spans="1:5">
      <c r="A148" t="s">
        <v>452</v>
      </c>
      <c r="B148" t="s">
        <v>2539</v>
      </c>
      <c r="C148" t="s">
        <v>2540</v>
      </c>
      <c r="D148" t="s">
        <v>309</v>
      </c>
      <c r="E148">
        <f>HYPERLINK("https://www.britishcycling.org.uk/points?person_id=254904&amp;year=2019&amp;type=national&amp;d=6","Results")</f>
        <v/>
      </c>
    </row>
    <row r="149" spans="1:5">
      <c r="A149" t="s">
        <v>454</v>
      </c>
      <c r="B149" t="s">
        <v>2979</v>
      </c>
      <c r="C149" t="s">
        <v>1892</v>
      </c>
      <c r="D149" t="s">
        <v>316</v>
      </c>
      <c r="E149">
        <f>HYPERLINK("https://www.britishcycling.org.uk/points?person_id=282151&amp;year=2019&amp;type=national&amp;d=6","Results")</f>
        <v/>
      </c>
    </row>
    <row r="150" spans="1:5">
      <c r="A150" t="s">
        <v>456</v>
      </c>
      <c r="B150" t="s">
        <v>2980</v>
      </c>
      <c r="C150" t="s">
        <v>2981</v>
      </c>
      <c r="D150" t="s">
        <v>316</v>
      </c>
      <c r="E150">
        <f>HYPERLINK("https://www.britishcycling.org.uk/points?person_id=19713&amp;year=2019&amp;type=national&amp;d=6","Results")</f>
        <v/>
      </c>
    </row>
    <row r="151" spans="1:5">
      <c r="A151" t="s">
        <v>458</v>
      </c>
      <c r="B151" t="s">
        <v>2982</v>
      </c>
      <c r="C151" t="s">
        <v>2983</v>
      </c>
      <c r="D151" t="s">
        <v>316</v>
      </c>
      <c r="E151">
        <f>HYPERLINK("https://www.britishcycling.org.uk/points?person_id=116555&amp;year=2019&amp;type=national&amp;d=6","Results")</f>
        <v/>
      </c>
    </row>
    <row r="152" spans="1:5">
      <c r="A152" t="s">
        <v>256</v>
      </c>
      <c r="B152" t="s">
        <v>2984</v>
      </c>
      <c r="C152" t="s">
        <v>1635</v>
      </c>
      <c r="D152" t="s">
        <v>325</v>
      </c>
      <c r="E152">
        <f>HYPERLINK("https://www.britishcycling.org.uk/points?person_id=38078&amp;year=2019&amp;type=national&amp;d=6","Results")</f>
        <v/>
      </c>
    </row>
    <row r="153" spans="1:5">
      <c r="A153" t="s">
        <v>253</v>
      </c>
      <c r="B153" t="s">
        <v>2985</v>
      </c>
      <c r="C153" t="s">
        <v>1919</v>
      </c>
      <c r="D153" t="s">
        <v>325</v>
      </c>
      <c r="E153">
        <f>HYPERLINK("https://www.britishcycling.org.uk/points?person_id=57513&amp;year=2019&amp;type=national&amp;d=6","Results")</f>
        <v/>
      </c>
    </row>
    <row r="154" spans="1:5">
      <c r="A154" t="s">
        <v>463</v>
      </c>
      <c r="B154" t="s">
        <v>2986</v>
      </c>
      <c r="C154" t="s">
        <v>2717</v>
      </c>
      <c r="D154" t="s">
        <v>325</v>
      </c>
      <c r="E154">
        <f>HYPERLINK("https://www.britishcycling.org.uk/points?person_id=520222&amp;year=2019&amp;type=national&amp;d=6","Results")</f>
        <v/>
      </c>
    </row>
    <row r="155" spans="1:5">
      <c r="A155" t="s">
        <v>465</v>
      </c>
      <c r="B155" t="s">
        <v>2987</v>
      </c>
      <c r="C155" t="s">
        <v>2988</v>
      </c>
      <c r="D155" t="s">
        <v>325</v>
      </c>
      <c r="E155">
        <f>HYPERLINK("https://www.britishcycling.org.uk/points?person_id=20863&amp;year=2019&amp;type=national&amp;d=6","Results")</f>
        <v/>
      </c>
    </row>
    <row r="156" spans="1:5">
      <c r="A156" t="s">
        <v>467</v>
      </c>
      <c r="B156" t="s">
        <v>2989</v>
      </c>
      <c r="C156" t="s">
        <v>1391</v>
      </c>
      <c r="D156" t="s">
        <v>389</v>
      </c>
      <c r="E156">
        <f>HYPERLINK("https://www.britishcycling.org.uk/points?person_id=396449&amp;year=2019&amp;type=national&amp;d=6","Results")</f>
        <v/>
      </c>
    </row>
    <row r="157" spans="1:5">
      <c r="A157" t="s">
        <v>470</v>
      </c>
      <c r="B157" t="s">
        <v>2164</v>
      </c>
      <c r="C157" t="s">
        <v>2165</v>
      </c>
      <c r="D157" t="s">
        <v>389</v>
      </c>
      <c r="E157">
        <f>HYPERLINK("https://www.britishcycling.org.uk/points?person_id=68389&amp;year=2019&amp;type=national&amp;d=6","Results")</f>
        <v/>
      </c>
    </row>
    <row r="158" spans="1:5">
      <c r="A158" t="s">
        <v>473</v>
      </c>
      <c r="B158" t="s">
        <v>2990</v>
      </c>
      <c r="C158" t="s">
        <v>2132</v>
      </c>
      <c r="D158" t="s">
        <v>384</v>
      </c>
      <c r="E158">
        <f>HYPERLINK("https://www.britishcycling.org.uk/points?person_id=70096&amp;year=2019&amp;type=national&amp;d=6","Results")</f>
        <v/>
      </c>
    </row>
    <row r="159" spans="1:5">
      <c r="A159" t="s">
        <v>246</v>
      </c>
      <c r="B159" t="s">
        <v>2991</v>
      </c>
      <c r="C159" t="s"/>
      <c r="D159" t="s">
        <v>336</v>
      </c>
      <c r="E159">
        <f>HYPERLINK("https://www.britishcycling.org.uk/points?person_id=75468&amp;year=2019&amp;type=national&amp;d=6","Results")</f>
        <v/>
      </c>
    </row>
    <row r="160" spans="1:5">
      <c r="A160" t="s">
        <v>477</v>
      </c>
      <c r="B160" t="s">
        <v>2992</v>
      </c>
      <c r="C160" t="s">
        <v>2968</v>
      </c>
      <c r="D160" t="s">
        <v>336</v>
      </c>
      <c r="E160">
        <f>HYPERLINK("https://www.britishcycling.org.uk/points?person_id=4035&amp;year=2019&amp;type=national&amp;d=6","Results")</f>
        <v/>
      </c>
    </row>
    <row r="161" spans="1:5">
      <c r="A161" t="s">
        <v>480</v>
      </c>
      <c r="B161" t="s">
        <v>2993</v>
      </c>
      <c r="C161" t="s">
        <v>2702</v>
      </c>
      <c r="D161" t="s">
        <v>377</v>
      </c>
      <c r="E161">
        <f>HYPERLINK("https://www.britishcycling.org.uk/points?person_id=36631&amp;year=2019&amp;type=national&amp;d=6","Results")</f>
        <v/>
      </c>
    </row>
    <row r="162" spans="1:5">
      <c r="A162" t="s">
        <v>482</v>
      </c>
      <c r="B162" t="s">
        <v>2994</v>
      </c>
      <c r="C162" t="s">
        <v>728</v>
      </c>
      <c r="D162" t="s">
        <v>374</v>
      </c>
      <c r="E162">
        <f>HYPERLINK("https://www.britishcycling.org.uk/points?person_id=251051&amp;year=2019&amp;type=national&amp;d=6","Results")</f>
        <v/>
      </c>
    </row>
    <row r="163" spans="1:5">
      <c r="A163" t="s">
        <v>484</v>
      </c>
      <c r="B163" t="s">
        <v>2995</v>
      </c>
      <c r="C163" t="s"/>
      <c r="D163" t="s">
        <v>374</v>
      </c>
      <c r="E163">
        <f>HYPERLINK("https://www.britishcycling.org.uk/points?person_id=325322&amp;year=2019&amp;type=national&amp;d=6","Results")</f>
        <v/>
      </c>
    </row>
    <row r="164" spans="1:5">
      <c r="A164" t="s">
        <v>243</v>
      </c>
      <c r="B164" t="s">
        <v>2835</v>
      </c>
      <c r="C164" t="s"/>
      <c r="D164" t="s">
        <v>374</v>
      </c>
      <c r="E164">
        <f>HYPERLINK("https://www.britishcycling.org.uk/points?person_id=73163&amp;year=2019&amp;type=national&amp;d=6","Results")</f>
        <v/>
      </c>
    </row>
    <row r="165" spans="1:5">
      <c r="A165" t="s">
        <v>235</v>
      </c>
      <c r="B165" t="s">
        <v>2996</v>
      </c>
      <c r="C165" t="s">
        <v>2866</v>
      </c>
      <c r="D165" t="s">
        <v>370</v>
      </c>
      <c r="E165">
        <f>HYPERLINK("https://www.britishcycling.org.uk/points?person_id=66442&amp;year=2019&amp;type=national&amp;d=6","Results")</f>
        <v/>
      </c>
    </row>
    <row r="166" spans="1:5">
      <c r="A166" t="s">
        <v>488</v>
      </c>
      <c r="B166" t="s">
        <v>2997</v>
      </c>
      <c r="C166" t="s">
        <v>65</v>
      </c>
      <c r="D166" t="s">
        <v>370</v>
      </c>
      <c r="E166">
        <f>HYPERLINK("https://www.britishcycling.org.uk/points?person_id=32330&amp;year=2019&amp;type=national&amp;d=6","Results")</f>
        <v/>
      </c>
    </row>
    <row r="167" spans="1:5">
      <c r="A167" t="s">
        <v>490</v>
      </c>
      <c r="B167" t="s">
        <v>2998</v>
      </c>
      <c r="C167" t="s">
        <v>1195</v>
      </c>
      <c r="D167" t="s">
        <v>340</v>
      </c>
      <c r="E167">
        <f>HYPERLINK("https://www.britishcycling.org.uk/points?person_id=413974&amp;year=2019&amp;type=national&amp;d=6","Results")</f>
        <v/>
      </c>
    </row>
    <row r="168" spans="1:5">
      <c r="A168" t="s">
        <v>231</v>
      </c>
      <c r="B168" t="s">
        <v>2999</v>
      </c>
      <c r="C168" t="s">
        <v>3000</v>
      </c>
      <c r="D168" t="s">
        <v>343</v>
      </c>
      <c r="E168">
        <f>HYPERLINK("https://www.britishcycling.org.uk/points?person_id=28186&amp;year=2019&amp;type=national&amp;d=6","Results")</f>
        <v/>
      </c>
    </row>
    <row r="169" spans="1:5">
      <c r="A169" t="s">
        <v>493</v>
      </c>
      <c r="B169" t="s">
        <v>3001</v>
      </c>
      <c r="C169" t="s">
        <v>2735</v>
      </c>
      <c r="D169" t="s">
        <v>359</v>
      </c>
      <c r="E169">
        <f>HYPERLINK("https://www.britishcycling.org.uk/points?person_id=290096&amp;year=2019&amp;type=national&amp;d=6","Results")</f>
        <v/>
      </c>
    </row>
    <row r="170" spans="1:5">
      <c r="A170" t="s">
        <v>496</v>
      </c>
      <c r="B170" t="s">
        <v>3002</v>
      </c>
      <c r="C170" t="s">
        <v>3003</v>
      </c>
      <c r="D170" t="s">
        <v>359</v>
      </c>
      <c r="E170">
        <f>HYPERLINK("https://www.britishcycling.org.uk/points?person_id=108057&amp;year=2019&amp;type=national&amp;d=6","Results")</f>
        <v/>
      </c>
    </row>
    <row r="171" spans="1:5">
      <c r="A171" t="s">
        <v>499</v>
      </c>
      <c r="B171" t="s">
        <v>3004</v>
      </c>
      <c r="C171" t="s"/>
      <c r="D171" t="s">
        <v>352</v>
      </c>
      <c r="E171">
        <f>HYPERLINK("https://www.britishcycling.org.uk/points?person_id=373&amp;year=2019&amp;type=national&amp;d=6","Results")</f>
        <v/>
      </c>
    </row>
    <row r="172" spans="1:5">
      <c r="A172" t="s">
        <v>501</v>
      </c>
      <c r="B172" t="s">
        <v>3005</v>
      </c>
      <c r="C172" t="s">
        <v>3006</v>
      </c>
      <c r="D172" t="s">
        <v>341</v>
      </c>
      <c r="E172">
        <f>HYPERLINK("https://www.britishcycling.org.uk/points?person_id=563310&amp;year=2019&amp;type=national&amp;d=6","Results")</f>
        <v/>
      </c>
    </row>
    <row r="173" spans="1:5">
      <c r="A173" t="s">
        <v>227</v>
      </c>
      <c r="B173" t="s">
        <v>3007</v>
      </c>
      <c r="C173" t="s">
        <v>3008</v>
      </c>
      <c r="D173" t="s">
        <v>337</v>
      </c>
      <c r="E173">
        <f>HYPERLINK("https://www.britishcycling.org.uk/points?person_id=11731&amp;year=2019&amp;type=national&amp;d=6","Results")</f>
        <v/>
      </c>
    </row>
    <row r="174" spans="1:5">
      <c r="A174" t="s">
        <v>224</v>
      </c>
      <c r="B174" t="s">
        <v>3009</v>
      </c>
      <c r="C174" t="s">
        <v>3010</v>
      </c>
      <c r="D174" t="s">
        <v>333</v>
      </c>
      <c r="E174">
        <f>HYPERLINK("https://www.britishcycling.org.uk/points?person_id=72111&amp;year=2019&amp;type=national&amp;d=6","Results")</f>
        <v/>
      </c>
    </row>
    <row r="175" spans="1:5">
      <c r="A175" t="s">
        <v>507</v>
      </c>
      <c r="B175" t="s">
        <v>3011</v>
      </c>
      <c r="C175" t="s">
        <v>2968</v>
      </c>
      <c r="D175" t="s">
        <v>333</v>
      </c>
      <c r="E175">
        <f>HYPERLINK("https://www.britishcycling.org.uk/points?person_id=49984&amp;year=2019&amp;type=national&amp;d=6","Results")</f>
        <v/>
      </c>
    </row>
    <row r="176" spans="1:5">
      <c r="A176" t="s">
        <v>509</v>
      </c>
      <c r="B176" t="s">
        <v>3012</v>
      </c>
      <c r="C176" t="s">
        <v>1101</v>
      </c>
      <c r="D176" t="s">
        <v>329</v>
      </c>
      <c r="E176">
        <f>HYPERLINK("https://www.britishcycling.org.uk/points?person_id=48353&amp;year=2019&amp;type=national&amp;d=6","Results")</f>
        <v/>
      </c>
    </row>
    <row r="177" spans="1:5">
      <c r="A177" t="s">
        <v>512</v>
      </c>
      <c r="B177" t="s">
        <v>3013</v>
      </c>
      <c r="C177" t="s">
        <v>676</v>
      </c>
      <c r="D177" t="s">
        <v>326</v>
      </c>
      <c r="E177">
        <f>HYPERLINK("https://www.britishcycling.org.uk/points?person_id=232665&amp;year=2019&amp;type=national&amp;d=6","Results")</f>
        <v/>
      </c>
    </row>
    <row r="178" spans="1:5">
      <c r="A178" t="s">
        <v>515</v>
      </c>
      <c r="B178" t="s">
        <v>2710</v>
      </c>
      <c r="C178" t="s">
        <v>2711</v>
      </c>
      <c r="D178" t="s">
        <v>326</v>
      </c>
      <c r="E178">
        <f>HYPERLINK("https://www.britishcycling.org.uk/points?person_id=666591&amp;year=2019&amp;type=national&amp;d=6","Results")</f>
        <v/>
      </c>
    </row>
    <row r="179" spans="1:5">
      <c r="A179" t="s">
        <v>220</v>
      </c>
      <c r="B179" t="s">
        <v>3014</v>
      </c>
      <c r="C179" t="s">
        <v>2717</v>
      </c>
      <c r="D179" t="s">
        <v>322</v>
      </c>
      <c r="E179">
        <f>HYPERLINK("https://www.britishcycling.org.uk/points?person_id=61742&amp;year=2019&amp;type=national&amp;d=6","Results")</f>
        <v/>
      </c>
    </row>
    <row r="180" spans="1:5">
      <c r="A180" t="s">
        <v>217</v>
      </c>
      <c r="B180" t="s">
        <v>3015</v>
      </c>
      <c r="C180" t="s"/>
      <c r="D180" t="s">
        <v>322</v>
      </c>
      <c r="E180">
        <f>HYPERLINK("https://www.britishcycling.org.uk/points?person_id=8253&amp;year=2019&amp;type=national&amp;d=6","Results")</f>
        <v/>
      </c>
    </row>
    <row r="181" spans="1:5">
      <c r="A181" t="s">
        <v>519</v>
      </c>
      <c r="B181" t="s">
        <v>3016</v>
      </c>
      <c r="C181" t="s">
        <v>1881</v>
      </c>
      <c r="D181" t="s">
        <v>319</v>
      </c>
      <c r="E181">
        <f>HYPERLINK("https://www.britishcycling.org.uk/points?person_id=50182&amp;year=2019&amp;type=national&amp;d=6","Results")</f>
        <v/>
      </c>
    </row>
    <row r="182" spans="1:5">
      <c r="A182" t="s">
        <v>521</v>
      </c>
      <c r="B182" t="s">
        <v>3017</v>
      </c>
      <c r="C182" t="s">
        <v>548</v>
      </c>
      <c r="D182" t="s">
        <v>319</v>
      </c>
      <c r="E182">
        <f>HYPERLINK("https://www.britishcycling.org.uk/points?person_id=332310&amp;year=2019&amp;type=national&amp;d=6","Results")</f>
        <v/>
      </c>
    </row>
    <row r="183" spans="1:5">
      <c r="A183" t="s">
        <v>523</v>
      </c>
      <c r="B183" t="s">
        <v>3018</v>
      </c>
      <c r="C183" t="s">
        <v>3019</v>
      </c>
      <c r="D183" t="s">
        <v>317</v>
      </c>
      <c r="E183">
        <f>HYPERLINK("https://www.britishcycling.org.uk/points?person_id=320784&amp;year=2019&amp;type=national&amp;d=6","Results")</f>
        <v/>
      </c>
    </row>
    <row r="184" spans="1:5">
      <c r="A184" t="s">
        <v>213</v>
      </c>
      <c r="B184" t="s">
        <v>3020</v>
      </c>
      <c r="C184" t="s">
        <v>1724</v>
      </c>
      <c r="D184" t="s">
        <v>317</v>
      </c>
      <c r="E184">
        <f>HYPERLINK("https://www.britishcycling.org.uk/points?person_id=226199&amp;year=2019&amp;type=national&amp;d=6","Results")</f>
        <v/>
      </c>
    </row>
    <row r="185" spans="1:5">
      <c r="A185" t="s">
        <v>209</v>
      </c>
      <c r="B185" t="s">
        <v>3021</v>
      </c>
      <c r="C185" t="s">
        <v>1373</v>
      </c>
      <c r="D185" t="s">
        <v>317</v>
      </c>
      <c r="E185">
        <f>HYPERLINK("https://www.britishcycling.org.uk/points?person_id=420875&amp;year=2019&amp;type=national&amp;d=6","Results")</f>
        <v/>
      </c>
    </row>
    <row r="186" spans="1:5">
      <c r="A186" t="s">
        <v>527</v>
      </c>
      <c r="B186" t="s">
        <v>2131</v>
      </c>
      <c r="C186" t="s">
        <v>2132</v>
      </c>
      <c r="D186" t="s">
        <v>313</v>
      </c>
      <c r="E186">
        <f>HYPERLINK("https://www.britishcycling.org.uk/points?person_id=226248&amp;year=2019&amp;type=national&amp;d=6","Results")</f>
        <v/>
      </c>
    </row>
    <row r="187" spans="1:5">
      <c r="A187" t="s">
        <v>529</v>
      </c>
      <c r="B187" t="s">
        <v>3022</v>
      </c>
      <c r="C187" t="s">
        <v>3023</v>
      </c>
      <c r="D187" t="s">
        <v>301</v>
      </c>
      <c r="E187">
        <f>HYPERLINK("https://www.britishcycling.org.uk/points?person_id=133126&amp;year=2019&amp;type=national&amp;d=6","Results")</f>
        <v/>
      </c>
    </row>
    <row r="188" spans="1:5">
      <c r="A188" t="s">
        <v>532</v>
      </c>
      <c r="B188" t="s">
        <v>3024</v>
      </c>
      <c r="C188" t="s">
        <v>3025</v>
      </c>
      <c r="D188" t="s">
        <v>297</v>
      </c>
      <c r="E188">
        <f>HYPERLINK("https://www.britishcycling.org.uk/points?person_id=64342&amp;year=2019&amp;type=national&amp;d=6","Results")</f>
        <v/>
      </c>
    </row>
    <row r="189" spans="1:5">
      <c r="A189" t="s">
        <v>534</v>
      </c>
      <c r="B189" t="s">
        <v>3026</v>
      </c>
      <c r="C189" t="s">
        <v>2149</v>
      </c>
      <c r="D189" t="s">
        <v>293</v>
      </c>
      <c r="E189">
        <f>HYPERLINK("https://www.britishcycling.org.uk/points?person_id=248970&amp;year=2019&amp;type=national&amp;d=6","Results")</f>
        <v/>
      </c>
    </row>
    <row r="190" spans="1:5">
      <c r="A190" t="s">
        <v>536</v>
      </c>
      <c r="B190" t="s">
        <v>3027</v>
      </c>
      <c r="C190" t="s">
        <v>3028</v>
      </c>
      <c r="D190" t="s">
        <v>289</v>
      </c>
      <c r="E190">
        <f>HYPERLINK("https://www.britishcycling.org.uk/points?person_id=57072&amp;year=2019&amp;type=national&amp;d=6","Results")</f>
        <v/>
      </c>
    </row>
    <row r="191" spans="1:5">
      <c r="A191" t="s">
        <v>206</v>
      </c>
      <c r="B191" t="s">
        <v>3029</v>
      </c>
      <c r="C191" t="s">
        <v>3030</v>
      </c>
      <c r="D191" t="s">
        <v>285</v>
      </c>
      <c r="E191">
        <f>HYPERLINK("https://www.britishcycling.org.uk/points?person_id=168690&amp;year=2019&amp;type=national&amp;d=6","Results")</f>
        <v/>
      </c>
    </row>
    <row r="192" spans="1:5">
      <c r="A192" t="s">
        <v>539</v>
      </c>
      <c r="B192" t="s">
        <v>2332</v>
      </c>
      <c r="C192" t="s">
        <v>445</v>
      </c>
      <c r="D192" t="s">
        <v>281</v>
      </c>
      <c r="E192">
        <f>HYPERLINK("https://www.britishcycling.org.uk/points?person_id=223833&amp;year=2019&amp;type=national&amp;d=6","Results")</f>
        <v/>
      </c>
    </row>
    <row r="193" spans="1:5">
      <c r="A193" t="s">
        <v>542</v>
      </c>
      <c r="B193" t="s">
        <v>3031</v>
      </c>
      <c r="C193" t="s">
        <v>1261</v>
      </c>
      <c r="D193" t="s">
        <v>274</v>
      </c>
      <c r="E193">
        <f>HYPERLINK("https://www.britishcycling.org.uk/points?person_id=8887&amp;year=2019&amp;type=national&amp;d=6","Results")</f>
        <v/>
      </c>
    </row>
    <row r="194" spans="1:5">
      <c r="A194" t="s">
        <v>544</v>
      </c>
      <c r="B194" t="s">
        <v>2757</v>
      </c>
      <c r="C194" t="s">
        <v>413</v>
      </c>
      <c r="D194" t="s">
        <v>274</v>
      </c>
      <c r="E194">
        <f>HYPERLINK("https://www.britishcycling.org.uk/points?person_id=377253&amp;year=2019&amp;type=national&amp;d=6","Results")</f>
        <v/>
      </c>
    </row>
    <row r="195" spans="1:5">
      <c r="A195" t="s">
        <v>546</v>
      </c>
      <c r="B195" t="s">
        <v>3032</v>
      </c>
      <c r="C195" t="s">
        <v>691</v>
      </c>
      <c r="D195" t="s">
        <v>274</v>
      </c>
      <c r="E195">
        <f>HYPERLINK("https://www.britishcycling.org.uk/points?person_id=183189&amp;year=2019&amp;type=national&amp;d=6","Results")</f>
        <v/>
      </c>
    </row>
    <row r="196" spans="1:5">
      <c r="A196" t="s">
        <v>549</v>
      </c>
      <c r="B196" t="s">
        <v>3033</v>
      </c>
      <c r="C196" t="s">
        <v>1373</v>
      </c>
      <c r="D196" t="s">
        <v>270</v>
      </c>
      <c r="E196">
        <f>HYPERLINK("https://www.britishcycling.org.uk/points?person_id=179767&amp;year=2019&amp;type=national&amp;d=6","Results")</f>
        <v/>
      </c>
    </row>
    <row r="197" spans="1:5">
      <c r="A197" t="s">
        <v>552</v>
      </c>
      <c r="B197" t="s">
        <v>3034</v>
      </c>
      <c r="C197" t="s">
        <v>3035</v>
      </c>
      <c r="D197" t="s">
        <v>267</v>
      </c>
      <c r="E197">
        <f>HYPERLINK("https://www.britishcycling.org.uk/points?person_id=22453&amp;year=2019&amp;type=national&amp;d=6","Results")</f>
        <v/>
      </c>
    </row>
    <row r="198" spans="1:5">
      <c r="A198" t="s">
        <v>555</v>
      </c>
      <c r="B198" t="s">
        <v>3036</v>
      </c>
      <c r="C198" t="s">
        <v>1872</v>
      </c>
      <c r="D198" t="s">
        <v>267</v>
      </c>
      <c r="E198">
        <f>HYPERLINK("https://www.britishcycling.org.uk/points?person_id=23707&amp;year=2019&amp;type=national&amp;d=6","Results")</f>
        <v/>
      </c>
    </row>
    <row r="199" spans="1:5">
      <c r="A199" t="s">
        <v>557</v>
      </c>
      <c r="B199" t="s">
        <v>3037</v>
      </c>
      <c r="C199" t="s">
        <v>3038</v>
      </c>
      <c r="D199" t="s">
        <v>264</v>
      </c>
      <c r="E199">
        <f>HYPERLINK("https://www.britishcycling.org.uk/points?person_id=507939&amp;year=2019&amp;type=national&amp;d=6","Results")</f>
        <v/>
      </c>
    </row>
    <row r="200" spans="1:5">
      <c r="A200" t="s">
        <v>560</v>
      </c>
      <c r="B200" t="s">
        <v>3039</v>
      </c>
      <c r="C200" t="s">
        <v>3040</v>
      </c>
      <c r="D200" t="s">
        <v>264</v>
      </c>
      <c r="E200">
        <f>HYPERLINK("https://www.britishcycling.org.uk/points?person_id=222800&amp;year=2019&amp;type=national&amp;d=6","Results")</f>
        <v/>
      </c>
    </row>
    <row r="201" spans="1:5">
      <c r="A201" t="s">
        <v>202</v>
      </c>
      <c r="B201" t="s">
        <v>3041</v>
      </c>
      <c r="C201" t="s">
        <v>3042</v>
      </c>
      <c r="D201" t="s">
        <v>264</v>
      </c>
      <c r="E201">
        <f>HYPERLINK("https://www.britishcycling.org.uk/points?person_id=246519&amp;year=2019&amp;type=national&amp;d=6","Results")</f>
        <v/>
      </c>
    </row>
    <row r="202" spans="1:5">
      <c r="A202" t="s">
        <v>563</v>
      </c>
      <c r="B202" t="s">
        <v>3043</v>
      </c>
      <c r="C202" t="s">
        <v>2236</v>
      </c>
      <c r="D202" t="s">
        <v>264</v>
      </c>
      <c r="E202">
        <f>HYPERLINK("https://www.britishcycling.org.uk/points?person_id=840532&amp;year=2019&amp;type=national&amp;d=6","Results")</f>
        <v/>
      </c>
    </row>
    <row r="203" spans="1:5">
      <c r="A203" t="s">
        <v>565</v>
      </c>
      <c r="B203" t="s">
        <v>3044</v>
      </c>
      <c r="C203" t="s">
        <v>1721</v>
      </c>
      <c r="D203" t="s">
        <v>260</v>
      </c>
      <c r="E203">
        <f>HYPERLINK("https://www.britishcycling.org.uk/points?person_id=53816&amp;year=2019&amp;type=national&amp;d=6","Results")</f>
        <v/>
      </c>
    </row>
    <row r="204" spans="1:5">
      <c r="A204" t="s">
        <v>568</v>
      </c>
      <c r="B204" t="s">
        <v>3045</v>
      </c>
      <c r="C204" t="s">
        <v>1837</v>
      </c>
      <c r="D204" t="s">
        <v>260</v>
      </c>
      <c r="E204">
        <f>HYPERLINK("https://www.britishcycling.org.uk/points?person_id=42472&amp;year=2019&amp;type=national&amp;d=6","Results")</f>
        <v/>
      </c>
    </row>
    <row r="205" spans="1:5">
      <c r="A205" t="s">
        <v>195</v>
      </c>
      <c r="B205" t="s">
        <v>2713</v>
      </c>
      <c r="C205" t="s">
        <v>2714</v>
      </c>
      <c r="D205" t="s">
        <v>260</v>
      </c>
      <c r="E205">
        <f>HYPERLINK("https://www.britishcycling.org.uk/points?person_id=508718&amp;year=2019&amp;type=national&amp;d=6","Results")</f>
        <v/>
      </c>
    </row>
    <row r="206" spans="1:5">
      <c r="A206" t="s">
        <v>571</v>
      </c>
      <c r="B206" t="s">
        <v>3046</v>
      </c>
      <c r="C206" t="s">
        <v>392</v>
      </c>
      <c r="D206" t="s">
        <v>260</v>
      </c>
      <c r="E206">
        <f>HYPERLINK("https://www.britishcycling.org.uk/points?person_id=197445&amp;year=2019&amp;type=national&amp;d=6","Results")</f>
        <v/>
      </c>
    </row>
    <row r="207" spans="1:5">
      <c r="A207" t="s">
        <v>573</v>
      </c>
      <c r="B207" t="s">
        <v>2120</v>
      </c>
      <c r="C207" t="s">
        <v>1635</v>
      </c>
      <c r="D207" t="s">
        <v>257</v>
      </c>
      <c r="E207">
        <f>HYPERLINK("https://www.britishcycling.org.uk/points?person_id=14376&amp;year=2019&amp;type=national&amp;d=6","Results")</f>
        <v/>
      </c>
    </row>
    <row r="208" spans="1:5">
      <c r="A208" t="s">
        <v>576</v>
      </c>
      <c r="B208" t="s">
        <v>3047</v>
      </c>
      <c r="C208" t="s">
        <v>1133</v>
      </c>
      <c r="D208" t="s">
        <v>257</v>
      </c>
      <c r="E208">
        <f>HYPERLINK("https://www.britishcycling.org.uk/points?person_id=14859&amp;year=2019&amp;type=national&amp;d=6","Results")</f>
        <v/>
      </c>
    </row>
    <row r="209" spans="1:5">
      <c r="A209" t="s">
        <v>191</v>
      </c>
      <c r="B209" t="s">
        <v>3048</v>
      </c>
      <c r="C209" t="s"/>
      <c r="D209" t="s">
        <v>257</v>
      </c>
      <c r="E209">
        <f>HYPERLINK("https://www.britishcycling.org.uk/points?person_id=42029&amp;year=2019&amp;type=national&amp;d=6","Results")</f>
        <v/>
      </c>
    </row>
    <row r="210" spans="1:5">
      <c r="A210" t="s">
        <v>580</v>
      </c>
      <c r="B210" t="s">
        <v>3049</v>
      </c>
      <c r="C210" t="s">
        <v>1961</v>
      </c>
      <c r="D210" t="s">
        <v>254</v>
      </c>
      <c r="E210">
        <f>HYPERLINK("https://www.britishcycling.org.uk/points?person_id=182954&amp;year=2019&amp;type=national&amp;d=6","Results")</f>
        <v/>
      </c>
    </row>
    <row r="211" spans="1:5">
      <c r="A211" t="s">
        <v>582</v>
      </c>
      <c r="B211" t="s">
        <v>3050</v>
      </c>
      <c r="C211" t="s">
        <v>2096</v>
      </c>
      <c r="D211" t="s">
        <v>254</v>
      </c>
      <c r="E211">
        <f>HYPERLINK("https://www.britishcycling.org.uk/points?person_id=136513&amp;year=2019&amp;type=national&amp;d=6","Results")</f>
        <v/>
      </c>
    </row>
    <row r="212" spans="1:5">
      <c r="A212" t="s">
        <v>585</v>
      </c>
      <c r="B212" t="s">
        <v>3051</v>
      </c>
      <c r="C212" t="s">
        <v>1947</v>
      </c>
      <c r="D212" t="s">
        <v>250</v>
      </c>
      <c r="E212">
        <f>HYPERLINK("https://www.britishcycling.org.uk/points?person_id=423782&amp;year=2019&amp;type=national&amp;d=6","Results")</f>
        <v/>
      </c>
    </row>
    <row r="213" spans="1:5">
      <c r="A213" t="s">
        <v>587</v>
      </c>
      <c r="B213" t="s">
        <v>3052</v>
      </c>
      <c r="C213" t="s">
        <v>3053</v>
      </c>
      <c r="D213" t="s">
        <v>250</v>
      </c>
      <c r="E213">
        <f>HYPERLINK("https://www.britishcycling.org.uk/points?person_id=51591&amp;year=2019&amp;type=national&amp;d=6","Results")</f>
        <v/>
      </c>
    </row>
    <row r="214" spans="1:5">
      <c r="A214" t="s">
        <v>590</v>
      </c>
      <c r="B214" t="s">
        <v>3054</v>
      </c>
      <c r="C214" t="s">
        <v>728</v>
      </c>
      <c r="D214" t="s">
        <v>247</v>
      </c>
      <c r="E214">
        <f>HYPERLINK("https://www.britishcycling.org.uk/points?person_id=63414&amp;year=2019&amp;type=national&amp;d=6","Results")</f>
        <v/>
      </c>
    </row>
    <row r="215" spans="1:5">
      <c r="A215" t="s">
        <v>593</v>
      </c>
      <c r="B215" t="s">
        <v>3055</v>
      </c>
      <c r="C215" t="s">
        <v>1694</v>
      </c>
      <c r="D215" t="s">
        <v>244</v>
      </c>
      <c r="E215">
        <f>HYPERLINK("https://www.britishcycling.org.uk/points?person_id=217137&amp;year=2019&amp;type=national&amp;d=6","Results")</f>
        <v/>
      </c>
    </row>
    <row r="216" spans="1:5">
      <c r="A216" t="s">
        <v>187</v>
      </c>
      <c r="B216" t="s">
        <v>3056</v>
      </c>
      <c r="C216" t="s">
        <v>3057</v>
      </c>
      <c r="D216" t="s">
        <v>232</v>
      </c>
      <c r="E216">
        <f>HYPERLINK("https://www.britishcycling.org.uk/points?person_id=21742&amp;year=2019&amp;type=national&amp;d=6","Results")</f>
        <v/>
      </c>
    </row>
    <row r="217" spans="1:5">
      <c r="A217" t="s">
        <v>183</v>
      </c>
      <c r="B217" t="s">
        <v>3058</v>
      </c>
      <c r="C217" t="s">
        <v>511</v>
      </c>
      <c r="D217" t="s">
        <v>228</v>
      </c>
      <c r="E217">
        <f>HYPERLINK("https://www.britishcycling.org.uk/points?person_id=387369&amp;year=2019&amp;type=national&amp;d=6","Results")</f>
        <v/>
      </c>
    </row>
    <row r="218" spans="1:5">
      <c r="A218" t="s">
        <v>598</v>
      </c>
      <c r="B218" t="s">
        <v>3059</v>
      </c>
      <c r="C218" t="s">
        <v>2178</v>
      </c>
      <c r="D218" t="s">
        <v>225</v>
      </c>
      <c r="E218">
        <f>HYPERLINK("https://www.britishcycling.org.uk/points?person_id=15457&amp;year=2019&amp;type=national&amp;d=6","Results")</f>
        <v/>
      </c>
    </row>
    <row r="219" spans="1:5">
      <c r="A219" t="s">
        <v>600</v>
      </c>
      <c r="B219" t="s">
        <v>3060</v>
      </c>
      <c r="C219" t="s">
        <v>578</v>
      </c>
      <c r="D219" t="s">
        <v>221</v>
      </c>
      <c r="E219">
        <f>HYPERLINK("https://www.britishcycling.org.uk/points?person_id=458925&amp;year=2019&amp;type=national&amp;d=6","Results")</f>
        <v/>
      </c>
    </row>
    <row r="220" spans="1:5">
      <c r="A220" t="s">
        <v>602</v>
      </c>
      <c r="B220" t="s">
        <v>3061</v>
      </c>
      <c r="C220" t="s"/>
      <c r="D220" t="s">
        <v>218</v>
      </c>
      <c r="E220">
        <f>HYPERLINK("https://www.britishcycling.org.uk/points?person_id=14860&amp;year=2019&amp;type=national&amp;d=6","Results")</f>
        <v/>
      </c>
    </row>
    <row r="221" spans="1:5">
      <c r="A221" t="s">
        <v>604</v>
      </c>
      <c r="B221" t="s">
        <v>3062</v>
      </c>
      <c r="C221" t="s">
        <v>1779</v>
      </c>
      <c r="D221" t="s">
        <v>218</v>
      </c>
      <c r="E221">
        <f>HYPERLINK("https://www.britishcycling.org.uk/points?person_id=224024&amp;year=2019&amp;type=national&amp;d=6","Results")</f>
        <v/>
      </c>
    </row>
    <row r="222" spans="1:5">
      <c r="A222" t="s">
        <v>606</v>
      </c>
      <c r="B222" t="s">
        <v>3063</v>
      </c>
      <c r="C222" t="s">
        <v>856</v>
      </c>
      <c r="D222" t="s">
        <v>214</v>
      </c>
      <c r="E222">
        <f>HYPERLINK("https://www.britishcycling.org.uk/points?person_id=10301&amp;year=2019&amp;type=national&amp;d=6","Results")</f>
        <v/>
      </c>
    </row>
    <row r="223" spans="1:5">
      <c r="A223" t="s">
        <v>609</v>
      </c>
      <c r="B223" t="s">
        <v>3064</v>
      </c>
      <c r="C223" t="s">
        <v>2221</v>
      </c>
      <c r="D223" t="s">
        <v>214</v>
      </c>
      <c r="E223">
        <f>HYPERLINK("https://www.britishcycling.org.uk/points?person_id=209264&amp;year=2019&amp;type=national&amp;d=6","Results")</f>
        <v/>
      </c>
    </row>
    <row r="224" spans="1:5">
      <c r="A224" t="s">
        <v>611</v>
      </c>
      <c r="B224" t="s">
        <v>3065</v>
      </c>
      <c r="C224" t="s">
        <v>3066</v>
      </c>
      <c r="D224" t="s">
        <v>214</v>
      </c>
      <c r="E224">
        <f>HYPERLINK("https://www.britishcycling.org.uk/points?person_id=14516&amp;year=2019&amp;type=national&amp;d=6","Results")</f>
        <v/>
      </c>
    </row>
    <row r="225" spans="1:5">
      <c r="A225" t="s">
        <v>613</v>
      </c>
      <c r="B225" t="s">
        <v>3067</v>
      </c>
      <c r="C225" t="s">
        <v>3068</v>
      </c>
      <c r="D225" t="s">
        <v>214</v>
      </c>
      <c r="E225">
        <f>HYPERLINK("https://www.britishcycling.org.uk/points?person_id=22458&amp;year=2019&amp;type=national&amp;d=6","Results")</f>
        <v/>
      </c>
    </row>
    <row r="226" spans="1:5">
      <c r="A226" t="s">
        <v>616</v>
      </c>
      <c r="B226" t="s">
        <v>3069</v>
      </c>
      <c r="C226" t="s">
        <v>186</v>
      </c>
      <c r="D226" t="s">
        <v>210</v>
      </c>
      <c r="E226">
        <f>HYPERLINK("https://www.britishcycling.org.uk/points?person_id=468865&amp;year=2019&amp;type=national&amp;d=6","Results")</f>
        <v/>
      </c>
    </row>
    <row r="227" spans="1:5">
      <c r="A227" t="s">
        <v>179</v>
      </c>
      <c r="B227" t="s">
        <v>3070</v>
      </c>
      <c r="C227" t="s">
        <v>299</v>
      </c>
      <c r="D227" t="s">
        <v>210</v>
      </c>
      <c r="E227">
        <f>HYPERLINK("https://www.britishcycling.org.uk/points?person_id=497783&amp;year=2019&amp;type=national&amp;d=6","Results")</f>
        <v/>
      </c>
    </row>
    <row r="228" spans="1:5">
      <c r="A228" t="s">
        <v>619</v>
      </c>
      <c r="B228" t="s">
        <v>3071</v>
      </c>
      <c r="C228" t="s">
        <v>3072</v>
      </c>
      <c r="D228" t="s">
        <v>210</v>
      </c>
      <c r="E228">
        <f>HYPERLINK("https://www.britishcycling.org.uk/points?person_id=15581&amp;year=2019&amp;type=national&amp;d=6","Results")</f>
        <v/>
      </c>
    </row>
    <row r="229" spans="1:5">
      <c r="A229" t="s">
        <v>621</v>
      </c>
      <c r="B229" t="s">
        <v>2732</v>
      </c>
      <c r="C229" t="s"/>
      <c r="D229" t="s">
        <v>207</v>
      </c>
      <c r="E229">
        <f>HYPERLINK("https://www.britishcycling.org.uk/points?person_id=47286&amp;year=2019&amp;type=national&amp;d=6","Results")</f>
        <v/>
      </c>
    </row>
    <row r="230" spans="1:5">
      <c r="A230" t="s">
        <v>623</v>
      </c>
      <c r="B230" t="s">
        <v>3073</v>
      </c>
      <c r="C230" t="s">
        <v>1699</v>
      </c>
      <c r="D230" t="s">
        <v>207</v>
      </c>
      <c r="E230">
        <f>HYPERLINK("https://www.britishcycling.org.uk/points?person_id=452837&amp;year=2019&amp;type=national&amp;d=6","Results")</f>
        <v/>
      </c>
    </row>
    <row r="231" spans="1:5">
      <c r="A231" t="s">
        <v>625</v>
      </c>
      <c r="B231" t="s">
        <v>3074</v>
      </c>
      <c r="C231" t="s">
        <v>551</v>
      </c>
      <c r="D231" t="s">
        <v>207</v>
      </c>
      <c r="E231">
        <f>HYPERLINK("https://www.britishcycling.org.uk/points?person_id=646&amp;year=2019&amp;type=national&amp;d=6","Results")</f>
        <v/>
      </c>
    </row>
    <row r="232" spans="1:5">
      <c r="A232" t="s">
        <v>175</v>
      </c>
      <c r="B232" t="s">
        <v>3075</v>
      </c>
      <c r="C232" t="s">
        <v>1494</v>
      </c>
      <c r="D232" t="s">
        <v>207</v>
      </c>
      <c r="E232">
        <f>HYPERLINK("https://www.britishcycling.org.uk/points?person_id=55337&amp;year=2019&amp;type=national&amp;d=6","Results")</f>
        <v/>
      </c>
    </row>
    <row r="233" spans="1:5">
      <c r="A233" t="s">
        <v>171</v>
      </c>
      <c r="B233" t="s">
        <v>3076</v>
      </c>
      <c r="C233" t="s">
        <v>3077</v>
      </c>
      <c r="D233" t="s">
        <v>203</v>
      </c>
      <c r="E233">
        <f>HYPERLINK("https://www.britishcycling.org.uk/points?person_id=11354&amp;year=2019&amp;type=national&amp;d=6","Results")</f>
        <v/>
      </c>
    </row>
    <row r="234" spans="1:5">
      <c r="A234" t="s">
        <v>164</v>
      </c>
      <c r="B234" t="s">
        <v>3078</v>
      </c>
      <c r="C234" t="s">
        <v>2255</v>
      </c>
      <c r="D234" t="s">
        <v>203</v>
      </c>
      <c r="E234">
        <f>HYPERLINK("https://www.britishcycling.org.uk/points?person_id=119893&amp;year=2019&amp;type=national&amp;d=6","Results")</f>
        <v/>
      </c>
    </row>
    <row r="235" spans="1:5">
      <c r="A235" t="s">
        <v>630</v>
      </c>
      <c r="B235" t="s">
        <v>3079</v>
      </c>
      <c r="C235" t="s">
        <v>1694</v>
      </c>
      <c r="D235" t="s">
        <v>203</v>
      </c>
      <c r="E235">
        <f>HYPERLINK("https://www.britishcycling.org.uk/points?person_id=282734&amp;year=2019&amp;type=national&amp;d=6","Results")</f>
        <v/>
      </c>
    </row>
    <row r="236" spans="1:5">
      <c r="A236" t="s">
        <v>632</v>
      </c>
      <c r="B236" t="s">
        <v>3080</v>
      </c>
      <c r="C236" t="s">
        <v>234</v>
      </c>
      <c r="D236" t="s">
        <v>203</v>
      </c>
      <c r="E236">
        <f>HYPERLINK("https://www.britishcycling.org.uk/points?person_id=281525&amp;year=2019&amp;type=national&amp;d=6","Results")</f>
        <v/>
      </c>
    </row>
    <row r="237" spans="1:5">
      <c r="A237" t="s">
        <v>634</v>
      </c>
      <c r="B237" t="s">
        <v>3081</v>
      </c>
      <c r="C237" t="s">
        <v>1440</v>
      </c>
      <c r="D237" t="s">
        <v>199</v>
      </c>
      <c r="E237">
        <f>HYPERLINK("https://www.britishcycling.org.uk/points?person_id=30468&amp;year=2019&amp;type=national&amp;d=6","Results")</f>
        <v/>
      </c>
    </row>
    <row r="238" spans="1:5">
      <c r="A238" t="s">
        <v>637</v>
      </c>
      <c r="B238" t="s">
        <v>3082</v>
      </c>
      <c r="C238" t="s">
        <v>381</v>
      </c>
      <c r="D238" t="s">
        <v>199</v>
      </c>
      <c r="E238">
        <f>HYPERLINK("https://www.britishcycling.org.uk/points?person_id=23763&amp;year=2019&amp;type=national&amp;d=6","Results")</f>
        <v/>
      </c>
    </row>
    <row r="239" spans="1:5">
      <c r="A239" t="s">
        <v>639</v>
      </c>
      <c r="B239" t="s">
        <v>3083</v>
      </c>
      <c r="C239" t="s">
        <v>1494</v>
      </c>
      <c r="D239" t="s">
        <v>199</v>
      </c>
      <c r="E239">
        <f>HYPERLINK("https://www.britishcycling.org.uk/points?person_id=180906&amp;year=2019&amp;type=national&amp;d=6","Results")</f>
        <v/>
      </c>
    </row>
    <row r="240" spans="1:5">
      <c r="A240" t="s">
        <v>641</v>
      </c>
      <c r="B240" t="s">
        <v>2238</v>
      </c>
      <c r="C240" t="s">
        <v>1863</v>
      </c>
      <c r="D240" t="s">
        <v>196</v>
      </c>
      <c r="E240">
        <f>HYPERLINK("https://www.britishcycling.org.uk/points?person_id=107762&amp;year=2019&amp;type=national&amp;d=6","Results")</f>
        <v/>
      </c>
    </row>
    <row r="241" spans="1:5">
      <c r="A241" t="s">
        <v>644</v>
      </c>
      <c r="B241" t="s">
        <v>3084</v>
      </c>
      <c r="C241" t="s">
        <v>3085</v>
      </c>
      <c r="D241" t="s">
        <v>196</v>
      </c>
      <c r="E241">
        <f>HYPERLINK("https://www.britishcycling.org.uk/points?person_id=326384&amp;year=2019&amp;type=national&amp;d=6","Results")</f>
        <v/>
      </c>
    </row>
    <row r="242" spans="1:5">
      <c r="A242" t="s">
        <v>647</v>
      </c>
      <c r="B242" t="s">
        <v>3086</v>
      </c>
      <c r="C242" t="s"/>
      <c r="D242" t="s">
        <v>192</v>
      </c>
      <c r="E242">
        <f>HYPERLINK("https://www.britishcycling.org.uk/points?person_id=611854&amp;year=2019&amp;type=national&amp;d=6","Results")</f>
        <v/>
      </c>
    </row>
    <row r="243" spans="1:5">
      <c r="A243" t="s">
        <v>649</v>
      </c>
      <c r="B243" t="s">
        <v>3087</v>
      </c>
      <c r="C243" t="s">
        <v>1696</v>
      </c>
      <c r="D243" t="s">
        <v>192</v>
      </c>
      <c r="E243">
        <f>HYPERLINK("https://www.britishcycling.org.uk/points?person_id=308047&amp;year=2019&amp;type=national&amp;d=6","Results")</f>
        <v/>
      </c>
    </row>
    <row r="244" spans="1:5">
      <c r="A244" t="s">
        <v>651</v>
      </c>
      <c r="B244" t="s">
        <v>3088</v>
      </c>
      <c r="C244" t="s"/>
      <c r="D244" t="s">
        <v>192</v>
      </c>
      <c r="E244">
        <f>HYPERLINK("https://www.britishcycling.org.uk/points?person_id=34802&amp;year=2019&amp;type=national&amp;d=6","Results")</f>
        <v/>
      </c>
    </row>
    <row r="245" spans="1:5">
      <c r="A245" t="s">
        <v>654</v>
      </c>
      <c r="B245" t="s">
        <v>3089</v>
      </c>
      <c r="C245" t="s"/>
      <c r="D245" t="s">
        <v>188</v>
      </c>
      <c r="E245">
        <f>HYPERLINK("https://www.britishcycling.org.uk/points?person_id=224130&amp;year=2019&amp;type=national&amp;d=6","Results")</f>
        <v/>
      </c>
    </row>
    <row r="246" spans="1:5">
      <c r="A246" t="s">
        <v>160</v>
      </c>
      <c r="B246" t="s">
        <v>2613</v>
      </c>
      <c r="C246" t="s">
        <v>1881</v>
      </c>
      <c r="D246" t="s">
        <v>184</v>
      </c>
      <c r="E246">
        <f>HYPERLINK("https://www.britishcycling.org.uk/points?person_id=3731&amp;year=2019&amp;type=national&amp;d=6","Results")</f>
        <v/>
      </c>
    </row>
    <row r="247" spans="1:5">
      <c r="A247" t="s">
        <v>154</v>
      </c>
      <c r="B247" t="s">
        <v>3090</v>
      </c>
      <c r="C247" t="s">
        <v>1397</v>
      </c>
      <c r="D247" t="s">
        <v>180</v>
      </c>
      <c r="E247">
        <f>HYPERLINK("https://www.britishcycling.org.uk/points?person_id=69484&amp;year=2019&amp;type=national&amp;d=6","Results")</f>
        <v/>
      </c>
    </row>
    <row r="248" spans="1:5">
      <c r="A248" t="s">
        <v>659</v>
      </c>
      <c r="B248" t="s">
        <v>3091</v>
      </c>
      <c r="C248" t="s">
        <v>541</v>
      </c>
      <c r="D248" t="s">
        <v>180</v>
      </c>
      <c r="E248">
        <f>HYPERLINK("https://www.britishcycling.org.uk/points?person_id=133561&amp;year=2019&amp;type=national&amp;d=6","Results")</f>
        <v/>
      </c>
    </row>
    <row r="249" spans="1:5">
      <c r="A249" t="s">
        <v>661</v>
      </c>
      <c r="B249" t="s">
        <v>3092</v>
      </c>
      <c r="C249" t="s">
        <v>2874</v>
      </c>
      <c r="D249" t="s">
        <v>176</v>
      </c>
      <c r="E249">
        <f>HYPERLINK("https://www.britishcycling.org.uk/points?person_id=512584&amp;year=2019&amp;type=national&amp;d=6","Results")</f>
        <v/>
      </c>
    </row>
    <row r="250" spans="1:5">
      <c r="A250" t="s">
        <v>664</v>
      </c>
      <c r="B250" t="s">
        <v>3093</v>
      </c>
      <c r="C250" t="s">
        <v>198</v>
      </c>
      <c r="D250" t="s">
        <v>176</v>
      </c>
      <c r="E250">
        <f>HYPERLINK("https://www.britishcycling.org.uk/points?person_id=761002&amp;year=2019&amp;type=national&amp;d=6","Results")</f>
        <v/>
      </c>
    </row>
    <row r="251" spans="1:5">
      <c r="A251" t="s">
        <v>150</v>
      </c>
      <c r="B251" t="s">
        <v>3094</v>
      </c>
      <c r="C251" t="s">
        <v>1354</v>
      </c>
      <c r="D251" t="s">
        <v>176</v>
      </c>
      <c r="E251">
        <f>HYPERLINK("https://www.britishcycling.org.uk/points?person_id=279670&amp;year=2019&amp;type=national&amp;d=6","Results")</f>
        <v/>
      </c>
    </row>
    <row r="252" spans="1:5">
      <c r="A252" t="s">
        <v>147</v>
      </c>
      <c r="B252" t="s">
        <v>3095</v>
      </c>
      <c r="C252" t="s">
        <v>1952</v>
      </c>
      <c r="D252" t="s">
        <v>176</v>
      </c>
      <c r="E252">
        <f>HYPERLINK("https://www.britishcycling.org.uk/points?person_id=34166&amp;year=2019&amp;type=national&amp;d=6","Results")</f>
        <v/>
      </c>
    </row>
    <row r="253" spans="1:5">
      <c r="A253" t="s">
        <v>668</v>
      </c>
      <c r="B253" t="s">
        <v>3096</v>
      </c>
      <c r="C253" t="s">
        <v>413</v>
      </c>
      <c r="D253" t="s">
        <v>176</v>
      </c>
      <c r="E253">
        <f>HYPERLINK("https://www.britishcycling.org.uk/points?person_id=10828&amp;year=2019&amp;type=national&amp;d=6","Results")</f>
        <v/>
      </c>
    </row>
    <row r="254" spans="1:5">
      <c r="A254" t="s">
        <v>144</v>
      </c>
      <c r="B254" t="s">
        <v>3097</v>
      </c>
      <c r="C254" t="s">
        <v>3098</v>
      </c>
      <c r="D254" t="s">
        <v>176</v>
      </c>
      <c r="E254">
        <f>HYPERLINK("https://www.britishcycling.org.uk/points?person_id=426484&amp;year=2019&amp;type=national&amp;d=6","Results")</f>
        <v/>
      </c>
    </row>
    <row r="255" spans="1:5">
      <c r="A255" t="s">
        <v>672</v>
      </c>
      <c r="B255" t="s">
        <v>3099</v>
      </c>
      <c r="C255" t="s">
        <v>656</v>
      </c>
      <c r="D255" t="s">
        <v>176</v>
      </c>
      <c r="E255">
        <f>HYPERLINK("https://www.britishcycling.org.uk/points?person_id=280455&amp;year=2019&amp;type=national&amp;d=6","Results")</f>
        <v/>
      </c>
    </row>
    <row r="256" spans="1:5">
      <c r="A256" t="s">
        <v>674</v>
      </c>
      <c r="B256" t="s">
        <v>3100</v>
      </c>
      <c r="C256" t="s">
        <v>3101</v>
      </c>
      <c r="D256" t="s">
        <v>172</v>
      </c>
      <c r="E256">
        <f>HYPERLINK("https://www.britishcycling.org.uk/points?person_id=44798&amp;year=2019&amp;type=national&amp;d=6","Results")</f>
        <v/>
      </c>
    </row>
    <row r="257" spans="1:5">
      <c r="A257" t="s">
        <v>677</v>
      </c>
      <c r="B257" t="s">
        <v>3102</v>
      </c>
      <c r="C257" t="s">
        <v>167</v>
      </c>
      <c r="D257" t="s">
        <v>168</v>
      </c>
      <c r="E257">
        <f>HYPERLINK("https://www.britishcycling.org.uk/points?person_id=407248&amp;year=2019&amp;type=national&amp;d=6","Results")</f>
        <v/>
      </c>
    </row>
    <row r="258" spans="1:5">
      <c r="A258" t="s">
        <v>679</v>
      </c>
      <c r="B258" t="s">
        <v>3103</v>
      </c>
      <c r="C258" t="s"/>
      <c r="D258" t="s">
        <v>168</v>
      </c>
      <c r="E258">
        <f>HYPERLINK("https://www.britishcycling.org.uk/points?person_id=875411&amp;year=2019&amp;type=national&amp;d=6","Results")</f>
        <v/>
      </c>
    </row>
    <row r="259" spans="1:5">
      <c r="A259" t="s">
        <v>140</v>
      </c>
      <c r="B259" t="s">
        <v>3104</v>
      </c>
      <c r="C259" t="s">
        <v>1261</v>
      </c>
      <c r="D259" t="s">
        <v>165</v>
      </c>
      <c r="E259">
        <f>HYPERLINK("https://www.britishcycling.org.uk/points?person_id=211642&amp;year=2019&amp;type=national&amp;d=6","Results")</f>
        <v/>
      </c>
    </row>
    <row r="260" spans="1:5">
      <c r="A260" t="s">
        <v>682</v>
      </c>
      <c r="B260" t="s">
        <v>1678</v>
      </c>
      <c r="C260" t="s">
        <v>223</v>
      </c>
      <c r="D260" t="s">
        <v>165</v>
      </c>
      <c r="E260">
        <f>HYPERLINK("https://www.britishcycling.org.uk/points?person_id=34557&amp;year=2019&amp;type=national&amp;d=6","Results")</f>
        <v/>
      </c>
    </row>
    <row r="261" spans="1:5">
      <c r="A261" t="s">
        <v>136</v>
      </c>
      <c r="B261" t="s">
        <v>3105</v>
      </c>
      <c r="C261" t="s">
        <v>3106</v>
      </c>
      <c r="D261" t="s">
        <v>165</v>
      </c>
      <c r="E261">
        <f>HYPERLINK("https://www.britishcycling.org.uk/points?person_id=602369&amp;year=2019&amp;type=national&amp;d=6","Results")</f>
        <v/>
      </c>
    </row>
    <row r="262" spans="1:5">
      <c r="A262" t="s">
        <v>685</v>
      </c>
      <c r="B262" t="s">
        <v>3107</v>
      </c>
      <c r="C262" t="s">
        <v>475</v>
      </c>
      <c r="D262" t="s">
        <v>165</v>
      </c>
      <c r="E262">
        <f>HYPERLINK("https://www.britishcycling.org.uk/points?person_id=411787&amp;year=2019&amp;type=national&amp;d=6","Results")</f>
        <v/>
      </c>
    </row>
    <row r="263" spans="1:5">
      <c r="A263" t="s">
        <v>687</v>
      </c>
      <c r="B263" t="s">
        <v>3108</v>
      </c>
      <c r="C263" t="s">
        <v>2054</v>
      </c>
      <c r="D263" t="s">
        <v>161</v>
      </c>
      <c r="E263">
        <f>HYPERLINK("https://www.britishcycling.org.uk/points?person_id=188192&amp;year=2019&amp;type=national&amp;d=6","Results")</f>
        <v/>
      </c>
    </row>
    <row r="264" spans="1:5">
      <c r="A264" t="s">
        <v>689</v>
      </c>
      <c r="B264" t="s">
        <v>3109</v>
      </c>
      <c r="C264" t="s">
        <v>3110</v>
      </c>
      <c r="D264" t="s">
        <v>158</v>
      </c>
      <c r="E264">
        <f>HYPERLINK("https://www.britishcycling.org.uk/points?person_id=541301&amp;year=2019&amp;type=national&amp;d=6","Results")</f>
        <v/>
      </c>
    </row>
    <row r="265" spans="1:5">
      <c r="A265" t="s">
        <v>132</v>
      </c>
      <c r="B265" t="s">
        <v>3111</v>
      </c>
      <c r="C265" t="s">
        <v>2255</v>
      </c>
      <c r="D265" t="s">
        <v>158</v>
      </c>
      <c r="E265">
        <f>HYPERLINK("https://www.britishcycling.org.uk/points?person_id=566706&amp;year=2019&amp;type=national&amp;d=6","Results")</f>
        <v/>
      </c>
    </row>
    <row r="266" spans="1:5">
      <c r="A266" t="s">
        <v>694</v>
      </c>
      <c r="B266" t="s">
        <v>3112</v>
      </c>
      <c r="C266" t="s">
        <v>3113</v>
      </c>
      <c r="D266" t="s">
        <v>158</v>
      </c>
      <c r="E266">
        <f>HYPERLINK("https://www.britishcycling.org.uk/points?person_id=768938&amp;year=2019&amp;type=national&amp;d=6","Results")</f>
        <v/>
      </c>
    </row>
    <row r="267" spans="1:5">
      <c r="A267" t="s">
        <v>697</v>
      </c>
      <c r="B267" t="s">
        <v>3114</v>
      </c>
      <c r="C267" t="s">
        <v>1133</v>
      </c>
      <c r="D267" t="s">
        <v>158</v>
      </c>
      <c r="E267">
        <f>HYPERLINK("https://www.britishcycling.org.uk/points?person_id=523157&amp;year=2019&amp;type=national&amp;d=6","Results")</f>
        <v/>
      </c>
    </row>
    <row r="268" spans="1:5">
      <c r="A268" t="s">
        <v>699</v>
      </c>
      <c r="B268" t="s">
        <v>3115</v>
      </c>
      <c r="C268" t="s">
        <v>1819</v>
      </c>
      <c r="D268" t="s">
        <v>155</v>
      </c>
      <c r="E268">
        <f>HYPERLINK("https://www.britishcycling.org.uk/points?person_id=402005&amp;year=2019&amp;type=national&amp;d=6","Results")</f>
        <v/>
      </c>
    </row>
    <row r="269" spans="1:5">
      <c r="A269" t="s">
        <v>701</v>
      </c>
      <c r="B269" t="s">
        <v>3116</v>
      </c>
      <c r="C269" t="s">
        <v>3117</v>
      </c>
      <c r="D269" t="s">
        <v>155</v>
      </c>
      <c r="E269">
        <f>HYPERLINK("https://www.britishcycling.org.uk/points?person_id=644675&amp;year=2019&amp;type=national&amp;d=6","Results")</f>
        <v/>
      </c>
    </row>
    <row r="270" spans="1:5">
      <c r="A270" t="s">
        <v>703</v>
      </c>
      <c r="B270" t="s">
        <v>3118</v>
      </c>
      <c r="C270" t="s">
        <v>3119</v>
      </c>
      <c r="D270" t="s">
        <v>155</v>
      </c>
      <c r="E270">
        <f>HYPERLINK("https://www.britishcycling.org.uk/points?person_id=427013&amp;year=2019&amp;type=national&amp;d=6","Results")</f>
        <v/>
      </c>
    </row>
    <row r="271" spans="1:5">
      <c r="A271" t="s">
        <v>705</v>
      </c>
      <c r="B271" t="s">
        <v>3120</v>
      </c>
      <c r="C271" t="s">
        <v>3121</v>
      </c>
      <c r="D271" t="s">
        <v>151</v>
      </c>
      <c r="E271">
        <f>HYPERLINK("https://www.britishcycling.org.uk/points?person_id=247366&amp;year=2019&amp;type=national&amp;d=6","Results")</f>
        <v/>
      </c>
    </row>
    <row r="272" spans="1:5">
      <c r="A272" t="s">
        <v>707</v>
      </c>
      <c r="B272" t="s">
        <v>3122</v>
      </c>
      <c r="C272" t="s">
        <v>1971</v>
      </c>
      <c r="D272" t="s">
        <v>151</v>
      </c>
      <c r="E272">
        <f>HYPERLINK("https://www.britishcycling.org.uk/points?person_id=586210&amp;year=2019&amp;type=national&amp;d=6","Results")</f>
        <v/>
      </c>
    </row>
    <row r="273" spans="1:5">
      <c r="A273" t="s">
        <v>710</v>
      </c>
      <c r="B273" t="s">
        <v>3123</v>
      </c>
      <c r="C273" t="s">
        <v>1721</v>
      </c>
      <c r="D273" t="s">
        <v>151</v>
      </c>
      <c r="E273">
        <f>HYPERLINK("https://www.britishcycling.org.uk/points?person_id=37862&amp;year=2019&amp;type=national&amp;d=6","Results")</f>
        <v/>
      </c>
    </row>
    <row r="274" spans="1:5">
      <c r="A274" t="s">
        <v>712</v>
      </c>
      <c r="B274" t="s">
        <v>3124</v>
      </c>
      <c r="C274" t="s">
        <v>899</v>
      </c>
      <c r="D274" t="s">
        <v>151</v>
      </c>
      <c r="E274">
        <f>HYPERLINK("https://www.britishcycling.org.uk/points?person_id=64659&amp;year=2019&amp;type=national&amp;d=6","Results")</f>
        <v/>
      </c>
    </row>
    <row r="275" spans="1:5">
      <c r="A275" t="s">
        <v>714</v>
      </c>
      <c r="B275" t="s">
        <v>2629</v>
      </c>
      <c r="C275" t="s">
        <v>1897</v>
      </c>
      <c r="D275" t="s">
        <v>151</v>
      </c>
      <c r="E275">
        <f>HYPERLINK("https://www.britishcycling.org.uk/points?person_id=185037&amp;year=2019&amp;type=national&amp;d=6","Results")</f>
        <v/>
      </c>
    </row>
    <row r="276" spans="1:5">
      <c r="A276" t="s">
        <v>716</v>
      </c>
      <c r="B276" t="s">
        <v>3125</v>
      </c>
      <c r="C276" t="s">
        <v>3126</v>
      </c>
      <c r="D276" t="s">
        <v>148</v>
      </c>
      <c r="E276">
        <f>HYPERLINK("https://www.britishcycling.org.uk/points?person_id=461622&amp;year=2019&amp;type=national&amp;d=6","Results")</f>
        <v/>
      </c>
    </row>
    <row r="277" spans="1:5">
      <c r="A277" t="s">
        <v>129</v>
      </c>
      <c r="B277" t="s">
        <v>3127</v>
      </c>
      <c r="C277" t="s">
        <v>879</v>
      </c>
      <c r="D277" t="s">
        <v>148</v>
      </c>
      <c r="E277">
        <f>HYPERLINK("https://www.britishcycling.org.uk/points?person_id=246919&amp;year=2019&amp;type=national&amp;d=6","Results")</f>
        <v/>
      </c>
    </row>
    <row r="278" spans="1:5">
      <c r="A278" t="s">
        <v>719</v>
      </c>
      <c r="B278" t="s">
        <v>3128</v>
      </c>
      <c r="C278" t="s">
        <v>955</v>
      </c>
      <c r="D278" t="s">
        <v>148</v>
      </c>
      <c r="E278">
        <f>HYPERLINK("https://www.britishcycling.org.uk/points?person_id=201002&amp;year=2019&amp;type=national&amp;d=6","Results")</f>
        <v/>
      </c>
    </row>
    <row r="279" spans="1:5">
      <c r="A279" t="s">
        <v>721</v>
      </c>
      <c r="B279" t="s">
        <v>3129</v>
      </c>
      <c r="C279" t="s">
        <v>1694</v>
      </c>
      <c r="D279" t="s">
        <v>148</v>
      </c>
      <c r="E279">
        <f>HYPERLINK("https://www.britishcycling.org.uk/points?person_id=703469&amp;year=2019&amp;type=national&amp;d=6","Results")</f>
        <v/>
      </c>
    </row>
    <row r="280" spans="1:5">
      <c r="A280" t="s">
        <v>724</v>
      </c>
      <c r="B280" t="s">
        <v>3130</v>
      </c>
      <c r="C280" t="s"/>
      <c r="D280" t="s">
        <v>145</v>
      </c>
      <c r="E280">
        <f>HYPERLINK("https://www.britishcycling.org.uk/points?person_id=247687&amp;year=2019&amp;type=national&amp;d=6","Results")</f>
        <v/>
      </c>
    </row>
    <row r="281" spans="1:5">
      <c r="A281" t="s">
        <v>726</v>
      </c>
      <c r="B281" t="s">
        <v>3131</v>
      </c>
      <c r="C281" t="s">
        <v>1921</v>
      </c>
      <c r="D281" t="s">
        <v>145</v>
      </c>
      <c r="E281">
        <f>HYPERLINK("https://www.britishcycling.org.uk/points?person_id=614759&amp;year=2019&amp;type=national&amp;d=6","Results")</f>
        <v/>
      </c>
    </row>
    <row r="282" spans="1:5">
      <c r="A282" t="s">
        <v>729</v>
      </c>
      <c r="B282" t="s">
        <v>3132</v>
      </c>
      <c r="C282" t="s">
        <v>3133</v>
      </c>
      <c r="D282" t="s">
        <v>145</v>
      </c>
      <c r="E282">
        <f>HYPERLINK("https://www.britishcycling.org.uk/points?person_id=478&amp;year=2019&amp;type=national&amp;d=6","Results")</f>
        <v/>
      </c>
    </row>
    <row r="283" spans="1:5">
      <c r="A283" t="s">
        <v>732</v>
      </c>
      <c r="B283" t="s">
        <v>3134</v>
      </c>
      <c r="C283" t="s">
        <v>2206</v>
      </c>
      <c r="D283" t="s">
        <v>145</v>
      </c>
      <c r="E283">
        <f>HYPERLINK("https://www.britishcycling.org.uk/points?person_id=408218&amp;year=2019&amp;type=national&amp;d=6","Results")</f>
        <v/>
      </c>
    </row>
    <row r="284" spans="1:5">
      <c r="A284" t="s">
        <v>735</v>
      </c>
      <c r="B284" t="s">
        <v>3135</v>
      </c>
      <c r="C284" t="s">
        <v>1929</v>
      </c>
      <c r="D284" t="s">
        <v>141</v>
      </c>
      <c r="E284">
        <f>HYPERLINK("https://www.britishcycling.org.uk/points?person_id=254469&amp;year=2019&amp;type=national&amp;d=6","Results")</f>
        <v/>
      </c>
    </row>
    <row r="285" spans="1:5">
      <c r="A285" t="s">
        <v>737</v>
      </c>
      <c r="B285" t="s">
        <v>3136</v>
      </c>
      <c r="C285" t="s"/>
      <c r="D285" t="s">
        <v>141</v>
      </c>
      <c r="E285">
        <f>HYPERLINK("https://www.britishcycling.org.uk/points?person_id=311424&amp;year=2019&amp;type=national&amp;d=6","Results")</f>
        <v/>
      </c>
    </row>
    <row r="286" spans="1:5">
      <c r="A286" t="s">
        <v>739</v>
      </c>
      <c r="B286" t="s">
        <v>3137</v>
      </c>
      <c r="C286" t="s"/>
      <c r="D286" t="s">
        <v>137</v>
      </c>
      <c r="E286">
        <f>HYPERLINK("https://www.britishcycling.org.uk/points?person_id=528199&amp;year=2019&amp;type=national&amp;d=6","Results")</f>
        <v/>
      </c>
    </row>
    <row r="287" spans="1:5">
      <c r="A287" t="s">
        <v>741</v>
      </c>
      <c r="B287" t="s">
        <v>3138</v>
      </c>
      <c r="C287" t="s">
        <v>1734</v>
      </c>
      <c r="D287" t="s">
        <v>137</v>
      </c>
      <c r="E287">
        <f>HYPERLINK("https://www.britishcycling.org.uk/points?person_id=210527&amp;year=2019&amp;type=national&amp;d=6","Results")</f>
        <v/>
      </c>
    </row>
    <row r="288" spans="1:5">
      <c r="A288" t="s">
        <v>744</v>
      </c>
      <c r="B288" t="s">
        <v>3139</v>
      </c>
      <c r="C288" t="s">
        <v>113</v>
      </c>
      <c r="D288" t="s">
        <v>137</v>
      </c>
      <c r="E288">
        <f>HYPERLINK("https://www.britishcycling.org.uk/points?person_id=521041&amp;year=2019&amp;type=national&amp;d=6","Results")</f>
        <v/>
      </c>
    </row>
    <row r="289" spans="1:5">
      <c r="A289" t="s">
        <v>747</v>
      </c>
      <c r="B289" t="s">
        <v>3140</v>
      </c>
      <c r="C289" t="s">
        <v>3110</v>
      </c>
      <c r="D289" t="s">
        <v>133</v>
      </c>
      <c r="E289">
        <f>HYPERLINK("https://www.britishcycling.org.uk/points?person_id=128927&amp;year=2019&amp;type=national&amp;d=6","Results")</f>
        <v/>
      </c>
    </row>
    <row r="290" spans="1:5">
      <c r="A290" t="s">
        <v>749</v>
      </c>
      <c r="B290" t="s">
        <v>3141</v>
      </c>
      <c r="C290" t="s">
        <v>3142</v>
      </c>
      <c r="D290" t="s">
        <v>127</v>
      </c>
      <c r="E290">
        <f>HYPERLINK("https://www.britishcycling.org.uk/points?person_id=20521&amp;year=2019&amp;type=national&amp;d=6","Results")</f>
        <v/>
      </c>
    </row>
    <row r="291" spans="1:5">
      <c r="A291" t="s">
        <v>751</v>
      </c>
      <c r="B291" t="s">
        <v>3143</v>
      </c>
      <c r="C291" t="s">
        <v>1156</v>
      </c>
      <c r="D291" t="s">
        <v>127</v>
      </c>
      <c r="E291">
        <f>HYPERLINK("https://www.britishcycling.org.uk/points?person_id=570269&amp;year=2019&amp;type=national&amp;d=6","Results")</f>
        <v/>
      </c>
    </row>
    <row r="292" spans="1:5">
      <c r="A292" t="s">
        <v>126</v>
      </c>
      <c r="B292" t="s">
        <v>3144</v>
      </c>
      <c r="C292" t="s">
        <v>299</v>
      </c>
      <c r="D292" t="s">
        <v>127</v>
      </c>
      <c r="E292">
        <f>HYPERLINK("https://www.britishcycling.org.uk/points?person_id=400203&amp;year=2019&amp;type=national&amp;d=6","Results")</f>
        <v/>
      </c>
    </row>
    <row r="293" spans="1:5">
      <c r="A293" t="s">
        <v>754</v>
      </c>
      <c r="B293" t="s">
        <v>3145</v>
      </c>
      <c r="C293" t="s">
        <v>427</v>
      </c>
      <c r="D293" t="s">
        <v>123</v>
      </c>
      <c r="E293">
        <f>HYPERLINK("https://www.britishcycling.org.uk/points?person_id=10684&amp;year=2019&amp;type=national&amp;d=6","Results")</f>
        <v/>
      </c>
    </row>
    <row r="294" spans="1:5">
      <c r="A294" t="s">
        <v>756</v>
      </c>
      <c r="B294" t="s">
        <v>3146</v>
      </c>
      <c r="C294" t="s">
        <v>1961</v>
      </c>
      <c r="D294" t="s">
        <v>123</v>
      </c>
      <c r="E294">
        <f>HYPERLINK("https://www.britishcycling.org.uk/points?person_id=220735&amp;year=2019&amp;type=national&amp;d=6","Results")</f>
        <v/>
      </c>
    </row>
    <row r="295" spans="1:5">
      <c r="A295" t="s">
        <v>758</v>
      </c>
      <c r="B295" t="s">
        <v>3147</v>
      </c>
      <c r="C295" t="s">
        <v>346</v>
      </c>
      <c r="D295" t="s">
        <v>123</v>
      </c>
      <c r="E295">
        <f>HYPERLINK("https://www.britishcycling.org.uk/points?person_id=612210&amp;year=2019&amp;type=national&amp;d=6","Results")</f>
        <v/>
      </c>
    </row>
    <row r="296" spans="1:5">
      <c r="A296" t="s">
        <v>122</v>
      </c>
      <c r="B296" t="s">
        <v>3148</v>
      </c>
      <c r="C296" t="s">
        <v>3149</v>
      </c>
      <c r="D296" t="s">
        <v>123</v>
      </c>
      <c r="E296">
        <f>HYPERLINK("https://www.britishcycling.org.uk/points?person_id=425670&amp;year=2019&amp;type=national&amp;d=6","Results")</f>
        <v/>
      </c>
    </row>
    <row r="297" spans="1:5">
      <c r="A297" t="s">
        <v>118</v>
      </c>
      <c r="B297" t="s">
        <v>3150</v>
      </c>
      <c r="C297" t="s">
        <v>559</v>
      </c>
      <c r="D297" t="s">
        <v>119</v>
      </c>
      <c r="E297">
        <f>HYPERLINK("https://www.britishcycling.org.uk/points?person_id=172648&amp;year=2019&amp;type=national&amp;d=6","Results")</f>
        <v/>
      </c>
    </row>
    <row r="298" spans="1:5">
      <c r="A298" t="s">
        <v>762</v>
      </c>
      <c r="B298" t="s">
        <v>3151</v>
      </c>
      <c r="C298" t="s">
        <v>2090</v>
      </c>
      <c r="D298" t="s">
        <v>115</v>
      </c>
      <c r="E298">
        <f>HYPERLINK("https://www.britishcycling.org.uk/points?person_id=302992&amp;year=2019&amp;type=national&amp;d=6","Results")</f>
        <v/>
      </c>
    </row>
    <row r="299" spans="1:5">
      <c r="A299" t="s">
        <v>114</v>
      </c>
      <c r="B299" t="s">
        <v>3152</v>
      </c>
      <c r="C299" t="s">
        <v>2735</v>
      </c>
      <c r="D299" t="s">
        <v>115</v>
      </c>
      <c r="E299">
        <f>HYPERLINK("https://www.britishcycling.org.uk/points?person_id=390038&amp;year=2019&amp;type=national&amp;d=6","Results")</f>
        <v/>
      </c>
    </row>
    <row r="300" spans="1:5">
      <c r="A300" t="s">
        <v>765</v>
      </c>
      <c r="B300" t="s">
        <v>3153</v>
      </c>
      <c r="C300" t="s">
        <v>299</v>
      </c>
      <c r="D300" t="s">
        <v>115</v>
      </c>
      <c r="E300">
        <f>HYPERLINK("https://www.britishcycling.org.uk/points?person_id=103680&amp;year=2019&amp;type=national&amp;d=6","Results")</f>
        <v/>
      </c>
    </row>
    <row r="301" spans="1:5">
      <c r="A301" t="s">
        <v>767</v>
      </c>
      <c r="B301" t="s">
        <v>3154</v>
      </c>
      <c r="C301" t="s">
        <v>1704</v>
      </c>
      <c r="D301" t="s">
        <v>115</v>
      </c>
      <c r="E301">
        <f>HYPERLINK("https://www.britishcycling.org.uk/points?person_id=686695&amp;year=2019&amp;type=national&amp;d=6","Results")</f>
        <v/>
      </c>
    </row>
    <row r="302" spans="1:5">
      <c r="A302" t="s">
        <v>769</v>
      </c>
      <c r="B302" t="s">
        <v>3155</v>
      </c>
      <c r="C302" t="s">
        <v>3156</v>
      </c>
      <c r="D302" t="s">
        <v>115</v>
      </c>
      <c r="E302">
        <f>HYPERLINK("https://www.britishcycling.org.uk/points?person_id=875299&amp;year=2019&amp;type=national&amp;d=6","Results")</f>
        <v/>
      </c>
    </row>
    <row r="303" spans="1:5">
      <c r="A303" t="s">
        <v>772</v>
      </c>
      <c r="B303" t="s">
        <v>3157</v>
      </c>
      <c r="C303" t="s">
        <v>3158</v>
      </c>
      <c r="D303" t="s">
        <v>115</v>
      </c>
      <c r="E303">
        <f>HYPERLINK("https://www.britishcycling.org.uk/points?person_id=105111&amp;year=2019&amp;type=national&amp;d=6","Results")</f>
        <v/>
      </c>
    </row>
    <row r="304" spans="1:5">
      <c r="A304" t="s">
        <v>775</v>
      </c>
      <c r="B304" t="s">
        <v>3159</v>
      </c>
      <c r="C304" t="s">
        <v>1113</v>
      </c>
      <c r="D304" t="s">
        <v>115</v>
      </c>
      <c r="E304">
        <f>HYPERLINK("https://www.britishcycling.org.uk/points?person_id=521007&amp;year=2019&amp;type=national&amp;d=6","Results")</f>
        <v/>
      </c>
    </row>
    <row r="305" spans="1:5">
      <c r="A305" t="s">
        <v>777</v>
      </c>
      <c r="B305" t="s">
        <v>3160</v>
      </c>
      <c r="C305" t="s">
        <v>2274</v>
      </c>
      <c r="D305" t="s">
        <v>111</v>
      </c>
      <c r="E305">
        <f>HYPERLINK("https://www.britishcycling.org.uk/points?person_id=477845&amp;year=2019&amp;type=national&amp;d=6","Results")</f>
        <v/>
      </c>
    </row>
    <row r="306" spans="1:5">
      <c r="A306" t="s">
        <v>779</v>
      </c>
      <c r="B306" t="s">
        <v>2561</v>
      </c>
      <c r="C306" t="s">
        <v>1793</v>
      </c>
      <c r="D306" t="s">
        <v>111</v>
      </c>
      <c r="E306">
        <f>HYPERLINK("https://www.britishcycling.org.uk/points?person_id=137129&amp;year=2019&amp;type=national&amp;d=6","Results")</f>
        <v/>
      </c>
    </row>
    <row r="307" spans="1:5">
      <c r="A307" t="s">
        <v>782</v>
      </c>
      <c r="B307" t="s">
        <v>3161</v>
      </c>
      <c r="C307" t="s">
        <v>3162</v>
      </c>
      <c r="D307" t="s">
        <v>107</v>
      </c>
      <c r="E307">
        <f>HYPERLINK("https://www.britishcycling.org.uk/points?person_id=197946&amp;year=2019&amp;type=national&amp;d=6","Results")</f>
        <v/>
      </c>
    </row>
    <row r="308" spans="1:5">
      <c r="A308" t="s">
        <v>784</v>
      </c>
      <c r="B308" t="s">
        <v>3163</v>
      </c>
      <c r="C308" t="s">
        <v>2274</v>
      </c>
      <c r="D308" t="s">
        <v>107</v>
      </c>
      <c r="E308">
        <f>HYPERLINK("https://www.britishcycling.org.uk/points?person_id=570850&amp;year=2019&amp;type=national&amp;d=6","Results")</f>
        <v/>
      </c>
    </row>
    <row r="309" spans="1:5">
      <c r="A309" t="s">
        <v>786</v>
      </c>
      <c r="B309" t="s">
        <v>3164</v>
      </c>
      <c r="C309" t="s">
        <v>80</v>
      </c>
      <c r="D309" t="s">
        <v>103</v>
      </c>
      <c r="E309">
        <f>HYPERLINK("https://www.britishcycling.org.uk/points?person_id=42001&amp;year=2019&amp;type=national&amp;d=6","Results")</f>
        <v/>
      </c>
    </row>
    <row r="310" spans="1:5">
      <c r="A310" t="s">
        <v>788</v>
      </c>
      <c r="B310" t="s">
        <v>3165</v>
      </c>
      <c r="C310" t="s">
        <v>1750</v>
      </c>
      <c r="D310" t="s">
        <v>103</v>
      </c>
      <c r="E310">
        <f>HYPERLINK("https://www.britishcycling.org.uk/points?person_id=245199&amp;year=2019&amp;type=national&amp;d=6","Results")</f>
        <v/>
      </c>
    </row>
    <row r="311" spans="1:5">
      <c r="A311" t="s">
        <v>790</v>
      </c>
      <c r="B311" t="s">
        <v>3166</v>
      </c>
      <c r="C311" t="s">
        <v>646</v>
      </c>
      <c r="D311" t="s">
        <v>103</v>
      </c>
      <c r="E311">
        <f>HYPERLINK("https://www.britishcycling.org.uk/points?person_id=291018&amp;year=2019&amp;type=national&amp;d=6","Results")</f>
        <v/>
      </c>
    </row>
    <row r="312" spans="1:5">
      <c r="A312" t="s">
        <v>792</v>
      </c>
      <c r="B312" t="s">
        <v>3167</v>
      </c>
      <c r="C312" t="s">
        <v>163</v>
      </c>
      <c r="D312" t="s">
        <v>99</v>
      </c>
      <c r="E312">
        <f>HYPERLINK("https://www.britishcycling.org.uk/points?person_id=325174&amp;year=2019&amp;type=national&amp;d=6","Results")</f>
        <v/>
      </c>
    </row>
    <row r="313" spans="1:5">
      <c r="A313" t="s">
        <v>794</v>
      </c>
      <c r="B313" t="s">
        <v>3168</v>
      </c>
      <c r="C313" t="s">
        <v>1721</v>
      </c>
      <c r="D313" t="s">
        <v>99</v>
      </c>
      <c r="E313">
        <f>HYPERLINK("https://www.britishcycling.org.uk/points?person_id=12692&amp;year=2019&amp;type=national&amp;d=6","Results")</f>
        <v/>
      </c>
    </row>
    <row r="314" spans="1:5">
      <c r="A314" t="s">
        <v>797</v>
      </c>
      <c r="B314" t="s">
        <v>3169</v>
      </c>
      <c r="C314" t="s">
        <v>2090</v>
      </c>
      <c r="D314" t="s">
        <v>99</v>
      </c>
      <c r="E314">
        <f>HYPERLINK("https://www.britishcycling.org.uk/points?person_id=115&amp;year=2019&amp;type=national&amp;d=6","Results")</f>
        <v/>
      </c>
    </row>
    <row r="315" spans="1:5">
      <c r="A315" t="s">
        <v>799</v>
      </c>
      <c r="B315" t="s">
        <v>3170</v>
      </c>
      <c r="C315" t="s"/>
      <c r="D315" t="s">
        <v>99</v>
      </c>
      <c r="E315">
        <f>HYPERLINK("https://www.britishcycling.org.uk/points?person_id=49735&amp;year=2019&amp;type=national&amp;d=6","Results")</f>
        <v/>
      </c>
    </row>
    <row r="316" spans="1:5">
      <c r="A316" t="s">
        <v>801</v>
      </c>
      <c r="B316" t="s">
        <v>3171</v>
      </c>
      <c r="C316" t="s">
        <v>3172</v>
      </c>
      <c r="D316" t="s">
        <v>96</v>
      </c>
      <c r="E316">
        <f>HYPERLINK("https://www.britishcycling.org.uk/points?person_id=6620&amp;year=2019&amp;type=national&amp;d=6","Results")</f>
        <v/>
      </c>
    </row>
    <row r="317" spans="1:5">
      <c r="A317" t="s">
        <v>803</v>
      </c>
      <c r="B317" t="s">
        <v>3173</v>
      </c>
      <c r="C317" t="s">
        <v>3174</v>
      </c>
      <c r="D317" t="s">
        <v>92</v>
      </c>
      <c r="E317">
        <f>HYPERLINK("https://www.britishcycling.org.uk/points?person_id=247621&amp;year=2019&amp;type=national&amp;d=6","Results")</f>
        <v/>
      </c>
    </row>
    <row r="318" spans="1:5">
      <c r="A318" t="s">
        <v>110</v>
      </c>
      <c r="B318" t="s">
        <v>3175</v>
      </c>
      <c r="C318" t="s">
        <v>1919</v>
      </c>
      <c r="D318" t="s">
        <v>92</v>
      </c>
      <c r="E318">
        <f>HYPERLINK("https://www.britishcycling.org.uk/points?person_id=16060&amp;year=2019&amp;type=national&amp;d=6","Results")</f>
        <v/>
      </c>
    </row>
    <row r="319" spans="1:5">
      <c r="A319" t="s">
        <v>806</v>
      </c>
      <c r="B319" t="s">
        <v>3176</v>
      </c>
      <c r="C319" t="s">
        <v>646</v>
      </c>
      <c r="D319" t="s">
        <v>92</v>
      </c>
      <c r="E319">
        <f>HYPERLINK("https://www.britishcycling.org.uk/points?person_id=32150&amp;year=2019&amp;type=national&amp;d=6","Results")</f>
        <v/>
      </c>
    </row>
    <row r="320" spans="1:5">
      <c r="A320" t="s">
        <v>808</v>
      </c>
      <c r="B320" t="s">
        <v>3177</v>
      </c>
      <c r="C320" t="s">
        <v>961</v>
      </c>
      <c r="D320" t="s">
        <v>92</v>
      </c>
      <c r="E320">
        <f>HYPERLINK("https://www.britishcycling.org.uk/points?person_id=283147&amp;year=2019&amp;type=national&amp;d=6","Results")</f>
        <v/>
      </c>
    </row>
    <row r="321" spans="1:5">
      <c r="A321" t="s">
        <v>810</v>
      </c>
      <c r="B321" t="s">
        <v>3178</v>
      </c>
      <c r="C321" t="s">
        <v>1370</v>
      </c>
      <c r="D321" t="s">
        <v>92</v>
      </c>
      <c r="E321">
        <f>HYPERLINK("https://www.britishcycling.org.uk/points?person_id=348431&amp;year=2019&amp;type=national&amp;d=6","Results")</f>
        <v/>
      </c>
    </row>
    <row r="322" spans="1:5">
      <c r="A322" t="s">
        <v>812</v>
      </c>
      <c r="B322" t="s">
        <v>3179</v>
      </c>
      <c r="C322" t="s">
        <v>3180</v>
      </c>
      <c r="D322" t="s">
        <v>92</v>
      </c>
      <c r="E322">
        <f>HYPERLINK("https://www.britishcycling.org.uk/points?person_id=13767&amp;year=2019&amp;type=national&amp;d=6","Results")</f>
        <v/>
      </c>
    </row>
    <row r="323" spans="1:5">
      <c r="A323" t="s">
        <v>815</v>
      </c>
      <c r="B323" t="s">
        <v>3181</v>
      </c>
      <c r="C323" t="s">
        <v>1961</v>
      </c>
      <c r="D323" t="s">
        <v>89</v>
      </c>
      <c r="E323">
        <f>HYPERLINK("https://www.britishcycling.org.uk/points?person_id=67975&amp;year=2019&amp;type=national&amp;d=6","Results")</f>
        <v/>
      </c>
    </row>
    <row r="324" spans="1:5">
      <c r="A324" t="s">
        <v>818</v>
      </c>
      <c r="B324" t="s">
        <v>3182</v>
      </c>
      <c r="C324" t="s">
        <v>3183</v>
      </c>
      <c r="D324" t="s">
        <v>89</v>
      </c>
      <c r="E324">
        <f>HYPERLINK("https://www.britishcycling.org.uk/points?person_id=123583&amp;year=2019&amp;type=national&amp;d=6","Results")</f>
        <v/>
      </c>
    </row>
    <row r="325" spans="1:5">
      <c r="A325" t="s">
        <v>820</v>
      </c>
      <c r="B325" t="s">
        <v>3184</v>
      </c>
      <c r="C325" t="s">
        <v>2165</v>
      </c>
      <c r="D325" t="s">
        <v>89</v>
      </c>
      <c r="E325">
        <f>HYPERLINK("https://www.britishcycling.org.uk/points?person_id=187608&amp;year=2019&amp;type=national&amp;d=6","Results")</f>
        <v/>
      </c>
    </row>
    <row r="326" spans="1:5">
      <c r="A326" t="s">
        <v>823</v>
      </c>
      <c r="B326" t="s">
        <v>3185</v>
      </c>
      <c r="C326" t="s">
        <v>153</v>
      </c>
      <c r="D326" t="s">
        <v>89</v>
      </c>
      <c r="E326">
        <f>HYPERLINK("https://www.britishcycling.org.uk/points?person_id=257020&amp;year=2019&amp;type=national&amp;d=6","Results")</f>
        <v/>
      </c>
    </row>
    <row r="327" spans="1:5">
      <c r="A327" t="s">
        <v>825</v>
      </c>
      <c r="B327" t="s">
        <v>3186</v>
      </c>
      <c r="C327" t="s">
        <v>1119</v>
      </c>
      <c r="D327" t="s">
        <v>89</v>
      </c>
      <c r="E327">
        <f>HYPERLINK("https://www.britishcycling.org.uk/points?person_id=117610&amp;year=2019&amp;type=national&amp;d=6","Results")</f>
        <v/>
      </c>
    </row>
    <row r="328" spans="1:5">
      <c r="A328" t="s">
        <v>828</v>
      </c>
      <c r="B328" t="s">
        <v>3187</v>
      </c>
      <c r="C328" t="s">
        <v>2132</v>
      </c>
      <c r="D328" t="s">
        <v>89</v>
      </c>
      <c r="E328">
        <f>HYPERLINK("https://www.britishcycling.org.uk/points?person_id=739236&amp;year=2019&amp;type=national&amp;d=6","Results")</f>
        <v/>
      </c>
    </row>
    <row r="329" spans="1:5">
      <c r="A329" t="s">
        <v>106</v>
      </c>
      <c r="B329" t="s">
        <v>3188</v>
      </c>
      <c r="C329" t="s">
        <v>2090</v>
      </c>
      <c r="D329" t="s">
        <v>89</v>
      </c>
      <c r="E329">
        <f>HYPERLINK("https://www.britishcycling.org.uk/points?person_id=193238&amp;year=2019&amp;type=national&amp;d=6","Results")</f>
        <v/>
      </c>
    </row>
    <row r="330" spans="1:5">
      <c r="A330" t="s">
        <v>832</v>
      </c>
      <c r="B330" t="s">
        <v>3189</v>
      </c>
      <c r="C330" t="s">
        <v>3190</v>
      </c>
      <c r="D330" t="s">
        <v>89</v>
      </c>
      <c r="E330">
        <f>HYPERLINK("https://www.britishcycling.org.uk/points?person_id=701683&amp;year=2019&amp;type=national&amp;d=6","Results")</f>
        <v/>
      </c>
    </row>
    <row r="331" spans="1:5">
      <c r="A331" t="s">
        <v>835</v>
      </c>
      <c r="B331" t="s">
        <v>3191</v>
      </c>
      <c r="C331" t="s">
        <v>1717</v>
      </c>
      <c r="D331" t="s">
        <v>82</v>
      </c>
      <c r="E331">
        <f>HYPERLINK("https://www.britishcycling.org.uk/points?person_id=405325&amp;year=2019&amp;type=national&amp;d=6","Results")</f>
        <v/>
      </c>
    </row>
    <row r="332" spans="1:5">
      <c r="A332" t="s">
        <v>838</v>
      </c>
      <c r="B332" t="s">
        <v>3192</v>
      </c>
      <c r="C332" t="s">
        <v>3193</v>
      </c>
      <c r="D332" t="s">
        <v>82</v>
      </c>
      <c r="E332">
        <f>HYPERLINK("https://www.britishcycling.org.uk/points?person_id=587805&amp;year=2019&amp;type=national&amp;d=6","Results")</f>
        <v/>
      </c>
    </row>
    <row r="333" spans="1:5">
      <c r="A333" t="s">
        <v>840</v>
      </c>
      <c r="B333" t="s">
        <v>3194</v>
      </c>
      <c r="C333" t="s"/>
      <c r="D333" t="s">
        <v>82</v>
      </c>
      <c r="E333">
        <f>HYPERLINK("https://www.britishcycling.org.uk/points?person_id=22144&amp;year=2019&amp;type=national&amp;d=6","Results")</f>
        <v/>
      </c>
    </row>
    <row r="334" spans="1:5">
      <c r="A334" t="s">
        <v>842</v>
      </c>
      <c r="B334" t="s">
        <v>3195</v>
      </c>
      <c r="C334" t="s">
        <v>1839</v>
      </c>
      <c r="D334" t="s">
        <v>82</v>
      </c>
      <c r="E334">
        <f>HYPERLINK("https://www.britishcycling.org.uk/points?person_id=282969&amp;year=2019&amp;type=national&amp;d=6","Results")</f>
        <v/>
      </c>
    </row>
    <row r="335" spans="1:5">
      <c r="A335" t="s">
        <v>845</v>
      </c>
      <c r="B335" t="s">
        <v>3196</v>
      </c>
      <c r="C335" t="s">
        <v>1113</v>
      </c>
      <c r="D335" t="s">
        <v>78</v>
      </c>
      <c r="E335">
        <f>HYPERLINK("https://www.britishcycling.org.uk/points?person_id=292069&amp;year=2019&amp;type=national&amp;d=6","Results")</f>
        <v/>
      </c>
    </row>
    <row r="336" spans="1:5">
      <c r="A336" t="s">
        <v>848</v>
      </c>
      <c r="B336" t="s">
        <v>3197</v>
      </c>
      <c r="C336" t="s">
        <v>94</v>
      </c>
      <c r="D336" t="s">
        <v>78</v>
      </c>
      <c r="E336">
        <f>HYPERLINK("https://www.britishcycling.org.uk/points?person_id=289286&amp;year=2019&amp;type=national&amp;d=6","Results")</f>
        <v/>
      </c>
    </row>
    <row r="337" spans="1:5">
      <c r="A337" t="s">
        <v>102</v>
      </c>
      <c r="B337" t="s">
        <v>3198</v>
      </c>
      <c r="C337" t="s">
        <v>2274</v>
      </c>
      <c r="D337" t="s">
        <v>78</v>
      </c>
      <c r="E337">
        <f>HYPERLINK("https://www.britishcycling.org.uk/points?person_id=326277&amp;year=2019&amp;type=national&amp;d=6","Results")</f>
        <v/>
      </c>
    </row>
    <row r="338" spans="1:5">
      <c r="A338" t="s">
        <v>851</v>
      </c>
      <c r="B338" t="s">
        <v>3199</v>
      </c>
      <c r="C338" t="s">
        <v>346</v>
      </c>
      <c r="D338" t="s">
        <v>78</v>
      </c>
      <c r="E338">
        <f>HYPERLINK("https://www.britishcycling.org.uk/points?person_id=104846&amp;year=2019&amp;type=national&amp;d=6","Results")</f>
        <v/>
      </c>
    </row>
    <row r="339" spans="1:5">
      <c r="A339" t="s">
        <v>854</v>
      </c>
      <c r="B339" t="s">
        <v>3200</v>
      </c>
      <c r="C339" t="s"/>
      <c r="D339" t="s">
        <v>78</v>
      </c>
      <c r="E339">
        <f>HYPERLINK("https://www.britishcycling.org.uk/points?person_id=191&amp;year=2019&amp;type=national&amp;d=6","Results")</f>
        <v/>
      </c>
    </row>
    <row r="340" spans="1:5">
      <c r="A340" t="s">
        <v>857</v>
      </c>
      <c r="B340" t="s">
        <v>3201</v>
      </c>
      <c r="C340" t="s"/>
      <c r="D340" t="s">
        <v>78</v>
      </c>
      <c r="E340">
        <f>HYPERLINK("https://www.britishcycling.org.uk/points?person_id=241740&amp;year=2019&amp;type=national&amp;d=6","Results")</f>
        <v/>
      </c>
    </row>
    <row r="341" spans="1:5">
      <c r="A341" t="s">
        <v>98</v>
      </c>
      <c r="B341" t="s">
        <v>3202</v>
      </c>
      <c r="C341" t="s">
        <v>283</v>
      </c>
      <c r="D341" t="s">
        <v>78</v>
      </c>
      <c r="E341">
        <f>HYPERLINK("https://www.britishcycling.org.uk/points?person_id=942473&amp;year=2019&amp;type=national&amp;d=6","Results")</f>
        <v/>
      </c>
    </row>
    <row r="342" spans="1:5">
      <c r="A342" t="s">
        <v>860</v>
      </c>
      <c r="B342" t="s">
        <v>3203</v>
      </c>
      <c r="C342" t="s">
        <v>3204</v>
      </c>
      <c r="D342" t="s">
        <v>75</v>
      </c>
      <c r="E342">
        <f>HYPERLINK("https://www.britishcycling.org.uk/points?person_id=287395&amp;year=2019&amp;type=national&amp;d=6","Results")</f>
        <v/>
      </c>
    </row>
    <row r="343" spans="1:5">
      <c r="A343" t="s">
        <v>862</v>
      </c>
      <c r="B343" t="s">
        <v>3205</v>
      </c>
      <c r="C343" t="s">
        <v>3206</v>
      </c>
      <c r="D343" t="s">
        <v>75</v>
      </c>
      <c r="E343">
        <f>HYPERLINK("https://www.britishcycling.org.uk/points?person_id=323521&amp;year=2019&amp;type=national&amp;d=6","Results")</f>
        <v/>
      </c>
    </row>
    <row r="344" spans="1:5">
      <c r="A344" t="s">
        <v>864</v>
      </c>
      <c r="B344" t="s">
        <v>3207</v>
      </c>
      <c r="C344" t="s">
        <v>1998</v>
      </c>
      <c r="D344" t="s">
        <v>75</v>
      </c>
      <c r="E344">
        <f>HYPERLINK("https://www.britishcycling.org.uk/points?person_id=667108&amp;year=2019&amp;type=national&amp;d=6","Results")</f>
        <v/>
      </c>
    </row>
    <row r="345" spans="1:5">
      <c r="A345" t="s">
        <v>867</v>
      </c>
      <c r="B345" t="s">
        <v>3208</v>
      </c>
      <c r="C345" t="s"/>
      <c r="D345" t="s">
        <v>75</v>
      </c>
      <c r="E345">
        <f>HYPERLINK("https://www.britishcycling.org.uk/points?person_id=323760&amp;year=2019&amp;type=national&amp;d=6","Results")</f>
        <v/>
      </c>
    </row>
    <row r="346" spans="1:5">
      <c r="A346" t="s">
        <v>869</v>
      </c>
      <c r="B346" t="s">
        <v>3209</v>
      </c>
      <c r="C346" t="s">
        <v>2947</v>
      </c>
      <c r="D346" t="s">
        <v>75</v>
      </c>
      <c r="E346">
        <f>HYPERLINK("https://www.britishcycling.org.uk/points?person_id=856756&amp;year=2019&amp;type=national&amp;d=6","Results")</f>
        <v/>
      </c>
    </row>
    <row r="347" spans="1:5">
      <c r="A347" t="s">
        <v>871</v>
      </c>
      <c r="B347" t="s">
        <v>3210</v>
      </c>
      <c r="C347" t="s">
        <v>3211</v>
      </c>
      <c r="D347" t="s">
        <v>71</v>
      </c>
      <c r="E347">
        <f>HYPERLINK("https://www.britishcycling.org.uk/points?person_id=1823&amp;year=2019&amp;type=national&amp;d=6","Results")</f>
        <v/>
      </c>
    </row>
    <row r="348" spans="1:5">
      <c r="A348" t="s">
        <v>873</v>
      </c>
      <c r="B348" t="s">
        <v>3212</v>
      </c>
      <c r="C348" t="s">
        <v>2274</v>
      </c>
      <c r="D348" t="s">
        <v>71</v>
      </c>
      <c r="E348">
        <f>HYPERLINK("https://www.britishcycling.org.uk/points?person_id=136778&amp;year=2019&amp;type=national&amp;d=6","Results")</f>
        <v/>
      </c>
    </row>
    <row r="349" spans="1:5">
      <c r="A349" t="s">
        <v>875</v>
      </c>
      <c r="B349" t="s">
        <v>3213</v>
      </c>
      <c r="C349" t="s">
        <v>1925</v>
      </c>
      <c r="D349" t="s">
        <v>71</v>
      </c>
      <c r="E349">
        <f>HYPERLINK("https://www.britishcycling.org.uk/points?person_id=54570&amp;year=2019&amp;type=national&amp;d=6","Results")</f>
        <v/>
      </c>
    </row>
    <row r="350" spans="1:5">
      <c r="A350" t="s">
        <v>877</v>
      </c>
      <c r="B350" t="s">
        <v>2800</v>
      </c>
      <c r="C350" t="s">
        <v>1294</v>
      </c>
      <c r="D350" t="s">
        <v>71</v>
      </c>
      <c r="E350">
        <f>HYPERLINK("https://www.britishcycling.org.uk/points?person_id=180739&amp;year=2019&amp;type=national&amp;d=6","Results")</f>
        <v/>
      </c>
    </row>
    <row r="351" spans="1:5">
      <c r="A351" t="s">
        <v>880</v>
      </c>
      <c r="B351" t="s">
        <v>3214</v>
      </c>
      <c r="C351" t="s">
        <v>691</v>
      </c>
      <c r="D351" t="s">
        <v>71</v>
      </c>
      <c r="E351">
        <f>HYPERLINK("https://www.britishcycling.org.uk/points?person_id=71003&amp;year=2019&amp;type=national&amp;d=6","Results")</f>
        <v/>
      </c>
    </row>
    <row r="352" spans="1:5">
      <c r="A352" t="s">
        <v>882</v>
      </c>
      <c r="B352" t="s">
        <v>3215</v>
      </c>
      <c r="C352" t="s">
        <v>691</v>
      </c>
      <c r="D352" t="s">
        <v>71</v>
      </c>
      <c r="E352">
        <f>HYPERLINK("https://www.britishcycling.org.uk/points?person_id=124767&amp;year=2019&amp;type=national&amp;d=6","Results")</f>
        <v/>
      </c>
    </row>
    <row r="353" spans="1:5">
      <c r="A353" t="s">
        <v>885</v>
      </c>
      <c r="B353" t="s">
        <v>3216</v>
      </c>
      <c r="C353" t="s">
        <v>1719</v>
      </c>
      <c r="D353" t="s">
        <v>71</v>
      </c>
      <c r="E353">
        <f>HYPERLINK("https://www.britishcycling.org.uk/points?person_id=67419&amp;year=2019&amp;type=national&amp;d=6","Results")</f>
        <v/>
      </c>
    </row>
    <row r="354" spans="1:5">
      <c r="A354" t="s">
        <v>888</v>
      </c>
      <c r="B354" t="s">
        <v>3217</v>
      </c>
      <c r="C354" t="s">
        <v>3218</v>
      </c>
      <c r="D354" t="s">
        <v>71</v>
      </c>
      <c r="E354">
        <f>HYPERLINK("https://www.britishcycling.org.uk/points?person_id=187007&amp;year=2019&amp;type=national&amp;d=6","Results")</f>
        <v/>
      </c>
    </row>
    <row r="355" spans="1:5">
      <c r="A355" t="s">
        <v>890</v>
      </c>
      <c r="B355" t="s">
        <v>538</v>
      </c>
      <c r="C355" t="s"/>
      <c r="D355" t="s">
        <v>71</v>
      </c>
      <c r="E355">
        <f>HYPERLINK("https://www.britishcycling.org.uk/points?person_id=183433&amp;year=2019&amp;type=national&amp;d=6","Results")</f>
        <v/>
      </c>
    </row>
    <row r="356" spans="1:5">
      <c r="A356" t="s">
        <v>892</v>
      </c>
      <c r="B356" t="s">
        <v>3219</v>
      </c>
      <c r="C356" t="s">
        <v>1699</v>
      </c>
      <c r="D356" t="s">
        <v>71</v>
      </c>
      <c r="E356">
        <f>HYPERLINK("https://www.britishcycling.org.uk/points?person_id=308074&amp;year=2019&amp;type=national&amp;d=6","Results")</f>
        <v/>
      </c>
    </row>
    <row r="357" spans="1:5">
      <c r="A357" t="s">
        <v>894</v>
      </c>
      <c r="B357" t="s">
        <v>3220</v>
      </c>
      <c r="C357" t="s">
        <v>1420</v>
      </c>
      <c r="D357" t="s">
        <v>67</v>
      </c>
      <c r="E357">
        <f>HYPERLINK("https://www.britishcycling.org.uk/points?person_id=3940&amp;year=2019&amp;type=national&amp;d=6","Results")</f>
        <v/>
      </c>
    </row>
    <row r="358" spans="1:5">
      <c r="A358" t="s">
        <v>897</v>
      </c>
      <c r="B358" t="s">
        <v>3221</v>
      </c>
      <c r="C358" t="s">
        <v>2345</v>
      </c>
      <c r="D358" t="s">
        <v>67</v>
      </c>
      <c r="E358">
        <f>HYPERLINK("https://www.britishcycling.org.uk/points?person_id=60285&amp;year=2019&amp;type=national&amp;d=6","Results")</f>
        <v/>
      </c>
    </row>
    <row r="359" spans="1:5">
      <c r="A359" t="s">
        <v>95</v>
      </c>
      <c r="B359" t="s">
        <v>3222</v>
      </c>
      <c r="C359" t="s">
        <v>87</v>
      </c>
      <c r="D359" t="s">
        <v>67</v>
      </c>
      <c r="E359">
        <f>HYPERLINK("https://www.britishcycling.org.uk/points?person_id=841004&amp;year=2019&amp;type=national&amp;d=6","Results")</f>
        <v/>
      </c>
    </row>
    <row r="360" spans="1:5">
      <c r="A360" t="s">
        <v>901</v>
      </c>
      <c r="B360" t="s">
        <v>3223</v>
      </c>
      <c r="C360" t="s">
        <v>3224</v>
      </c>
      <c r="D360" t="s">
        <v>67</v>
      </c>
      <c r="E360">
        <f>HYPERLINK("https://www.britishcycling.org.uk/points?person_id=246151&amp;year=2019&amp;type=national&amp;d=6","Results")</f>
        <v/>
      </c>
    </row>
    <row r="361" spans="1:5">
      <c r="A361" t="s">
        <v>904</v>
      </c>
      <c r="B361" t="s">
        <v>3225</v>
      </c>
      <c r="C361" t="s">
        <v>3226</v>
      </c>
      <c r="D361" t="s">
        <v>67</v>
      </c>
      <c r="E361">
        <f>HYPERLINK("https://www.britishcycling.org.uk/points?person_id=125974&amp;year=2019&amp;type=national&amp;d=6","Results")</f>
        <v/>
      </c>
    </row>
    <row r="362" spans="1:5">
      <c r="A362" t="s">
        <v>906</v>
      </c>
      <c r="B362" t="s">
        <v>3227</v>
      </c>
      <c r="C362" t="s">
        <v>139</v>
      </c>
      <c r="D362" t="s">
        <v>63</v>
      </c>
      <c r="E362">
        <f>HYPERLINK("https://www.britishcycling.org.uk/points?person_id=62127&amp;year=2019&amp;type=national&amp;d=6","Results")</f>
        <v/>
      </c>
    </row>
    <row r="363" spans="1:5">
      <c r="A363" t="s">
        <v>2083</v>
      </c>
      <c r="B363" t="s">
        <v>3228</v>
      </c>
      <c r="C363" t="s">
        <v>1945</v>
      </c>
      <c r="D363" t="s">
        <v>63</v>
      </c>
      <c r="E363">
        <f>HYPERLINK("https://www.britishcycling.org.uk/points?person_id=45936&amp;year=2019&amp;type=national&amp;d=6","Results")</f>
        <v/>
      </c>
    </row>
    <row r="364" spans="1:5">
      <c r="A364" t="s">
        <v>2086</v>
      </c>
      <c r="B364" t="s">
        <v>3229</v>
      </c>
      <c r="C364" t="s">
        <v>3230</v>
      </c>
      <c r="D364" t="s">
        <v>63</v>
      </c>
      <c r="E364">
        <f>HYPERLINK("https://www.britishcycling.org.uk/points?person_id=137074&amp;year=2019&amp;type=national&amp;d=6","Results")</f>
        <v/>
      </c>
    </row>
    <row r="365" spans="1:5">
      <c r="A365" t="s">
        <v>941</v>
      </c>
      <c r="B365" t="s">
        <v>3231</v>
      </c>
      <c r="C365" t="s">
        <v>3019</v>
      </c>
      <c r="D365" t="s">
        <v>63</v>
      </c>
      <c r="E365">
        <f>HYPERLINK("https://www.britishcycling.org.uk/points?person_id=281443&amp;year=2019&amp;type=national&amp;d=6","Results")</f>
        <v/>
      </c>
    </row>
    <row r="366" spans="1:5">
      <c r="A366" t="s">
        <v>2088</v>
      </c>
      <c r="B366" t="s">
        <v>3232</v>
      </c>
      <c r="C366" t="s">
        <v>615</v>
      </c>
      <c r="D366" t="s">
        <v>63</v>
      </c>
      <c r="E366">
        <f>HYPERLINK("https://www.britishcycling.org.uk/points?person_id=407806&amp;year=2019&amp;type=national&amp;d=6","Results")</f>
        <v/>
      </c>
    </row>
    <row r="367" spans="1:5">
      <c r="A367" t="s">
        <v>91</v>
      </c>
      <c r="B367" t="s">
        <v>3233</v>
      </c>
      <c r="C367" t="s">
        <v>1919</v>
      </c>
      <c r="D367" t="s">
        <v>63</v>
      </c>
      <c r="E367">
        <f>HYPERLINK("https://www.britishcycling.org.uk/points?person_id=72436&amp;year=2019&amp;type=national&amp;d=6","Results")</f>
        <v/>
      </c>
    </row>
    <row r="368" spans="1:5">
      <c r="A368" t="s">
        <v>2092</v>
      </c>
      <c r="B368" t="s">
        <v>3234</v>
      </c>
      <c r="C368" t="s">
        <v>3235</v>
      </c>
      <c r="D368" t="s">
        <v>63</v>
      </c>
      <c r="E368">
        <f>HYPERLINK("https://www.britishcycling.org.uk/points?person_id=20171&amp;year=2019&amp;type=national&amp;d=6","Results")</f>
        <v/>
      </c>
    </row>
    <row r="369" spans="1:5">
      <c r="A369" t="s">
        <v>1649</v>
      </c>
      <c r="B369" t="s">
        <v>3236</v>
      </c>
      <c r="C369" t="s">
        <v>427</v>
      </c>
      <c r="D369" t="s">
        <v>59</v>
      </c>
      <c r="E369">
        <f>HYPERLINK("https://www.britishcycling.org.uk/points?person_id=108055&amp;year=2019&amp;type=national&amp;d=6","Results")</f>
        <v/>
      </c>
    </row>
    <row r="370" spans="1:5">
      <c r="A370" t="s">
        <v>2094</v>
      </c>
      <c r="B370" t="s">
        <v>3237</v>
      </c>
      <c r="C370" t="s">
        <v>551</v>
      </c>
      <c r="D370" t="s">
        <v>59</v>
      </c>
      <c r="E370">
        <f>HYPERLINK("https://www.britishcycling.org.uk/points?person_id=860922&amp;year=2019&amp;type=national&amp;d=6","Results")</f>
        <v/>
      </c>
    </row>
    <row r="371" spans="1:5">
      <c r="A371" t="s">
        <v>2097</v>
      </c>
      <c r="B371" t="s">
        <v>3238</v>
      </c>
      <c r="C371" t="s">
        <v>392</v>
      </c>
      <c r="D371" t="s">
        <v>59</v>
      </c>
      <c r="E371">
        <f>HYPERLINK("https://www.britishcycling.org.uk/points?person_id=29508&amp;year=2019&amp;type=national&amp;d=6","Results")</f>
        <v/>
      </c>
    </row>
    <row r="372" spans="1:5">
      <c r="A372" t="s">
        <v>88</v>
      </c>
      <c r="B372" t="s">
        <v>3239</v>
      </c>
      <c r="C372" t="s">
        <v>2616</v>
      </c>
      <c r="D372" t="s">
        <v>55</v>
      </c>
      <c r="E372">
        <f>HYPERLINK("https://www.britishcycling.org.uk/points?person_id=59345&amp;year=2019&amp;type=national&amp;d=6","Results")</f>
        <v/>
      </c>
    </row>
    <row r="373" spans="1:5">
      <c r="A373" t="s">
        <v>2102</v>
      </c>
      <c r="B373" t="s">
        <v>3240</v>
      </c>
      <c r="C373" t="s">
        <v>1629</v>
      </c>
      <c r="D373" t="s">
        <v>55</v>
      </c>
      <c r="E373">
        <f>HYPERLINK("https://www.britishcycling.org.uk/points?person_id=213173&amp;year=2019&amp;type=national&amp;d=6","Results")</f>
        <v/>
      </c>
    </row>
    <row r="374" spans="1:5">
      <c r="A374" t="s">
        <v>2105</v>
      </c>
      <c r="B374" t="s">
        <v>3241</v>
      </c>
      <c r="C374" t="s">
        <v>139</v>
      </c>
      <c r="D374" t="s">
        <v>55</v>
      </c>
      <c r="E374">
        <f>HYPERLINK("https://www.britishcycling.org.uk/points?person_id=61579&amp;year=2019&amp;type=national&amp;d=6","Results")</f>
        <v/>
      </c>
    </row>
    <row r="375" spans="1:5">
      <c r="A375" t="s">
        <v>2107</v>
      </c>
      <c r="B375" t="s">
        <v>3242</v>
      </c>
      <c r="C375" t="s">
        <v>80</v>
      </c>
      <c r="D375" t="s">
        <v>55</v>
      </c>
      <c r="E375">
        <f>HYPERLINK("https://www.britishcycling.org.uk/points?person_id=244316&amp;year=2019&amp;type=national&amp;d=6","Results")</f>
        <v/>
      </c>
    </row>
    <row r="376" spans="1:5">
      <c r="A376" t="s">
        <v>2110</v>
      </c>
      <c r="B376" t="s">
        <v>3243</v>
      </c>
      <c r="C376" t="s">
        <v>401</v>
      </c>
      <c r="D376" t="s">
        <v>55</v>
      </c>
      <c r="E376">
        <f>HYPERLINK("https://www.britishcycling.org.uk/points?person_id=41218&amp;year=2019&amp;type=national&amp;d=6","Results")</f>
        <v/>
      </c>
    </row>
    <row r="377" spans="1:5">
      <c r="A377" t="s">
        <v>84</v>
      </c>
      <c r="B377" t="s">
        <v>3244</v>
      </c>
      <c r="C377" t="s">
        <v>1344</v>
      </c>
      <c r="D377" t="s">
        <v>51</v>
      </c>
      <c r="E377">
        <f>HYPERLINK("https://www.britishcycling.org.uk/points?person_id=65374&amp;year=2019&amp;type=national&amp;d=6","Results")</f>
        <v/>
      </c>
    </row>
    <row r="378" spans="1:5">
      <c r="A378" t="s">
        <v>2113</v>
      </c>
      <c r="B378" t="s">
        <v>3245</v>
      </c>
      <c r="C378" t="s">
        <v>324</v>
      </c>
      <c r="D378" t="s">
        <v>51</v>
      </c>
      <c r="E378">
        <f>HYPERLINK("https://www.britishcycling.org.uk/points?person_id=335928&amp;year=2019&amp;type=national&amp;d=6","Results")</f>
        <v/>
      </c>
    </row>
    <row r="379" spans="1:5">
      <c r="A379" t="s">
        <v>2116</v>
      </c>
      <c r="B379" t="s">
        <v>3246</v>
      </c>
      <c r="C379" t="s">
        <v>1837</v>
      </c>
      <c r="D379" t="s">
        <v>51</v>
      </c>
      <c r="E379">
        <f>HYPERLINK("https://www.britishcycling.org.uk/points?person_id=63665&amp;year=2019&amp;type=national&amp;d=6","Results")</f>
        <v/>
      </c>
    </row>
    <row r="380" spans="1:5">
      <c r="A380" t="s">
        <v>2119</v>
      </c>
      <c r="B380" t="s">
        <v>3247</v>
      </c>
      <c r="C380" t="s">
        <v>2206</v>
      </c>
      <c r="D380" t="s">
        <v>51</v>
      </c>
      <c r="E380">
        <f>HYPERLINK("https://www.britishcycling.org.uk/points?person_id=4376&amp;year=2019&amp;type=national&amp;d=6","Results")</f>
        <v/>
      </c>
    </row>
    <row r="381" spans="1:5">
      <c r="A381" t="s">
        <v>2121</v>
      </c>
      <c r="B381" t="s">
        <v>3248</v>
      </c>
      <c r="C381" t="s">
        <v>3249</v>
      </c>
      <c r="D381" t="s">
        <v>51</v>
      </c>
      <c r="E381">
        <f>HYPERLINK("https://www.britishcycling.org.uk/points?person_id=35340&amp;year=2019&amp;type=national&amp;d=6","Results")</f>
        <v/>
      </c>
    </row>
    <row r="382" spans="1:5">
      <c r="A382" t="s">
        <v>2124</v>
      </c>
      <c r="B382" t="s">
        <v>3250</v>
      </c>
      <c r="C382" t="s">
        <v>2142</v>
      </c>
      <c r="D382" t="s">
        <v>51</v>
      </c>
      <c r="E382">
        <f>HYPERLINK("https://www.britishcycling.org.uk/points?person_id=239632&amp;year=2019&amp;type=national&amp;d=6","Results")</f>
        <v/>
      </c>
    </row>
    <row r="383" spans="1:5">
      <c r="A383" t="s">
        <v>2127</v>
      </c>
      <c r="B383" t="s">
        <v>3251</v>
      </c>
      <c r="C383" t="s">
        <v>1919</v>
      </c>
      <c r="D383" t="s">
        <v>51</v>
      </c>
      <c r="E383">
        <f>HYPERLINK("https://www.britishcycling.org.uk/points?person_id=74871&amp;year=2019&amp;type=national&amp;d=6","Results")</f>
        <v/>
      </c>
    </row>
    <row r="384" spans="1:5">
      <c r="A384" t="s">
        <v>2130</v>
      </c>
      <c r="B384" t="s">
        <v>3252</v>
      </c>
      <c r="C384" t="s">
        <v>1736</v>
      </c>
      <c r="D384" t="s">
        <v>51</v>
      </c>
      <c r="E384">
        <f>HYPERLINK("https://www.britishcycling.org.uk/points?person_id=408580&amp;year=2019&amp;type=national&amp;d=6","Results")</f>
        <v/>
      </c>
    </row>
    <row r="385" spans="1:5">
      <c r="A385" t="s">
        <v>81</v>
      </c>
      <c r="B385" t="s">
        <v>3253</v>
      </c>
      <c r="C385" t="s">
        <v>3254</v>
      </c>
      <c r="D385" t="s">
        <v>47</v>
      </c>
      <c r="E385">
        <f>HYPERLINK("https://www.britishcycling.org.uk/points?person_id=30945&amp;year=2019&amp;type=national&amp;d=6","Results")</f>
        <v/>
      </c>
    </row>
    <row r="386" spans="1:5">
      <c r="A386" t="s">
        <v>2135</v>
      </c>
      <c r="B386" t="s">
        <v>3255</v>
      </c>
      <c r="C386" t="s">
        <v>3256</v>
      </c>
      <c r="D386" t="s">
        <v>47</v>
      </c>
      <c r="E386">
        <f>HYPERLINK("https://www.britishcycling.org.uk/points?person_id=279596&amp;year=2019&amp;type=national&amp;d=6","Results")</f>
        <v/>
      </c>
    </row>
    <row r="387" spans="1:5">
      <c r="A387" t="s">
        <v>2137</v>
      </c>
      <c r="B387" t="s">
        <v>3257</v>
      </c>
      <c r="C387" t="s"/>
      <c r="D387" t="s">
        <v>47</v>
      </c>
      <c r="E387">
        <f>HYPERLINK("https://www.britishcycling.org.uk/points?person_id=42991&amp;year=2019&amp;type=national&amp;d=6","Results")</f>
        <v/>
      </c>
    </row>
    <row r="388" spans="1:5">
      <c r="A388" t="s">
        <v>2140</v>
      </c>
      <c r="B388" t="s">
        <v>3258</v>
      </c>
      <c r="C388" t="s">
        <v>174</v>
      </c>
      <c r="D388" t="s">
        <v>47</v>
      </c>
      <c r="E388">
        <f>HYPERLINK("https://www.britishcycling.org.uk/points?person_id=130259&amp;year=2019&amp;type=national&amp;d=6","Results")</f>
        <v/>
      </c>
    </row>
    <row r="389" spans="1:5">
      <c r="A389" t="s">
        <v>1646</v>
      </c>
      <c r="B389" t="s">
        <v>3259</v>
      </c>
      <c r="C389" t="s">
        <v>884</v>
      </c>
      <c r="D389" t="s">
        <v>47</v>
      </c>
      <c r="E389">
        <f>HYPERLINK("https://www.britishcycling.org.uk/points?person_id=198673&amp;year=2019&amp;type=national&amp;d=6","Results")</f>
        <v/>
      </c>
    </row>
    <row r="390" spans="1:5">
      <c r="A390" t="s">
        <v>2144</v>
      </c>
      <c r="B390" t="s">
        <v>3260</v>
      </c>
      <c r="C390" t="s">
        <v>3261</v>
      </c>
      <c r="D390" t="s">
        <v>47</v>
      </c>
      <c r="E390">
        <f>HYPERLINK("https://www.britishcycling.org.uk/points?person_id=773476&amp;year=2019&amp;type=national&amp;d=6","Results")</f>
        <v/>
      </c>
    </row>
    <row r="391" spans="1:5">
      <c r="A391" t="s">
        <v>1341</v>
      </c>
      <c r="B391" t="s">
        <v>3262</v>
      </c>
      <c r="C391" t="s">
        <v>2096</v>
      </c>
      <c r="D391" t="s">
        <v>47</v>
      </c>
      <c r="E391">
        <f>HYPERLINK("https://www.britishcycling.org.uk/points?person_id=324174&amp;year=2019&amp;type=national&amp;d=6","Results")</f>
        <v/>
      </c>
    </row>
    <row r="392" spans="1:5">
      <c r="A392" t="s">
        <v>2147</v>
      </c>
      <c r="B392" t="s">
        <v>3263</v>
      </c>
      <c r="C392" t="s">
        <v>2488</v>
      </c>
      <c r="D392" t="s">
        <v>47</v>
      </c>
      <c r="E392">
        <f>HYPERLINK("https://www.britishcycling.org.uk/points?person_id=136838&amp;year=2019&amp;type=national&amp;d=6","Results")</f>
        <v/>
      </c>
    </row>
    <row r="393" spans="1:5">
      <c r="A393" t="s">
        <v>1338</v>
      </c>
      <c r="B393" t="s">
        <v>3264</v>
      </c>
      <c r="C393" t="s"/>
      <c r="D393" t="s">
        <v>47</v>
      </c>
      <c r="E393">
        <f>HYPERLINK("https://www.britishcycling.org.uk/points?person_id=347000&amp;year=2019&amp;type=national&amp;d=6","Results")</f>
        <v/>
      </c>
    </row>
    <row r="394" spans="1:5">
      <c r="A394" t="s">
        <v>2150</v>
      </c>
      <c r="B394" t="s">
        <v>3265</v>
      </c>
      <c r="C394" t="s"/>
      <c r="D394" t="s">
        <v>47</v>
      </c>
      <c r="E394">
        <f>HYPERLINK("https://www.britishcycling.org.uk/points?person_id=6545&amp;year=2019&amp;type=national&amp;d=6","Results")</f>
        <v/>
      </c>
    </row>
    <row r="395" spans="1:5">
      <c r="A395" t="s">
        <v>938</v>
      </c>
      <c r="B395" t="s">
        <v>3266</v>
      </c>
      <c r="C395" t="s">
        <v>615</v>
      </c>
      <c r="D395" t="s">
        <v>47</v>
      </c>
      <c r="E395">
        <f>HYPERLINK("https://www.britishcycling.org.uk/points?person_id=375310&amp;year=2019&amp;type=national&amp;d=6","Results")</f>
        <v/>
      </c>
    </row>
    <row r="396" spans="1:5">
      <c r="A396" t="s">
        <v>2153</v>
      </c>
      <c r="B396" t="s">
        <v>3267</v>
      </c>
      <c r="C396" t="s">
        <v>23</v>
      </c>
      <c r="D396" t="s">
        <v>43</v>
      </c>
      <c r="E396">
        <f>HYPERLINK("https://www.britishcycling.org.uk/points?person_id=384877&amp;year=2019&amp;type=national&amp;d=6","Results")</f>
        <v/>
      </c>
    </row>
    <row r="397" spans="1:5">
      <c r="A397" t="s">
        <v>1643</v>
      </c>
      <c r="B397" t="s">
        <v>3268</v>
      </c>
      <c r="C397" t="s">
        <v>324</v>
      </c>
      <c r="D397" t="s">
        <v>39</v>
      </c>
      <c r="E397">
        <f>HYPERLINK("https://www.britishcycling.org.uk/points?person_id=226574&amp;year=2019&amp;type=national&amp;d=6","Results")</f>
        <v/>
      </c>
    </row>
    <row r="398" spans="1:5">
      <c r="A398" t="s">
        <v>2157</v>
      </c>
      <c r="B398" t="s">
        <v>3269</v>
      </c>
      <c r="C398" t="s"/>
      <c r="D398" t="s">
        <v>39</v>
      </c>
      <c r="E398">
        <f>HYPERLINK("https://www.britishcycling.org.uk/points?person_id=869818&amp;year=2019&amp;type=national&amp;d=6","Results")</f>
        <v/>
      </c>
    </row>
    <row r="399" spans="1:5">
      <c r="A399" t="s">
        <v>1336</v>
      </c>
      <c r="B399" t="s">
        <v>3270</v>
      </c>
      <c r="C399" t="s">
        <v>814</v>
      </c>
      <c r="D399" t="s">
        <v>39</v>
      </c>
      <c r="E399">
        <f>HYPERLINK("https://www.britishcycling.org.uk/points?person_id=369334&amp;year=2019&amp;type=national&amp;d=6","Results")</f>
        <v/>
      </c>
    </row>
    <row r="400" spans="1:5">
      <c r="A400" t="s">
        <v>77</v>
      </c>
      <c r="B400" t="s">
        <v>3271</v>
      </c>
      <c r="C400" t="s">
        <v>636</v>
      </c>
      <c r="D400" t="s">
        <v>39</v>
      </c>
      <c r="E400">
        <f>HYPERLINK("https://www.britishcycling.org.uk/points?person_id=12540&amp;year=2019&amp;type=national&amp;d=6","Results")</f>
        <v/>
      </c>
    </row>
    <row r="401" spans="1:5">
      <c r="A401" t="s">
        <v>2163</v>
      </c>
      <c r="B401" t="s">
        <v>3272</v>
      </c>
      <c r="C401" t="s">
        <v>2885</v>
      </c>
      <c r="D401" t="s">
        <v>39</v>
      </c>
      <c r="E401">
        <f>HYPERLINK("https://www.britishcycling.org.uk/points?person_id=44583&amp;year=2019&amp;type=national&amp;d=6","Results")</f>
        <v/>
      </c>
    </row>
    <row r="402" spans="1:5">
      <c r="A402" t="s">
        <v>2166</v>
      </c>
      <c r="B402" t="s">
        <v>3273</v>
      </c>
      <c r="C402" t="s">
        <v>1294</v>
      </c>
      <c r="D402" t="s">
        <v>39</v>
      </c>
      <c r="E402">
        <f>HYPERLINK("https://www.britishcycling.org.uk/points?person_id=250902&amp;year=2019&amp;type=national&amp;d=6","Results")</f>
        <v/>
      </c>
    </row>
    <row r="403" spans="1:5">
      <c r="A403" t="s">
        <v>2168</v>
      </c>
      <c r="B403" t="s">
        <v>3274</v>
      </c>
      <c r="C403" t="s"/>
      <c r="D403" t="s">
        <v>35</v>
      </c>
      <c r="E403">
        <f>HYPERLINK("https://www.britishcycling.org.uk/points?person_id=883060&amp;year=2019&amp;type=national&amp;d=6","Results")</f>
        <v/>
      </c>
    </row>
    <row r="404" spans="1:5">
      <c r="A404" t="s">
        <v>2171</v>
      </c>
      <c r="B404" t="s">
        <v>3275</v>
      </c>
      <c r="C404" t="s">
        <v>3276</v>
      </c>
      <c r="D404" t="s">
        <v>35</v>
      </c>
      <c r="E404">
        <f>HYPERLINK("https://www.britishcycling.org.uk/points?person_id=613125&amp;year=2019&amp;type=national&amp;d=6","Results")</f>
        <v/>
      </c>
    </row>
    <row r="405" spans="1:5">
      <c r="A405" t="s">
        <v>2173</v>
      </c>
      <c r="B405" t="s">
        <v>3277</v>
      </c>
      <c r="C405" t="s">
        <v>2634</v>
      </c>
      <c r="D405" t="s">
        <v>35</v>
      </c>
      <c r="E405">
        <f>HYPERLINK("https://www.britishcycling.org.uk/points?person_id=256954&amp;year=2019&amp;type=national&amp;d=6","Results")</f>
        <v/>
      </c>
    </row>
    <row r="406" spans="1:5">
      <c r="A406" t="s">
        <v>2175</v>
      </c>
      <c r="B406" t="s">
        <v>3278</v>
      </c>
      <c r="C406" t="s">
        <v>1913</v>
      </c>
      <c r="D406" t="s">
        <v>35</v>
      </c>
      <c r="E406">
        <f>HYPERLINK("https://www.britishcycling.org.uk/points?person_id=65395&amp;year=2019&amp;type=national&amp;d=6","Results")</f>
        <v/>
      </c>
    </row>
    <row r="407" spans="1:5">
      <c r="A407" t="s">
        <v>74</v>
      </c>
      <c r="B407" t="s">
        <v>3279</v>
      </c>
      <c r="C407" t="s">
        <v>3206</v>
      </c>
      <c r="D407" t="s">
        <v>35</v>
      </c>
      <c r="E407">
        <f>HYPERLINK("https://www.britishcycling.org.uk/points?person_id=24793&amp;year=2019&amp;type=national&amp;d=6","Results")</f>
        <v/>
      </c>
    </row>
    <row r="408" spans="1:5">
      <c r="A408" t="s">
        <v>70</v>
      </c>
      <c r="B408" t="s">
        <v>3280</v>
      </c>
      <c r="C408" t="s">
        <v>3030</v>
      </c>
      <c r="D408" t="s">
        <v>35</v>
      </c>
      <c r="E408">
        <f>HYPERLINK("https://www.britishcycling.org.uk/points?person_id=77062&amp;year=2019&amp;type=national&amp;d=6","Results")</f>
        <v/>
      </c>
    </row>
    <row r="409" spans="1:5">
      <c r="A409" t="s">
        <v>1641</v>
      </c>
      <c r="B409" t="s">
        <v>3281</v>
      </c>
      <c r="C409" t="s">
        <v>3282</v>
      </c>
      <c r="D409" t="s">
        <v>35</v>
      </c>
      <c r="E409">
        <f>HYPERLINK("https://www.britishcycling.org.uk/points?person_id=424337&amp;year=2019&amp;type=national&amp;d=6","Results")</f>
        <v/>
      </c>
    </row>
    <row r="410" spans="1:5">
      <c r="A410" t="s">
        <v>2180</v>
      </c>
      <c r="B410" t="s">
        <v>3283</v>
      </c>
      <c r="C410" t="s">
        <v>2155</v>
      </c>
      <c r="D410" t="s">
        <v>35</v>
      </c>
      <c r="E410">
        <f>HYPERLINK("https://www.britishcycling.org.uk/points?person_id=286260&amp;year=2019&amp;type=national&amp;d=6","Results")</f>
        <v/>
      </c>
    </row>
    <row r="411" spans="1:5">
      <c r="A411" t="s">
        <v>2181</v>
      </c>
      <c r="B411" t="s">
        <v>3284</v>
      </c>
      <c r="C411" t="s">
        <v>3285</v>
      </c>
      <c r="D411" t="s">
        <v>35</v>
      </c>
      <c r="E411">
        <f>HYPERLINK("https://www.britishcycling.org.uk/points?person_id=32090&amp;year=2019&amp;type=national&amp;d=6","Results")</f>
        <v/>
      </c>
    </row>
    <row r="412" spans="1:5">
      <c r="A412" t="s">
        <v>2184</v>
      </c>
      <c r="B412" t="s">
        <v>3286</v>
      </c>
      <c r="C412" t="s">
        <v>1925</v>
      </c>
      <c r="D412" t="s">
        <v>35</v>
      </c>
      <c r="E412">
        <f>HYPERLINK("https://www.britishcycling.org.uk/points?person_id=882330&amp;year=2019&amp;type=national&amp;d=6","Results")</f>
        <v/>
      </c>
    </row>
    <row r="413" spans="1:5">
      <c r="A413" t="s">
        <v>2186</v>
      </c>
      <c r="B413" t="s">
        <v>3287</v>
      </c>
      <c r="C413" t="s">
        <v>929</v>
      </c>
      <c r="D413" t="s">
        <v>35</v>
      </c>
      <c r="E413">
        <f>HYPERLINK("https://www.britishcycling.org.uk/points?person_id=508808&amp;year=2019&amp;type=national&amp;d=6","Results")</f>
        <v/>
      </c>
    </row>
    <row r="414" spans="1:5">
      <c r="A414" t="s">
        <v>936</v>
      </c>
      <c r="B414" t="s">
        <v>3288</v>
      </c>
      <c r="C414" t="s">
        <v>3289</v>
      </c>
      <c r="D414" t="s">
        <v>31</v>
      </c>
      <c r="E414">
        <f>HYPERLINK("https://www.britishcycling.org.uk/points?person_id=413917&amp;year=2019&amp;type=national&amp;d=6","Results")</f>
        <v/>
      </c>
    </row>
    <row r="415" spans="1:5">
      <c r="A415" t="s">
        <v>66</v>
      </c>
      <c r="B415" t="s">
        <v>3290</v>
      </c>
      <c r="C415" t="s">
        <v>709</v>
      </c>
      <c r="D415" t="s">
        <v>31</v>
      </c>
      <c r="E415">
        <f>HYPERLINK("https://www.britishcycling.org.uk/points?person_id=574682&amp;year=2019&amp;type=national&amp;d=6","Results")</f>
        <v/>
      </c>
    </row>
    <row r="416" spans="1:5">
      <c r="A416" t="s">
        <v>2190</v>
      </c>
      <c r="B416" t="s">
        <v>3291</v>
      </c>
      <c r="C416" t="s">
        <v>1113</v>
      </c>
      <c r="D416" t="s">
        <v>31</v>
      </c>
      <c r="E416">
        <f>HYPERLINK("https://www.britishcycling.org.uk/points?person_id=679107&amp;year=2019&amp;type=national&amp;d=6","Results")</f>
        <v/>
      </c>
    </row>
    <row r="417" spans="1:5">
      <c r="A417" t="s">
        <v>2192</v>
      </c>
      <c r="B417" t="s">
        <v>3292</v>
      </c>
      <c r="C417" t="s">
        <v>636</v>
      </c>
      <c r="D417" t="s">
        <v>31</v>
      </c>
      <c r="E417">
        <f>HYPERLINK("https://www.britishcycling.org.uk/points?person_id=77245&amp;year=2019&amp;type=national&amp;d=6","Results")</f>
        <v/>
      </c>
    </row>
    <row r="418" spans="1:5">
      <c r="A418" t="s">
        <v>2194</v>
      </c>
      <c r="B418" t="s">
        <v>3293</v>
      </c>
      <c r="C418" t="s">
        <v>3294</v>
      </c>
      <c r="D418" t="s">
        <v>31</v>
      </c>
      <c r="E418">
        <f>HYPERLINK("https://www.britishcycling.org.uk/points?person_id=211845&amp;year=2019&amp;type=national&amp;d=6","Results")</f>
        <v/>
      </c>
    </row>
    <row r="419" spans="1:5">
      <c r="A419" t="s">
        <v>2197</v>
      </c>
      <c r="B419" t="s">
        <v>3295</v>
      </c>
      <c r="C419" t="s">
        <v>551</v>
      </c>
      <c r="D419" t="s">
        <v>31</v>
      </c>
      <c r="E419">
        <f>HYPERLINK("https://www.britishcycling.org.uk/points?person_id=623133&amp;year=2019&amp;type=national&amp;d=6","Results")</f>
        <v/>
      </c>
    </row>
    <row r="420" spans="1:5">
      <c r="A420" t="s">
        <v>1639</v>
      </c>
      <c r="B420" t="s">
        <v>3296</v>
      </c>
      <c r="C420" t="s">
        <v>3297</v>
      </c>
      <c r="D420" t="s">
        <v>31</v>
      </c>
      <c r="E420">
        <f>HYPERLINK("https://www.britishcycling.org.uk/points?person_id=40456&amp;year=2019&amp;type=national&amp;d=6","Results")</f>
        <v/>
      </c>
    </row>
    <row r="421" spans="1:5">
      <c r="A421" t="s">
        <v>2200</v>
      </c>
      <c r="B421" t="s">
        <v>3298</v>
      </c>
      <c r="C421" t="s">
        <v>2833</v>
      </c>
      <c r="D421" t="s">
        <v>31</v>
      </c>
      <c r="E421">
        <f>HYPERLINK("https://www.britishcycling.org.uk/points?person_id=14850&amp;year=2019&amp;type=national&amp;d=6","Results")</f>
        <v/>
      </c>
    </row>
    <row r="422" spans="1:5">
      <c r="A422" t="s">
        <v>2202</v>
      </c>
      <c r="B422" t="s">
        <v>3299</v>
      </c>
      <c r="C422" t="s">
        <v>1373</v>
      </c>
      <c r="D422" t="s">
        <v>28</v>
      </c>
      <c r="E422">
        <f>HYPERLINK("https://www.britishcycling.org.uk/points?person_id=428816&amp;year=2019&amp;type=national&amp;d=6","Results")</f>
        <v/>
      </c>
    </row>
    <row r="423" spans="1:5">
      <c r="A423" t="s">
        <v>2204</v>
      </c>
      <c r="B423" t="s">
        <v>3300</v>
      </c>
      <c r="C423" t="s">
        <v>3301</v>
      </c>
      <c r="D423" t="s">
        <v>28</v>
      </c>
      <c r="E423">
        <f>HYPERLINK("https://www.britishcycling.org.uk/points?person_id=556611&amp;year=2019&amp;type=national&amp;d=6","Results")</f>
        <v/>
      </c>
    </row>
    <row r="424" spans="1:5">
      <c r="A424" t="s">
        <v>2207</v>
      </c>
      <c r="B424" t="s">
        <v>3302</v>
      </c>
      <c r="C424" t="s">
        <v>1500</v>
      </c>
      <c r="D424" t="s">
        <v>28</v>
      </c>
      <c r="E424">
        <f>HYPERLINK("https://www.britishcycling.org.uk/points?person_id=339017&amp;year=2019&amp;type=national&amp;d=6","Results")</f>
        <v/>
      </c>
    </row>
    <row r="425" spans="1:5">
      <c r="A425" t="s">
        <v>1333</v>
      </c>
      <c r="B425" t="s">
        <v>3303</v>
      </c>
      <c r="C425" t="s"/>
      <c r="D425" t="s">
        <v>28</v>
      </c>
      <c r="E425">
        <f>HYPERLINK("https://www.britishcycling.org.uk/points?person_id=34634&amp;year=2019&amp;type=national&amp;d=6","Results")</f>
        <v/>
      </c>
    </row>
    <row r="426" spans="1:5">
      <c r="A426" t="s">
        <v>1637</v>
      </c>
      <c r="B426" t="s">
        <v>3304</v>
      </c>
      <c r="C426" t="s">
        <v>3305</v>
      </c>
      <c r="D426" t="s">
        <v>28</v>
      </c>
      <c r="E426">
        <f>HYPERLINK("https://www.britishcycling.org.uk/points?person_id=63882&amp;year=2019&amp;type=national&amp;d=6","Results")</f>
        <v/>
      </c>
    </row>
    <row r="427" spans="1:5">
      <c r="A427" t="s">
        <v>2212</v>
      </c>
      <c r="B427" t="s">
        <v>3306</v>
      </c>
      <c r="C427" t="s">
        <v>615</v>
      </c>
      <c r="D427" t="s">
        <v>28</v>
      </c>
      <c r="E427">
        <f>HYPERLINK("https://www.britishcycling.org.uk/points?person_id=426265&amp;year=2019&amp;type=national&amp;d=6","Results")</f>
        <v/>
      </c>
    </row>
    <row r="428" spans="1:5">
      <c r="A428" t="s">
        <v>1633</v>
      </c>
      <c r="B428" t="s">
        <v>3307</v>
      </c>
      <c r="C428" t="s"/>
      <c r="D428" t="s">
        <v>25</v>
      </c>
      <c r="E428">
        <f>HYPERLINK("https://www.britishcycling.org.uk/points?person_id=285378&amp;year=2019&amp;type=national&amp;d=6","Results")</f>
        <v/>
      </c>
    </row>
    <row r="429" spans="1:5">
      <c r="A429" t="s">
        <v>2216</v>
      </c>
      <c r="B429" t="s">
        <v>3308</v>
      </c>
      <c r="C429" t="s">
        <v>3309</v>
      </c>
      <c r="D429" t="s">
        <v>25</v>
      </c>
      <c r="E429">
        <f>HYPERLINK("https://www.britishcycling.org.uk/points?person_id=276230&amp;year=2019&amp;type=national&amp;d=6","Results")</f>
        <v/>
      </c>
    </row>
    <row r="430" spans="1:5">
      <c r="A430" t="s">
        <v>2219</v>
      </c>
      <c r="B430" t="s">
        <v>3310</v>
      </c>
      <c r="C430" t="s">
        <v>3311</v>
      </c>
      <c r="D430" t="s">
        <v>25</v>
      </c>
      <c r="E430">
        <f>HYPERLINK("https://www.britishcycling.org.uk/points?person_id=98865&amp;year=2019&amp;type=national&amp;d=6","Results")</f>
        <v/>
      </c>
    </row>
    <row r="431" spans="1:5">
      <c r="A431" t="s">
        <v>2222</v>
      </c>
      <c r="B431" t="s">
        <v>3312</v>
      </c>
      <c r="C431" t="s">
        <v>61</v>
      </c>
      <c r="D431" t="s">
        <v>25</v>
      </c>
      <c r="E431">
        <f>HYPERLINK("https://www.britishcycling.org.uk/points?person_id=656208&amp;year=2019&amp;type=national&amp;d=6","Results")</f>
        <v/>
      </c>
    </row>
    <row r="432" spans="1:5">
      <c r="A432" t="s">
        <v>934</v>
      </c>
      <c r="B432" t="s">
        <v>3313</v>
      </c>
      <c r="C432" t="s">
        <v>3314</v>
      </c>
      <c r="D432" t="s">
        <v>25</v>
      </c>
      <c r="E432">
        <f>HYPERLINK("https://www.britishcycling.org.uk/points?person_id=115636&amp;year=2019&amp;type=national&amp;d=6","Results")</f>
        <v/>
      </c>
    </row>
    <row r="433" spans="1:5">
      <c r="A433" t="s">
        <v>62</v>
      </c>
      <c r="B433" t="s">
        <v>3315</v>
      </c>
      <c r="C433" t="s">
        <v>3316</v>
      </c>
      <c r="D433" t="s">
        <v>25</v>
      </c>
      <c r="E433">
        <f>HYPERLINK("https://www.britishcycling.org.uk/points?person_id=766305&amp;year=2019&amp;type=national&amp;d=6","Results")</f>
        <v/>
      </c>
    </row>
    <row r="434" spans="1:5">
      <c r="A434" t="s">
        <v>2225</v>
      </c>
      <c r="B434" t="s">
        <v>3317</v>
      </c>
      <c r="C434" t="s">
        <v>1837</v>
      </c>
      <c r="D434" t="s">
        <v>25</v>
      </c>
      <c r="E434">
        <f>HYPERLINK("https://www.britishcycling.org.uk/points?person_id=77661&amp;year=2019&amp;type=national&amp;d=6","Results")</f>
        <v/>
      </c>
    </row>
    <row r="435" spans="1:5">
      <c r="A435" t="s">
        <v>2227</v>
      </c>
      <c r="B435" t="s">
        <v>3318</v>
      </c>
      <c r="C435" t="s">
        <v>1529</v>
      </c>
      <c r="D435" t="s">
        <v>25</v>
      </c>
      <c r="E435">
        <f>HYPERLINK("https://www.britishcycling.org.uk/points?person_id=420707&amp;year=2019&amp;type=national&amp;d=6","Results")</f>
        <v/>
      </c>
    </row>
    <row r="436" spans="1:5">
      <c r="A436" t="s">
        <v>2228</v>
      </c>
      <c r="B436" t="s">
        <v>3319</v>
      </c>
      <c r="C436" t="s">
        <v>1440</v>
      </c>
      <c r="D436" t="s">
        <v>21</v>
      </c>
      <c r="E436">
        <f>HYPERLINK("https://www.britishcycling.org.uk/points?person_id=14041&amp;year=2019&amp;type=national&amp;d=6","Results")</f>
        <v/>
      </c>
    </row>
    <row r="437" spans="1:5">
      <c r="A437" t="s">
        <v>2230</v>
      </c>
      <c r="B437" t="s">
        <v>314</v>
      </c>
      <c r="C437" t="s"/>
      <c r="D437" t="s">
        <v>21</v>
      </c>
      <c r="E437">
        <f>HYPERLINK("https://www.britishcycling.org.uk/points?person_id=242417&amp;year=2019&amp;type=national&amp;d=6","Results")</f>
        <v/>
      </c>
    </row>
    <row r="438" spans="1:5">
      <c r="A438" t="s">
        <v>2232</v>
      </c>
      <c r="B438" t="s">
        <v>3320</v>
      </c>
      <c r="C438" t="s">
        <v>1696</v>
      </c>
      <c r="D438" t="s">
        <v>21</v>
      </c>
      <c r="E438">
        <f>HYPERLINK("https://www.britishcycling.org.uk/points?person_id=124898&amp;year=2019&amp;type=national&amp;d=6","Results")</f>
        <v/>
      </c>
    </row>
    <row r="439" spans="1:5">
      <c r="A439" t="s">
        <v>2234</v>
      </c>
      <c r="B439" t="s">
        <v>3321</v>
      </c>
      <c r="C439" t="s"/>
      <c r="D439" t="s">
        <v>21</v>
      </c>
      <c r="E439">
        <f>HYPERLINK("https://www.britishcycling.org.uk/points?person_id=262139&amp;year=2019&amp;type=national&amp;d=6","Results")</f>
        <v/>
      </c>
    </row>
    <row r="440" spans="1:5">
      <c r="A440" t="s">
        <v>2237</v>
      </c>
      <c r="B440" t="s">
        <v>3322</v>
      </c>
      <c r="C440" t="s">
        <v>3323</v>
      </c>
      <c r="D440" t="s">
        <v>21</v>
      </c>
      <c r="E440">
        <f>HYPERLINK("https://www.britishcycling.org.uk/points?person_id=420336&amp;year=2019&amp;type=national&amp;d=6","Results")</f>
        <v/>
      </c>
    </row>
    <row r="441" spans="1:5">
      <c r="A441" t="s">
        <v>2239</v>
      </c>
      <c r="B441" t="s">
        <v>3324</v>
      </c>
      <c r="C441" t="s">
        <v>1856</v>
      </c>
      <c r="D441" t="s">
        <v>21</v>
      </c>
      <c r="E441">
        <f>HYPERLINK("https://www.britishcycling.org.uk/points?person_id=4850&amp;year=2019&amp;type=national&amp;d=6","Results")</f>
        <v/>
      </c>
    </row>
    <row r="442" spans="1:5">
      <c r="A442" t="s">
        <v>2241</v>
      </c>
      <c r="B442" t="s">
        <v>3325</v>
      </c>
      <c r="C442" t="s">
        <v>3326</v>
      </c>
      <c r="D442" t="s">
        <v>21</v>
      </c>
      <c r="E442">
        <f>HYPERLINK("https://www.britishcycling.org.uk/points?person_id=76915&amp;year=2019&amp;type=national&amp;d=6","Results")</f>
        <v/>
      </c>
    </row>
    <row r="443" spans="1:5">
      <c r="A443" t="s">
        <v>2243</v>
      </c>
      <c r="B443" t="s">
        <v>3327</v>
      </c>
      <c r="C443" t="s">
        <v>358</v>
      </c>
      <c r="D443" t="s">
        <v>21</v>
      </c>
      <c r="E443">
        <f>HYPERLINK("https://www.britishcycling.org.uk/points?person_id=134982&amp;year=2019&amp;type=national&amp;d=6","Results")</f>
        <v/>
      </c>
    </row>
    <row r="444" spans="1:5">
      <c r="A444" t="s">
        <v>1630</v>
      </c>
      <c r="B444" t="s">
        <v>3328</v>
      </c>
      <c r="C444" t="s">
        <v>834</v>
      </c>
      <c r="D444" t="s">
        <v>21</v>
      </c>
      <c r="E444">
        <f>HYPERLINK("https://www.britishcycling.org.uk/points?person_id=77815&amp;year=2019&amp;type=national&amp;d=6","Results")</f>
        <v/>
      </c>
    </row>
    <row r="445" spans="1:5">
      <c r="A445" t="s">
        <v>2246</v>
      </c>
      <c r="B445" t="s">
        <v>3329</v>
      </c>
      <c r="C445" t="s">
        <v>3330</v>
      </c>
      <c r="D445" t="s">
        <v>21</v>
      </c>
      <c r="E445">
        <f>HYPERLINK("https://www.britishcycling.org.uk/points?person_id=60289&amp;year=2019&amp;type=national&amp;d=6","Results")</f>
        <v/>
      </c>
    </row>
    <row r="446" spans="1:5">
      <c r="A446" t="s">
        <v>2249</v>
      </c>
      <c r="B446" t="s">
        <v>3331</v>
      </c>
      <c r="C446" t="s">
        <v>398</v>
      </c>
      <c r="D446" t="s">
        <v>21</v>
      </c>
      <c r="E446">
        <f>HYPERLINK("https://www.britishcycling.org.uk/points?person_id=12187&amp;year=2019&amp;type=national&amp;d=6","Results")</f>
        <v/>
      </c>
    </row>
    <row r="447" spans="1:5">
      <c r="A447" t="s">
        <v>2251</v>
      </c>
      <c r="B447" t="s">
        <v>3332</v>
      </c>
      <c r="C447" t="s">
        <v>2466</v>
      </c>
      <c r="D447" t="s">
        <v>21</v>
      </c>
      <c r="E447">
        <f>HYPERLINK("https://www.britishcycling.org.uk/points?person_id=211927&amp;year=2019&amp;type=national&amp;d=6","Results")</f>
        <v/>
      </c>
    </row>
    <row r="448" spans="1:5">
      <c r="A448" t="s">
        <v>2253</v>
      </c>
      <c r="B448" t="s">
        <v>3333</v>
      </c>
      <c r="C448" t="s">
        <v>3334</v>
      </c>
      <c r="D448" t="s">
        <v>21</v>
      </c>
      <c r="E448">
        <f>HYPERLINK("https://www.britishcycling.org.uk/points?person_id=53166&amp;year=2019&amp;type=national&amp;d=6","Results")</f>
        <v/>
      </c>
    </row>
    <row r="449" spans="1:5">
      <c r="A449" t="s">
        <v>1627</v>
      </c>
      <c r="B449" t="s">
        <v>3335</v>
      </c>
      <c r="C449" t="s">
        <v>3336</v>
      </c>
      <c r="D449" t="s">
        <v>21</v>
      </c>
      <c r="E449">
        <f>HYPERLINK("https://www.britishcycling.org.uk/points?person_id=706509&amp;year=2019&amp;type=national&amp;d=6","Results")</f>
        <v/>
      </c>
    </row>
    <row r="450" spans="1:5">
      <c r="A450" t="s">
        <v>2257</v>
      </c>
      <c r="B450" t="s">
        <v>3337</v>
      </c>
      <c r="C450" t="s">
        <v>1874</v>
      </c>
      <c r="D450" t="s">
        <v>21</v>
      </c>
      <c r="E450">
        <f>HYPERLINK("https://www.britishcycling.org.uk/points?person_id=201010&amp;year=2019&amp;type=national&amp;d=6","Results")</f>
        <v/>
      </c>
    </row>
    <row r="451" spans="1:5">
      <c r="A451" t="s">
        <v>2259</v>
      </c>
      <c r="B451" t="s">
        <v>3338</v>
      </c>
      <c r="C451" t="s">
        <v>1322</v>
      </c>
      <c r="D451" t="s">
        <v>21</v>
      </c>
      <c r="E451">
        <f>HYPERLINK("https://www.britishcycling.org.uk/points?person_id=54988&amp;year=2019&amp;type=national&amp;d=6","Results")</f>
        <v/>
      </c>
    </row>
    <row r="452" spans="1:5">
      <c r="A452" t="s">
        <v>2261</v>
      </c>
      <c r="B452" t="s">
        <v>3339</v>
      </c>
      <c r="C452" t="s">
        <v>216</v>
      </c>
      <c r="D452" t="s">
        <v>21</v>
      </c>
      <c r="E452">
        <f>HYPERLINK("https://www.britishcycling.org.uk/points?person_id=120311&amp;year=2019&amp;type=national&amp;d=6","Results")</f>
        <v/>
      </c>
    </row>
    <row r="453" spans="1:5">
      <c r="A453" t="s">
        <v>2263</v>
      </c>
      <c r="B453" t="s">
        <v>3340</v>
      </c>
      <c r="C453" t="s">
        <v>2899</v>
      </c>
      <c r="D453" t="s">
        <v>21</v>
      </c>
      <c r="E453">
        <f>HYPERLINK("https://www.britishcycling.org.uk/points?person_id=222088&amp;year=2019&amp;type=national&amp;d=6","Results")</f>
        <v/>
      </c>
    </row>
    <row r="454" spans="1:5">
      <c r="A454" t="s">
        <v>2265</v>
      </c>
      <c r="B454" t="s">
        <v>3341</v>
      </c>
      <c r="C454" t="s">
        <v>3342</v>
      </c>
      <c r="D454" t="s">
        <v>21</v>
      </c>
      <c r="E454">
        <f>HYPERLINK("https://www.britishcycling.org.uk/points?person_id=45766&amp;year=2019&amp;type=national&amp;d=6","Results")</f>
        <v/>
      </c>
    </row>
    <row r="455" spans="1:5">
      <c r="A455" t="s">
        <v>2267</v>
      </c>
      <c r="B455" t="s">
        <v>3343</v>
      </c>
      <c r="C455" t="s">
        <v>3336</v>
      </c>
      <c r="D455" t="s">
        <v>21</v>
      </c>
      <c r="E455">
        <f>HYPERLINK("https://www.britishcycling.org.uk/points?person_id=40868&amp;year=2019&amp;type=national&amp;d=6","Results")</f>
        <v/>
      </c>
    </row>
    <row r="456" spans="1:5">
      <c r="A456" t="s">
        <v>2268</v>
      </c>
      <c r="B456" t="s">
        <v>3344</v>
      </c>
      <c r="C456" t="s">
        <v>1782</v>
      </c>
      <c r="D456" t="s">
        <v>21</v>
      </c>
      <c r="E456">
        <f>HYPERLINK("https://www.britishcycling.org.uk/points?person_id=233853&amp;year=2019&amp;type=national&amp;d=6","Results")</f>
        <v/>
      </c>
    </row>
    <row r="457" spans="1:5">
      <c r="A457" t="s">
        <v>2270</v>
      </c>
      <c r="B457" t="s">
        <v>3345</v>
      </c>
      <c r="C457" t="s">
        <v>2466</v>
      </c>
      <c r="D457" t="s">
        <v>21</v>
      </c>
      <c r="E457">
        <f>HYPERLINK("https://www.britishcycling.org.uk/points?person_id=191492&amp;year=2019&amp;type=national&amp;d=6","Results")</f>
        <v/>
      </c>
    </row>
    <row r="458" spans="1:5">
      <c r="A458" t="s">
        <v>2272</v>
      </c>
      <c r="B458" t="s">
        <v>3346</v>
      </c>
      <c r="C458" t="s">
        <v>3347</v>
      </c>
      <c r="D458" t="s">
        <v>17</v>
      </c>
      <c r="E458">
        <f>HYPERLINK("https://www.britishcycling.org.uk/points?person_id=6682&amp;year=2019&amp;type=national&amp;d=6","Results")</f>
        <v/>
      </c>
    </row>
    <row r="459" spans="1:5">
      <c r="A459" t="s">
        <v>2275</v>
      </c>
      <c r="B459" t="s">
        <v>3348</v>
      </c>
      <c r="C459" t="s">
        <v>1919</v>
      </c>
      <c r="D459" t="s">
        <v>17</v>
      </c>
      <c r="E459">
        <f>HYPERLINK("https://www.britishcycling.org.uk/points?person_id=189145&amp;year=2019&amp;type=national&amp;d=6","Results")</f>
        <v/>
      </c>
    </row>
    <row r="460" spans="1:5">
      <c r="A460" t="s">
        <v>2277</v>
      </c>
      <c r="B460" t="s">
        <v>3349</v>
      </c>
      <c r="C460" t="s"/>
      <c r="D460" t="s">
        <v>17</v>
      </c>
      <c r="E460">
        <f>HYPERLINK("https://www.britishcycling.org.uk/points?person_id=732560&amp;year=2019&amp;type=national&amp;d=6","Results")</f>
        <v/>
      </c>
    </row>
    <row r="461" spans="1:5">
      <c r="A461" t="s">
        <v>1624</v>
      </c>
      <c r="B461" t="s">
        <v>3350</v>
      </c>
      <c r="C461" t="s">
        <v>3193</v>
      </c>
      <c r="D461" t="s">
        <v>17</v>
      </c>
      <c r="E461">
        <f>HYPERLINK("https://www.britishcycling.org.uk/points?person_id=119632&amp;year=2019&amp;type=national&amp;d=6","Results")</f>
        <v/>
      </c>
    </row>
    <row r="462" spans="1:5">
      <c r="A462" t="s">
        <v>1622</v>
      </c>
      <c r="B462" t="s">
        <v>3351</v>
      </c>
      <c r="C462" t="s">
        <v>1133</v>
      </c>
      <c r="D462" t="s">
        <v>17</v>
      </c>
      <c r="E462">
        <f>HYPERLINK("https://www.britishcycling.org.uk/points?person_id=473&amp;year=2019&amp;type=national&amp;d=6","Results")</f>
        <v/>
      </c>
    </row>
    <row r="463" spans="1:5">
      <c r="A463" t="s">
        <v>2283</v>
      </c>
      <c r="B463" t="s">
        <v>3352</v>
      </c>
      <c r="C463" t="s">
        <v>113</v>
      </c>
      <c r="D463" t="s">
        <v>17</v>
      </c>
      <c r="E463">
        <f>HYPERLINK("https://www.britishcycling.org.uk/points?person_id=294676&amp;year=2019&amp;type=national&amp;d=6","Results")</f>
        <v/>
      </c>
    </row>
    <row r="464" spans="1:5">
      <c r="A464" t="s">
        <v>2285</v>
      </c>
      <c r="B464" t="s">
        <v>3353</v>
      </c>
      <c r="C464" t="s"/>
      <c r="D464" t="s">
        <v>17</v>
      </c>
      <c r="E464">
        <f>HYPERLINK("https://www.britishcycling.org.uk/points?person_id=444387&amp;year=2019&amp;type=national&amp;d=6","Results")</f>
        <v/>
      </c>
    </row>
    <row r="465" spans="1:5">
      <c r="A465" t="s">
        <v>2286</v>
      </c>
      <c r="B465" t="s">
        <v>3354</v>
      </c>
      <c r="C465" t="s">
        <v>919</v>
      </c>
      <c r="D465" t="s">
        <v>13</v>
      </c>
      <c r="E465">
        <f>HYPERLINK("https://www.britishcycling.org.uk/points?person_id=36965&amp;year=2019&amp;type=national&amp;d=6","Results")</f>
        <v/>
      </c>
    </row>
    <row r="466" spans="1:5">
      <c r="A466" t="s">
        <v>2287</v>
      </c>
      <c r="B466" t="s">
        <v>3355</v>
      </c>
      <c r="C466" t="s">
        <v>2655</v>
      </c>
      <c r="D466" t="s">
        <v>13</v>
      </c>
      <c r="E466">
        <f>HYPERLINK("https://www.britishcycling.org.uk/points?person_id=4033&amp;year=2019&amp;type=national&amp;d=6","Results")</f>
        <v/>
      </c>
    </row>
    <row r="467" spans="1:5">
      <c r="A467" t="s">
        <v>2288</v>
      </c>
      <c r="B467" t="s">
        <v>3356</v>
      </c>
      <c r="C467" t="s">
        <v>3254</v>
      </c>
      <c r="D467" t="s">
        <v>13</v>
      </c>
      <c r="E467">
        <f>HYPERLINK("https://www.britishcycling.org.uk/points?person_id=28918&amp;year=2019&amp;type=national&amp;d=6","Results")</f>
        <v/>
      </c>
    </row>
    <row r="468" spans="1:5">
      <c r="A468" t="s">
        <v>2289</v>
      </c>
      <c r="B468" t="s">
        <v>3357</v>
      </c>
      <c r="C468" t="s">
        <v>2206</v>
      </c>
      <c r="D468" t="s">
        <v>13</v>
      </c>
      <c r="E468">
        <f>HYPERLINK("https://www.britishcycling.org.uk/points?person_id=654668&amp;year=2019&amp;type=national&amp;d=6","Results")</f>
        <v/>
      </c>
    </row>
    <row r="469" spans="1:5">
      <c r="A469" t="s">
        <v>2290</v>
      </c>
      <c r="B469" t="s">
        <v>3358</v>
      </c>
      <c r="C469" t="s"/>
      <c r="D469" t="s">
        <v>13</v>
      </c>
      <c r="E469">
        <f>HYPERLINK("https://www.britishcycling.org.uk/points?person_id=370569&amp;year=2019&amp;type=national&amp;d=6","Results")</f>
        <v/>
      </c>
    </row>
    <row r="470" spans="1:5">
      <c r="A470" t="s">
        <v>2293</v>
      </c>
      <c r="B470" t="s">
        <v>3359</v>
      </c>
      <c r="C470" t="s">
        <v>1648</v>
      </c>
      <c r="D470" t="s">
        <v>13</v>
      </c>
      <c r="E470">
        <f>HYPERLINK("https://www.britishcycling.org.uk/points?person_id=37714&amp;year=2019&amp;type=national&amp;d=6","Results")</f>
        <v/>
      </c>
    </row>
    <row r="471" spans="1:5">
      <c r="A471" t="s">
        <v>2295</v>
      </c>
      <c r="B471" t="s">
        <v>3360</v>
      </c>
      <c r="C471" t="s">
        <v>45</v>
      </c>
      <c r="D471" t="s">
        <v>13</v>
      </c>
      <c r="E471">
        <f>HYPERLINK("https://www.britishcycling.org.uk/points?person_id=74541&amp;year=2019&amp;type=national&amp;d=6","Results")</f>
        <v/>
      </c>
    </row>
    <row r="472" spans="1:5">
      <c r="A472" t="s">
        <v>2298</v>
      </c>
      <c r="B472" t="s">
        <v>3361</v>
      </c>
      <c r="C472" t="s">
        <v>1113</v>
      </c>
      <c r="D472" t="s">
        <v>13</v>
      </c>
      <c r="E472">
        <f>HYPERLINK("https://www.britishcycling.org.uk/points?person_id=737430&amp;year=2019&amp;type=national&amp;d=6","Results")</f>
        <v/>
      </c>
    </row>
    <row r="473" spans="1:5">
      <c r="A473" t="s">
        <v>2301</v>
      </c>
      <c r="B473" t="s">
        <v>3362</v>
      </c>
      <c r="C473" t="s">
        <v>3363</v>
      </c>
      <c r="D473" t="s">
        <v>13</v>
      </c>
      <c r="E473">
        <f>HYPERLINK("https://www.britishcycling.org.uk/points?person_id=17189&amp;year=2019&amp;type=national&amp;d=6","Results")</f>
        <v/>
      </c>
    </row>
    <row r="474" spans="1:5">
      <c r="A474" t="s">
        <v>2303</v>
      </c>
      <c r="B474" t="s">
        <v>3364</v>
      </c>
      <c r="C474" t="s">
        <v>3365</v>
      </c>
      <c r="D474" t="s">
        <v>13</v>
      </c>
      <c r="E474">
        <f>HYPERLINK("https://www.britishcycling.org.uk/points?person_id=42231&amp;year=2019&amp;type=national&amp;d=6","Results")</f>
        <v/>
      </c>
    </row>
    <row r="475" spans="1:5">
      <c r="A475" t="s">
        <v>58</v>
      </c>
      <c r="B475" t="s">
        <v>3366</v>
      </c>
      <c r="C475" t="s"/>
      <c r="D475" t="s">
        <v>13</v>
      </c>
      <c r="E475">
        <f>HYPERLINK("https://www.britishcycling.org.uk/points?person_id=851608&amp;year=2019&amp;type=national&amp;d=6","Results")</f>
        <v/>
      </c>
    </row>
    <row r="476" spans="1:5">
      <c r="A476" t="s">
        <v>2307</v>
      </c>
      <c r="B476" t="s">
        <v>3367</v>
      </c>
      <c r="C476" t="s">
        <v>656</v>
      </c>
      <c r="D476" t="s">
        <v>13</v>
      </c>
      <c r="E476">
        <f>HYPERLINK("https://www.britishcycling.org.uk/points?person_id=229453&amp;year=2019&amp;type=national&amp;d=6","Results")</f>
        <v/>
      </c>
    </row>
    <row r="477" spans="1:5">
      <c r="A477" t="s">
        <v>2309</v>
      </c>
      <c r="B477" t="s">
        <v>3368</v>
      </c>
      <c r="C477" t="s">
        <v>2786</v>
      </c>
      <c r="D477" t="s">
        <v>13</v>
      </c>
      <c r="E477">
        <f>HYPERLINK("https://www.britishcycling.org.uk/points?person_id=350295&amp;year=2019&amp;type=national&amp;d=6","Results")</f>
        <v/>
      </c>
    </row>
    <row r="478" spans="1:5">
      <c r="A478" t="s">
        <v>2312</v>
      </c>
      <c r="B478" t="s">
        <v>3369</v>
      </c>
      <c r="C478" t="s"/>
      <c r="D478" t="s">
        <v>13</v>
      </c>
      <c r="E478">
        <f>HYPERLINK("https://www.britishcycling.org.uk/points?person_id=33666&amp;year=2019&amp;type=national&amp;d=6","Results")</f>
        <v/>
      </c>
    </row>
    <row r="479" spans="1:5">
      <c r="A479" t="s">
        <v>54</v>
      </c>
      <c r="B479" t="s">
        <v>3370</v>
      </c>
      <c r="C479" t="s">
        <v>3371</v>
      </c>
      <c r="D479" t="s">
        <v>13</v>
      </c>
      <c r="E479">
        <f>HYPERLINK("https://www.britishcycling.org.uk/points?person_id=279453&amp;year=2019&amp;type=national&amp;d=6","Results")</f>
        <v/>
      </c>
    </row>
    <row r="480" spans="1:5">
      <c r="A480" t="s">
        <v>2315</v>
      </c>
      <c r="B480" t="s">
        <v>3372</v>
      </c>
      <c r="C480" t="s">
        <v>1717</v>
      </c>
      <c r="D480" t="s">
        <v>13</v>
      </c>
      <c r="E480">
        <f>HYPERLINK("https://www.britishcycling.org.uk/points?person_id=261227&amp;year=2019&amp;type=national&amp;d=6","Results")</f>
        <v/>
      </c>
    </row>
    <row r="481" spans="1:5">
      <c r="A481" t="s">
        <v>2318</v>
      </c>
      <c r="B481" t="s">
        <v>3373</v>
      </c>
      <c r="C481" t="s">
        <v>1721</v>
      </c>
      <c r="D481" t="s">
        <v>13</v>
      </c>
      <c r="E481">
        <f>HYPERLINK("https://www.britishcycling.org.uk/points?person_id=50173&amp;year=2019&amp;type=national&amp;d=6","Results")</f>
        <v/>
      </c>
    </row>
    <row r="482" spans="1:5">
      <c r="A482" t="s">
        <v>2321</v>
      </c>
      <c r="B482" t="s">
        <v>3374</v>
      </c>
      <c r="C482" t="s">
        <v>3040</v>
      </c>
      <c r="D482" t="s">
        <v>13</v>
      </c>
      <c r="E482">
        <f>HYPERLINK("https://www.britishcycling.org.uk/points?person_id=755431&amp;year=2019&amp;type=national&amp;d=6","Results")</f>
        <v/>
      </c>
    </row>
    <row r="483" spans="1:5">
      <c r="A483" t="s">
        <v>2324</v>
      </c>
      <c r="B483" t="s">
        <v>3375</v>
      </c>
      <c r="C483" t="s">
        <v>3376</v>
      </c>
      <c r="D483" t="s">
        <v>13</v>
      </c>
      <c r="E483">
        <f>HYPERLINK("https://www.britishcycling.org.uk/points?person_id=106753&amp;year=2019&amp;type=national&amp;d=6","Results")</f>
        <v/>
      </c>
    </row>
    <row r="484" spans="1:5">
      <c r="A484" t="s">
        <v>1330</v>
      </c>
      <c r="B484" t="s">
        <v>3377</v>
      </c>
      <c r="C484" t="s"/>
      <c r="D484" t="s">
        <v>9</v>
      </c>
      <c r="E484">
        <f>HYPERLINK("https://www.britishcycling.org.uk/points?person_id=618725&amp;year=2019&amp;type=national&amp;d=6","Results")</f>
        <v/>
      </c>
    </row>
    <row r="485" spans="1:5">
      <c r="A485" t="s">
        <v>2326</v>
      </c>
      <c r="B485" t="s">
        <v>3378</v>
      </c>
      <c r="C485" t="s">
        <v>3379</v>
      </c>
      <c r="D485" t="s">
        <v>9</v>
      </c>
      <c r="E485">
        <f>HYPERLINK("https://www.britishcycling.org.uk/points?person_id=173397&amp;year=2019&amp;type=national&amp;d=6","Results")</f>
        <v/>
      </c>
    </row>
    <row r="486" spans="1:5">
      <c r="A486" t="s">
        <v>2328</v>
      </c>
      <c r="B486" t="s">
        <v>3380</v>
      </c>
      <c r="C486" t="s">
        <v>3381</v>
      </c>
      <c r="D486" t="s">
        <v>9</v>
      </c>
      <c r="E486">
        <f>HYPERLINK("https://www.britishcycling.org.uk/points?person_id=349886&amp;year=2019&amp;type=national&amp;d=6","Results")</f>
        <v/>
      </c>
    </row>
    <row r="487" spans="1:5">
      <c r="A487" t="s">
        <v>2330</v>
      </c>
      <c r="B487" t="s">
        <v>3382</v>
      </c>
      <c r="C487" t="s">
        <v>216</v>
      </c>
      <c r="D487" t="s">
        <v>9</v>
      </c>
      <c r="E487">
        <f>HYPERLINK("https://www.britishcycling.org.uk/points?person_id=237108&amp;year=2019&amp;type=national&amp;d=6","Results")</f>
        <v/>
      </c>
    </row>
    <row r="488" spans="1:5">
      <c r="A488" t="s">
        <v>1327</v>
      </c>
      <c r="B488" t="s">
        <v>3383</v>
      </c>
      <c r="C488" t="s">
        <v>358</v>
      </c>
      <c r="D488" t="s">
        <v>9</v>
      </c>
      <c r="E488">
        <f>HYPERLINK("https://www.britishcycling.org.uk/points?person_id=281820&amp;year=2019&amp;type=national&amp;d=6","Results")</f>
        <v/>
      </c>
    </row>
    <row r="489" spans="1:5">
      <c r="A489" t="s">
        <v>2333</v>
      </c>
      <c r="B489" t="s">
        <v>3384</v>
      </c>
      <c r="C489" t="s">
        <v>299</v>
      </c>
      <c r="D489" t="s">
        <v>9</v>
      </c>
      <c r="E489">
        <f>HYPERLINK("https://www.britishcycling.org.uk/points?person_id=18653&amp;year=2019&amp;type=national&amp;d=6","Results")</f>
        <v/>
      </c>
    </row>
    <row r="490" spans="1:5">
      <c r="A490" t="s">
        <v>2335</v>
      </c>
      <c r="B490" t="s">
        <v>3385</v>
      </c>
      <c r="C490" t="s">
        <v>3068</v>
      </c>
      <c r="D490" t="s">
        <v>9</v>
      </c>
      <c r="E490">
        <f>HYPERLINK("https://www.britishcycling.org.uk/points?person_id=456234&amp;year=2019&amp;type=national&amp;d=6","Results")</f>
        <v/>
      </c>
    </row>
    <row r="491" spans="1:5">
      <c r="A491" t="s">
        <v>1619</v>
      </c>
      <c r="B491" t="s">
        <v>3386</v>
      </c>
      <c r="C491" t="s">
        <v>3387</v>
      </c>
      <c r="D491" t="s">
        <v>9</v>
      </c>
      <c r="E491">
        <f>HYPERLINK("https://www.britishcycling.org.uk/points?person_id=66983&amp;year=2019&amp;type=national&amp;d=6","Results")</f>
        <v/>
      </c>
    </row>
    <row r="492" spans="1:5">
      <c r="A492" t="s">
        <v>2339</v>
      </c>
      <c r="B492" t="s">
        <v>3388</v>
      </c>
      <c r="C492" t="s">
        <v>3110</v>
      </c>
      <c r="D492" t="s">
        <v>9</v>
      </c>
      <c r="E492">
        <f>HYPERLINK("https://www.britishcycling.org.uk/points?person_id=13045&amp;year=2019&amp;type=national&amp;d=6","Results")</f>
        <v/>
      </c>
    </row>
    <row r="493" spans="1:5">
      <c r="A493" t="s">
        <v>50</v>
      </c>
      <c r="B493" t="s">
        <v>3389</v>
      </c>
      <c r="C493" t="s">
        <v>65</v>
      </c>
      <c r="D493" t="s">
        <v>9</v>
      </c>
      <c r="E493">
        <f>HYPERLINK("https://www.britishcycling.org.uk/points?person_id=419781&amp;year=2019&amp;type=national&amp;d=6","Results")</f>
        <v/>
      </c>
    </row>
    <row r="494" spans="1:5">
      <c r="A494" t="s">
        <v>2342</v>
      </c>
      <c r="B494" t="s">
        <v>3390</v>
      </c>
      <c r="C494" t="s"/>
      <c r="D494" t="s">
        <v>9</v>
      </c>
      <c r="E494">
        <f>HYPERLINK("https://www.britishcycling.org.uk/points?person_id=272381&amp;year=2019&amp;type=national&amp;d=6","Results")</f>
        <v/>
      </c>
    </row>
    <row r="495" spans="1:5">
      <c r="A495" t="s">
        <v>932</v>
      </c>
      <c r="B495" t="s">
        <v>3391</v>
      </c>
      <c r="C495" t="s">
        <v>514</v>
      </c>
      <c r="D495" t="s">
        <v>9</v>
      </c>
      <c r="E495">
        <f>HYPERLINK("https://www.britishcycling.org.uk/points?person_id=40395&amp;year=2019&amp;type=national&amp;d=6","Results")</f>
        <v/>
      </c>
    </row>
    <row r="496" spans="1:5">
      <c r="A496" t="s">
        <v>46</v>
      </c>
      <c r="B496" t="s">
        <v>1404</v>
      </c>
      <c r="C496" t="s">
        <v>2682</v>
      </c>
      <c r="D496" t="s">
        <v>9</v>
      </c>
      <c r="E496">
        <f>HYPERLINK("https://www.britishcycling.org.uk/points?person_id=137806&amp;year=2019&amp;type=national&amp;d=6","Results")</f>
        <v/>
      </c>
    </row>
    <row r="497" spans="1:5">
      <c r="A497" t="s">
        <v>2348</v>
      </c>
      <c r="B497" t="s">
        <v>3392</v>
      </c>
      <c r="C497" t="s"/>
      <c r="D497" t="s">
        <v>9</v>
      </c>
      <c r="E497">
        <f>HYPERLINK("https://www.britishcycling.org.uk/points?person_id=64631&amp;year=2019&amp;type=national&amp;d=6","Results")</f>
        <v/>
      </c>
    </row>
    <row r="498" spans="1:5">
      <c r="A498" t="s">
        <v>2351</v>
      </c>
      <c r="B498" t="s">
        <v>3393</v>
      </c>
      <c r="C498" t="s"/>
      <c r="D498" t="s">
        <v>9</v>
      </c>
      <c r="E498">
        <f>HYPERLINK("https://www.britishcycling.org.uk/points?person_id=46642&amp;year=2019&amp;type=national&amp;d=6","Results")</f>
        <v/>
      </c>
    </row>
    <row r="499" spans="1:5">
      <c r="A499" t="s">
        <v>2353</v>
      </c>
      <c r="B499" t="s">
        <v>3394</v>
      </c>
      <c r="C499" t="s">
        <v>312</v>
      </c>
      <c r="D499" t="s">
        <v>9</v>
      </c>
      <c r="E499">
        <f>HYPERLINK("https://www.britishcycling.org.uk/points?person_id=552090&amp;year=2019&amp;type=national&amp;d=6","Results")</f>
        <v/>
      </c>
    </row>
    <row r="500" spans="1:5">
      <c r="A500" t="s">
        <v>2355</v>
      </c>
      <c r="B500" t="s">
        <v>3395</v>
      </c>
      <c r="C500" t="s">
        <v>2988</v>
      </c>
      <c r="D500" t="s">
        <v>5</v>
      </c>
      <c r="E500">
        <f>HYPERLINK("https://www.britishcycling.org.uk/points?person_id=129249&amp;year=2019&amp;type=national&amp;d=6","Results")</f>
        <v/>
      </c>
    </row>
    <row r="501" spans="1:5">
      <c r="A501" t="s">
        <v>930</v>
      </c>
      <c r="B501" t="s">
        <v>3396</v>
      </c>
      <c r="C501" t="s">
        <v>1106</v>
      </c>
      <c r="D501" t="s">
        <v>5</v>
      </c>
      <c r="E501">
        <f>HYPERLINK("https://www.britishcycling.org.uk/points?person_id=235742&amp;year=2019&amp;type=national&amp;d=6","Results")</f>
        <v/>
      </c>
    </row>
    <row r="502" spans="1:5">
      <c r="A502" t="s">
        <v>2358</v>
      </c>
      <c r="B502" t="s">
        <v>3397</v>
      </c>
      <c r="C502" t="s">
        <v>3180</v>
      </c>
      <c r="D502" t="s">
        <v>5</v>
      </c>
      <c r="E502">
        <f>HYPERLINK("https://www.britishcycling.org.uk/points?person_id=62663&amp;year=2019&amp;type=national&amp;d=6","Results")</f>
        <v/>
      </c>
    </row>
    <row r="503" spans="1:5">
      <c r="A503" t="s">
        <v>2360</v>
      </c>
      <c r="B503" t="s">
        <v>3398</v>
      </c>
      <c r="C503" t="s"/>
      <c r="D503" t="s">
        <v>5</v>
      </c>
      <c r="E503">
        <f>HYPERLINK("https://www.britishcycling.org.uk/points?person_id=689521&amp;year=2019&amp;type=national&amp;d=6","Results")</f>
        <v/>
      </c>
    </row>
    <row r="504" spans="1:5">
      <c r="A504" t="s">
        <v>2362</v>
      </c>
      <c r="B504" t="s">
        <v>3399</v>
      </c>
      <c r="C504" t="s">
        <v>2306</v>
      </c>
      <c r="D504" t="s">
        <v>5</v>
      </c>
      <c r="E504">
        <f>HYPERLINK("https://www.britishcycling.org.uk/points?person_id=663623&amp;year=2019&amp;type=national&amp;d=6","Results")</f>
        <v/>
      </c>
    </row>
    <row r="505" spans="1:5">
      <c r="A505" t="s">
        <v>2364</v>
      </c>
      <c r="B505" t="s">
        <v>3400</v>
      </c>
      <c r="C505" t="s">
        <v>3401</v>
      </c>
      <c r="D505" t="s">
        <v>5</v>
      </c>
      <c r="E505">
        <f>HYPERLINK("https://www.britishcycling.org.uk/points?person_id=36411&amp;year=2019&amp;type=national&amp;d=6","Results")</f>
        <v/>
      </c>
    </row>
    <row r="506" spans="1:5">
      <c r="A506" t="s">
        <v>2367</v>
      </c>
      <c r="B506" t="s">
        <v>3402</v>
      </c>
      <c r="C506" t="s">
        <v>413</v>
      </c>
      <c r="D506" t="s">
        <v>5</v>
      </c>
      <c r="E506">
        <f>HYPERLINK("https://www.britishcycling.org.uk/points?person_id=604515&amp;year=2019&amp;type=national&amp;d=6","Results")</f>
        <v/>
      </c>
    </row>
    <row r="507" spans="1:5">
      <c r="A507" t="s">
        <v>2368</v>
      </c>
      <c r="B507" t="s">
        <v>3403</v>
      </c>
      <c r="C507" t="s">
        <v>2090</v>
      </c>
      <c r="D507" t="s">
        <v>5</v>
      </c>
      <c r="E507">
        <f>HYPERLINK("https://www.britishcycling.org.uk/points?person_id=584511&amp;year=2019&amp;type=national&amp;d=6","Results")</f>
        <v/>
      </c>
    </row>
    <row r="508" spans="1:5">
      <c r="A508" t="s">
        <v>2370</v>
      </c>
      <c r="B508" t="s">
        <v>3404</v>
      </c>
      <c r="C508" t="s">
        <v>3405</v>
      </c>
      <c r="D508" t="s">
        <v>5</v>
      </c>
      <c r="E508">
        <f>HYPERLINK("https://www.britishcycling.org.uk/points?person_id=381397&amp;year=2019&amp;type=national&amp;d=6","Results")</f>
        <v/>
      </c>
    </row>
    <row r="509" spans="1:5">
      <c r="A509" t="s">
        <v>1325</v>
      </c>
      <c r="B509" t="s">
        <v>3406</v>
      </c>
      <c r="C509" t="s"/>
      <c r="D509" t="s">
        <v>5</v>
      </c>
      <c r="E509">
        <f>HYPERLINK("https://www.britishcycling.org.uk/points?person_id=461300&amp;year=2019&amp;type=national&amp;d=6","Results")</f>
        <v/>
      </c>
    </row>
    <row r="510" spans="1:5">
      <c r="A510" t="s">
        <v>2373</v>
      </c>
      <c r="B510" t="s">
        <v>3407</v>
      </c>
      <c r="C510" t="s"/>
      <c r="D510" t="s">
        <v>5</v>
      </c>
      <c r="E510">
        <f>HYPERLINK("https://www.britishcycling.org.uk/points?person_id=37974&amp;year=2019&amp;type=national&amp;d=6","Results")</f>
        <v/>
      </c>
    </row>
    <row r="511" spans="1:5">
      <c r="A511" t="s">
        <v>2376</v>
      </c>
      <c r="B511" t="s">
        <v>3408</v>
      </c>
      <c r="C511" t="s">
        <v>615</v>
      </c>
      <c r="D511" t="s">
        <v>5</v>
      </c>
      <c r="E511">
        <f>HYPERLINK("https://www.britishcycling.org.uk/points?person_id=60415&amp;year=2019&amp;type=national&amp;d=6","Results")</f>
        <v/>
      </c>
    </row>
    <row r="512" spans="1:5">
      <c r="A512" t="s">
        <v>2378</v>
      </c>
      <c r="B512" t="s">
        <v>3409</v>
      </c>
      <c r="C512" t="s">
        <v>3183</v>
      </c>
      <c r="D512" t="s">
        <v>5</v>
      </c>
      <c r="E512">
        <f>HYPERLINK("https://www.britishcycling.org.uk/points?person_id=8646&amp;year=2019&amp;type=national&amp;d=6","Results")</f>
        <v/>
      </c>
    </row>
    <row r="513" spans="1:5">
      <c r="A513" t="s">
        <v>2381</v>
      </c>
      <c r="B513" t="s">
        <v>3410</v>
      </c>
      <c r="C513" t="s">
        <v>3119</v>
      </c>
      <c r="D513" t="s">
        <v>5</v>
      </c>
      <c r="E513">
        <f>HYPERLINK("https://www.britishcycling.org.uk/points?person_id=239187&amp;year=2019&amp;type=national&amp;d=6","Results")</f>
        <v/>
      </c>
    </row>
    <row r="514" spans="1:5">
      <c r="A514" t="s">
        <v>2383</v>
      </c>
      <c r="B514" t="s">
        <v>3411</v>
      </c>
      <c r="C514" t="s">
        <v>3412</v>
      </c>
      <c r="D514" t="s">
        <v>5</v>
      </c>
      <c r="E514">
        <f>HYPERLINK("https://www.britishcycling.org.uk/points?person_id=315450&amp;year=2019&amp;type=national&amp;d=6","Results")</f>
        <v/>
      </c>
    </row>
    <row r="515" spans="1:5">
      <c r="A515" t="s">
        <v>2384</v>
      </c>
      <c r="B515" t="s">
        <v>3413</v>
      </c>
      <c r="C515" t="s">
        <v>2723</v>
      </c>
      <c r="D515" t="s">
        <v>5</v>
      </c>
      <c r="E515">
        <f>HYPERLINK("https://www.britishcycling.org.uk/points?person_id=245012&amp;year=2019&amp;type=national&amp;d=6","Results")</f>
        <v/>
      </c>
    </row>
    <row r="516" spans="1:5">
      <c r="A516" t="s">
        <v>2387</v>
      </c>
      <c r="B516" t="s">
        <v>3414</v>
      </c>
      <c r="C516" t="s">
        <v>3415</v>
      </c>
      <c r="D516" t="s">
        <v>5</v>
      </c>
      <c r="E516">
        <f>HYPERLINK("https://www.britishcycling.org.uk/points?person_id=50195&amp;year=2019&amp;type=national&amp;d=6","Results")</f>
        <v/>
      </c>
    </row>
    <row r="517" spans="1:5">
      <c r="A517" t="s">
        <v>2390</v>
      </c>
      <c r="B517" t="s">
        <v>3416</v>
      </c>
      <c r="C517" t="s">
        <v>1736</v>
      </c>
      <c r="D517" t="s">
        <v>5</v>
      </c>
      <c r="E517">
        <f>HYPERLINK("https://www.britishcycling.org.uk/points?person_id=31236&amp;year=2019&amp;type=national&amp;d=6","Results")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17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3417</v>
      </c>
      <c r="C2" t="s">
        <v>1819</v>
      </c>
      <c r="D2" t="s">
        <v>3418</v>
      </c>
      <c r="E2">
        <f>HYPERLINK("https://www.britishcycling.org.uk/points?person_id=78371&amp;year=2019&amp;type=national&amp;d=6","Results")</f>
        <v/>
      </c>
    </row>
    <row r="3" spans="1:5">
      <c r="A3" t="s">
        <v>9</v>
      </c>
      <c r="B3" t="s">
        <v>2231</v>
      </c>
      <c r="C3" t="s">
        <v>1694</v>
      </c>
      <c r="D3" t="s">
        <v>3419</v>
      </c>
      <c r="E3">
        <f>HYPERLINK("https://www.britishcycling.org.uk/points?person_id=305916&amp;year=2019&amp;type=national&amp;d=6","Results")</f>
        <v/>
      </c>
    </row>
    <row r="4" spans="1:5">
      <c r="A4" t="s">
        <v>13</v>
      </c>
      <c r="B4" t="s">
        <v>3420</v>
      </c>
      <c r="C4" t="s">
        <v>3421</v>
      </c>
      <c r="D4" t="s">
        <v>3422</v>
      </c>
      <c r="E4">
        <f>HYPERLINK("https://www.britishcycling.org.uk/points?person_id=64679&amp;year=2019&amp;type=national&amp;d=6","Results")</f>
        <v/>
      </c>
    </row>
    <row r="5" spans="1:5">
      <c r="A5" t="s">
        <v>17</v>
      </c>
      <c r="B5" t="s">
        <v>3423</v>
      </c>
      <c r="C5" t="s">
        <v>2899</v>
      </c>
      <c r="D5" t="s">
        <v>3424</v>
      </c>
      <c r="E5">
        <f>HYPERLINK("https://www.britishcycling.org.uk/points?person_id=27769&amp;year=2019&amp;type=national&amp;d=6","Results")</f>
        <v/>
      </c>
    </row>
    <row r="6" spans="1:5">
      <c r="A6" t="s">
        <v>21</v>
      </c>
      <c r="B6" t="s">
        <v>3425</v>
      </c>
      <c r="C6" t="s">
        <v>1340</v>
      </c>
      <c r="D6" t="s">
        <v>2733</v>
      </c>
      <c r="E6">
        <f>HYPERLINK("https://www.britishcycling.org.uk/points?person_id=176238&amp;year=2019&amp;type=national&amp;d=6","Results")</f>
        <v/>
      </c>
    </row>
    <row r="7" spans="1:5">
      <c r="A7" t="s">
        <v>25</v>
      </c>
      <c r="B7" t="s">
        <v>3426</v>
      </c>
      <c r="C7" t="s">
        <v>3427</v>
      </c>
      <c r="D7" t="s">
        <v>2700</v>
      </c>
      <c r="E7">
        <f>HYPERLINK("https://www.britishcycling.org.uk/points?person_id=19053&amp;year=2019&amp;type=national&amp;d=6","Results")</f>
        <v/>
      </c>
    </row>
    <row r="8" spans="1:5">
      <c r="A8" t="s">
        <v>28</v>
      </c>
      <c r="B8" t="s">
        <v>3428</v>
      </c>
      <c r="C8" t="s"/>
      <c r="D8" t="s">
        <v>2641</v>
      </c>
      <c r="E8">
        <f>HYPERLINK("https://www.britishcycling.org.uk/points?person_id=184707&amp;year=2019&amp;type=national&amp;d=6","Results")</f>
        <v/>
      </c>
    </row>
    <row r="9" spans="1:5">
      <c r="A9" t="s">
        <v>31</v>
      </c>
      <c r="B9" t="s">
        <v>3429</v>
      </c>
      <c r="C9" t="s">
        <v>1768</v>
      </c>
      <c r="D9" t="s">
        <v>2599</v>
      </c>
      <c r="E9">
        <f>HYPERLINK("https://www.britishcycling.org.uk/points?person_id=25650&amp;year=2019&amp;type=national&amp;d=6","Results")</f>
        <v/>
      </c>
    </row>
    <row r="10" spans="1:5">
      <c r="A10" t="s">
        <v>35</v>
      </c>
      <c r="B10" t="s">
        <v>2199</v>
      </c>
      <c r="C10" t="s">
        <v>1440</v>
      </c>
      <c r="D10" t="s">
        <v>2575</v>
      </c>
      <c r="E10">
        <f>HYPERLINK("https://www.britishcycling.org.uk/points?person_id=410192&amp;year=2019&amp;type=national&amp;d=6","Results")</f>
        <v/>
      </c>
    </row>
    <row r="11" spans="1:5">
      <c r="A11" t="s">
        <v>39</v>
      </c>
      <c r="B11" t="s">
        <v>1690</v>
      </c>
      <c r="C11" t="s">
        <v>1666</v>
      </c>
      <c r="D11" t="s">
        <v>2558</v>
      </c>
      <c r="E11">
        <f>HYPERLINK("https://www.britishcycling.org.uk/points?person_id=12100&amp;year=2019&amp;type=national&amp;d=6","Results")</f>
        <v/>
      </c>
    </row>
    <row r="12" spans="1:5">
      <c r="A12" t="s">
        <v>43</v>
      </c>
      <c r="B12" t="s">
        <v>3430</v>
      </c>
      <c r="C12" t="s">
        <v>283</v>
      </c>
      <c r="D12" t="s">
        <v>2536</v>
      </c>
      <c r="E12">
        <f>HYPERLINK("https://www.britishcycling.org.uk/points?person_id=7502&amp;year=2019&amp;type=national&amp;d=6","Results")</f>
        <v/>
      </c>
    </row>
    <row r="13" spans="1:5">
      <c r="A13" t="s">
        <v>47</v>
      </c>
      <c r="B13" t="s">
        <v>3431</v>
      </c>
      <c r="C13" t="s">
        <v>615</v>
      </c>
      <c r="D13" t="s">
        <v>2506</v>
      </c>
      <c r="E13">
        <f>HYPERLINK("https://www.britishcycling.org.uk/points?person_id=63176&amp;year=2019&amp;type=national&amp;d=6","Results")</f>
        <v/>
      </c>
    </row>
    <row r="14" spans="1:5">
      <c r="A14" t="s">
        <v>51</v>
      </c>
      <c r="B14" t="s">
        <v>3432</v>
      </c>
      <c r="C14" t="s">
        <v>3421</v>
      </c>
      <c r="D14" t="s">
        <v>2489</v>
      </c>
      <c r="E14">
        <f>HYPERLINK("https://www.britishcycling.org.uk/points?person_id=173619&amp;year=2019&amp;type=national&amp;d=6","Results")</f>
        <v/>
      </c>
    </row>
    <row r="15" spans="1:5">
      <c r="A15" t="s">
        <v>55</v>
      </c>
      <c r="B15" t="s">
        <v>3433</v>
      </c>
      <c r="C15" t="s">
        <v>3330</v>
      </c>
      <c r="D15" t="s">
        <v>2436</v>
      </c>
      <c r="E15">
        <f>HYPERLINK("https://www.britishcycling.org.uk/points?person_id=314245&amp;year=2019&amp;type=national&amp;d=6","Results")</f>
        <v/>
      </c>
    </row>
    <row r="16" spans="1:5">
      <c r="A16" t="s">
        <v>59</v>
      </c>
      <c r="B16" t="s">
        <v>3434</v>
      </c>
      <c r="C16" t="s">
        <v>498</v>
      </c>
      <c r="D16" t="s">
        <v>2420</v>
      </c>
      <c r="E16">
        <f>HYPERLINK("https://www.britishcycling.org.uk/points?person_id=16226&amp;year=2019&amp;type=national&amp;d=6","Results")</f>
        <v/>
      </c>
    </row>
    <row r="17" spans="1:5">
      <c r="A17" t="s">
        <v>63</v>
      </c>
      <c r="B17" t="s">
        <v>3435</v>
      </c>
      <c r="C17" t="s">
        <v>734</v>
      </c>
      <c r="D17" t="s">
        <v>2420</v>
      </c>
      <c r="E17">
        <f>HYPERLINK("https://www.britishcycling.org.uk/points?person_id=71288&amp;year=2019&amp;type=national&amp;d=6","Results")</f>
        <v/>
      </c>
    </row>
    <row r="18" spans="1:5">
      <c r="A18" t="s">
        <v>67</v>
      </c>
      <c r="B18" t="s">
        <v>3436</v>
      </c>
      <c r="C18" t="s">
        <v>3427</v>
      </c>
      <c r="D18" t="s">
        <v>2408</v>
      </c>
      <c r="E18">
        <f>HYPERLINK("https://www.britishcycling.org.uk/points?person_id=263650&amp;year=2019&amp;type=national&amp;d=6","Results")</f>
        <v/>
      </c>
    </row>
    <row r="19" spans="1:5">
      <c r="A19" t="s">
        <v>71</v>
      </c>
      <c r="B19" t="s">
        <v>2064</v>
      </c>
      <c r="C19" t="s">
        <v>1694</v>
      </c>
      <c r="D19" t="s">
        <v>2408</v>
      </c>
      <c r="E19">
        <f>HYPERLINK("https://www.britishcycling.org.uk/points?person_id=302293&amp;year=2019&amp;type=national&amp;d=6","Results")</f>
        <v/>
      </c>
    </row>
    <row r="20" spans="1:5">
      <c r="A20" t="s">
        <v>75</v>
      </c>
      <c r="B20" t="s">
        <v>3437</v>
      </c>
      <c r="C20" t="s">
        <v>2255</v>
      </c>
      <c r="D20" t="s">
        <v>2390</v>
      </c>
      <c r="E20">
        <f>HYPERLINK("https://www.britishcycling.org.uk/points?person_id=69332&amp;year=2019&amp;type=national&amp;d=6","Results")</f>
        <v/>
      </c>
    </row>
    <row r="21" spans="1:5">
      <c r="A21" t="s">
        <v>78</v>
      </c>
      <c r="B21" t="s">
        <v>3438</v>
      </c>
      <c r="C21" t="s">
        <v>1743</v>
      </c>
      <c r="D21" t="s">
        <v>2368</v>
      </c>
      <c r="E21">
        <f>HYPERLINK("https://www.britishcycling.org.uk/points?person_id=3368&amp;year=2019&amp;type=national&amp;d=6","Results")</f>
        <v/>
      </c>
    </row>
    <row r="22" spans="1:5">
      <c r="A22" t="s">
        <v>82</v>
      </c>
      <c r="B22" t="s">
        <v>3439</v>
      </c>
      <c r="C22" t="s">
        <v>2968</v>
      </c>
      <c r="D22" t="s">
        <v>2328</v>
      </c>
      <c r="E22">
        <f>HYPERLINK("https://www.britishcycling.org.uk/points?person_id=487817&amp;year=2019&amp;type=national&amp;d=6","Results")</f>
        <v/>
      </c>
    </row>
    <row r="23" spans="1:5">
      <c r="A23" t="s">
        <v>85</v>
      </c>
      <c r="B23" t="s">
        <v>3440</v>
      </c>
      <c r="C23" t="s">
        <v>3441</v>
      </c>
      <c r="D23" t="s">
        <v>2326</v>
      </c>
      <c r="E23">
        <f>HYPERLINK("https://www.britishcycling.org.uk/points?person_id=222815&amp;year=2019&amp;type=national&amp;d=6","Results")</f>
        <v/>
      </c>
    </row>
    <row r="24" spans="1:5">
      <c r="A24" t="s">
        <v>89</v>
      </c>
      <c r="B24" t="s">
        <v>3442</v>
      </c>
      <c r="C24" t="s">
        <v>262</v>
      </c>
      <c r="D24" t="s">
        <v>2289</v>
      </c>
      <c r="E24">
        <f>HYPERLINK("https://www.britishcycling.org.uk/points?person_id=239117&amp;year=2019&amp;type=national&amp;d=6","Results")</f>
        <v/>
      </c>
    </row>
    <row r="25" spans="1:5">
      <c r="A25" t="s">
        <v>92</v>
      </c>
      <c r="B25" t="s">
        <v>3443</v>
      </c>
      <c r="C25" t="s">
        <v>2915</v>
      </c>
      <c r="D25" t="s">
        <v>2287</v>
      </c>
      <c r="E25">
        <f>HYPERLINK("https://www.britishcycling.org.uk/points?person_id=40208&amp;year=2019&amp;type=national&amp;d=6","Results")</f>
        <v/>
      </c>
    </row>
    <row r="26" spans="1:5">
      <c r="A26" t="s">
        <v>96</v>
      </c>
      <c r="B26" t="s">
        <v>3444</v>
      </c>
      <c r="C26" t="s">
        <v>2682</v>
      </c>
      <c r="D26" t="s">
        <v>2275</v>
      </c>
      <c r="E26">
        <f>HYPERLINK("https://www.britishcycling.org.uk/points?person_id=8627&amp;year=2019&amp;type=national&amp;d=6","Results")</f>
        <v/>
      </c>
    </row>
    <row r="27" spans="1:5">
      <c r="A27" t="s">
        <v>99</v>
      </c>
      <c r="B27" t="s">
        <v>3445</v>
      </c>
      <c r="C27" t="s">
        <v>1874</v>
      </c>
      <c r="D27" t="s">
        <v>2232</v>
      </c>
      <c r="E27">
        <f>HYPERLINK("https://www.britishcycling.org.uk/points?person_id=41877&amp;year=2019&amp;type=national&amp;d=6","Results")</f>
        <v/>
      </c>
    </row>
    <row r="28" spans="1:5">
      <c r="A28" t="s">
        <v>103</v>
      </c>
      <c r="B28" t="s">
        <v>3446</v>
      </c>
      <c r="C28" t="s">
        <v>381</v>
      </c>
      <c r="D28" t="s">
        <v>1633</v>
      </c>
      <c r="E28">
        <f>HYPERLINK("https://www.britishcycling.org.uk/points?person_id=259706&amp;year=2019&amp;type=national&amp;d=6","Results")</f>
        <v/>
      </c>
    </row>
    <row r="29" spans="1:5">
      <c r="A29" t="s">
        <v>107</v>
      </c>
      <c r="B29" t="s">
        <v>3447</v>
      </c>
      <c r="C29" t="s">
        <v>1819</v>
      </c>
      <c r="D29" t="s">
        <v>1333</v>
      </c>
      <c r="E29">
        <f>HYPERLINK("https://www.britishcycling.org.uk/points?person_id=22247&amp;year=2019&amp;type=national&amp;d=6","Results")</f>
        <v/>
      </c>
    </row>
    <row r="30" spans="1:5">
      <c r="A30" t="s">
        <v>111</v>
      </c>
      <c r="B30" t="s">
        <v>3448</v>
      </c>
      <c r="C30" t="s">
        <v>1494</v>
      </c>
      <c r="D30" t="s">
        <v>2180</v>
      </c>
      <c r="E30">
        <f>HYPERLINK("https://www.britishcycling.org.uk/points?person_id=455977&amp;year=2019&amp;type=national&amp;d=6","Results")</f>
        <v/>
      </c>
    </row>
    <row r="31" spans="1:5">
      <c r="A31" t="s">
        <v>115</v>
      </c>
      <c r="B31" t="s">
        <v>2329</v>
      </c>
      <c r="C31" t="s">
        <v>15</v>
      </c>
      <c r="D31" t="s">
        <v>74</v>
      </c>
      <c r="E31">
        <f>HYPERLINK("https://www.britishcycling.org.uk/points?person_id=243205&amp;year=2019&amp;type=national&amp;d=6","Results")</f>
        <v/>
      </c>
    </row>
    <row r="32" spans="1:5">
      <c r="A32" t="s">
        <v>119</v>
      </c>
      <c r="B32" t="s">
        <v>1951</v>
      </c>
      <c r="C32" t="s">
        <v>1952</v>
      </c>
      <c r="D32" t="s">
        <v>2173</v>
      </c>
      <c r="E32">
        <f>HYPERLINK("https://www.britishcycling.org.uk/points?person_id=733322&amp;year=2019&amp;type=national&amp;d=6","Results")</f>
        <v/>
      </c>
    </row>
    <row r="33" spans="1:5">
      <c r="A33" t="s">
        <v>123</v>
      </c>
      <c r="B33" t="s">
        <v>3449</v>
      </c>
      <c r="C33" t="s">
        <v>1340</v>
      </c>
      <c r="D33" t="s">
        <v>2168</v>
      </c>
      <c r="E33">
        <f>HYPERLINK("https://www.britishcycling.org.uk/points?person_id=1176&amp;year=2019&amp;type=national&amp;d=6","Results")</f>
        <v/>
      </c>
    </row>
    <row r="34" spans="1:5">
      <c r="A34" t="s">
        <v>127</v>
      </c>
      <c r="B34" t="s">
        <v>3450</v>
      </c>
      <c r="C34" t="s">
        <v>223</v>
      </c>
      <c r="D34" t="s">
        <v>2135</v>
      </c>
      <c r="E34">
        <f>HYPERLINK("https://www.britishcycling.org.uk/points?person_id=457136&amp;year=2019&amp;type=national&amp;d=6","Results")</f>
        <v/>
      </c>
    </row>
    <row r="35" spans="1:5">
      <c r="A35" t="s">
        <v>130</v>
      </c>
      <c r="B35" t="s">
        <v>3451</v>
      </c>
      <c r="C35" t="s">
        <v>3452</v>
      </c>
      <c r="D35" t="s">
        <v>2105</v>
      </c>
      <c r="E35">
        <f>HYPERLINK("https://www.britishcycling.org.uk/points?person_id=14594&amp;year=2019&amp;type=national&amp;d=6","Results")</f>
        <v/>
      </c>
    </row>
    <row r="36" spans="1:5">
      <c r="A36" t="s">
        <v>133</v>
      </c>
      <c r="B36" t="s">
        <v>3453</v>
      </c>
      <c r="C36" t="s">
        <v>511</v>
      </c>
      <c r="D36" t="s">
        <v>88</v>
      </c>
      <c r="E36">
        <f>HYPERLINK("https://www.britishcycling.org.uk/points?person_id=36044&amp;year=2019&amp;type=national&amp;d=6","Results")</f>
        <v/>
      </c>
    </row>
    <row r="37" spans="1:5">
      <c r="A37" t="s">
        <v>137</v>
      </c>
      <c r="B37" t="s">
        <v>3454</v>
      </c>
      <c r="C37" t="s">
        <v>1719</v>
      </c>
      <c r="D37" t="s">
        <v>877</v>
      </c>
      <c r="E37">
        <f>HYPERLINK("https://www.britishcycling.org.uk/points?person_id=43477&amp;year=2019&amp;type=national&amp;d=6","Results")</f>
        <v/>
      </c>
    </row>
    <row r="38" spans="1:5">
      <c r="A38" t="s">
        <v>141</v>
      </c>
      <c r="B38" t="s">
        <v>3455</v>
      </c>
      <c r="C38" t="s">
        <v>511</v>
      </c>
      <c r="D38" t="s">
        <v>875</v>
      </c>
      <c r="E38">
        <f>HYPERLINK("https://www.britishcycling.org.uk/points?person_id=47789&amp;year=2019&amp;type=national&amp;d=6","Results")</f>
        <v/>
      </c>
    </row>
    <row r="39" spans="1:5">
      <c r="A39" t="s">
        <v>145</v>
      </c>
      <c r="B39" t="s">
        <v>3456</v>
      </c>
      <c r="C39" t="s">
        <v>23</v>
      </c>
      <c r="D39" t="s">
        <v>867</v>
      </c>
      <c r="E39">
        <f>HYPERLINK("https://www.britishcycling.org.uk/points?person_id=79108&amp;year=2019&amp;type=national&amp;d=6","Results")</f>
        <v/>
      </c>
    </row>
    <row r="40" spans="1:5">
      <c r="A40" t="s">
        <v>148</v>
      </c>
      <c r="B40" t="s">
        <v>3457</v>
      </c>
      <c r="C40" t="s">
        <v>1502</v>
      </c>
      <c r="D40" t="s">
        <v>854</v>
      </c>
      <c r="E40">
        <f>HYPERLINK("https://www.britishcycling.org.uk/points?person_id=59182&amp;year=2019&amp;type=national&amp;d=6","Results")</f>
        <v/>
      </c>
    </row>
    <row r="41" spans="1:5">
      <c r="A41" t="s">
        <v>151</v>
      </c>
      <c r="B41" t="s">
        <v>3458</v>
      </c>
      <c r="C41" t="s">
        <v>3459</v>
      </c>
      <c r="D41" t="s">
        <v>832</v>
      </c>
      <c r="E41">
        <f>HYPERLINK("https://www.britishcycling.org.uk/points?person_id=71756&amp;year=2019&amp;type=national&amp;d=6","Results")</f>
        <v/>
      </c>
    </row>
    <row r="42" spans="1:5">
      <c r="A42" t="s">
        <v>155</v>
      </c>
      <c r="B42" t="s">
        <v>3460</v>
      </c>
      <c r="C42" t="s">
        <v>879</v>
      </c>
      <c r="D42" t="s">
        <v>106</v>
      </c>
      <c r="E42">
        <f>HYPERLINK("https://www.britishcycling.org.uk/points?person_id=37075&amp;year=2019&amp;type=national&amp;d=6","Results")</f>
        <v/>
      </c>
    </row>
    <row r="43" spans="1:5">
      <c r="A43" t="s">
        <v>158</v>
      </c>
      <c r="B43" t="s">
        <v>3461</v>
      </c>
      <c r="C43" t="s">
        <v>2255</v>
      </c>
      <c r="D43" t="s">
        <v>825</v>
      </c>
      <c r="E43">
        <f>HYPERLINK("https://www.britishcycling.org.uk/points?person_id=23622&amp;year=2019&amp;type=national&amp;d=6","Results")</f>
        <v/>
      </c>
    </row>
    <row r="44" spans="1:5">
      <c r="A44" t="s">
        <v>161</v>
      </c>
      <c r="B44" t="s">
        <v>3462</v>
      </c>
      <c r="C44" t="s">
        <v>61</v>
      </c>
      <c r="D44" t="s">
        <v>806</v>
      </c>
      <c r="E44">
        <f>HYPERLINK("https://www.britishcycling.org.uk/points?person_id=14729&amp;year=2019&amp;type=national&amp;d=6","Results")</f>
        <v/>
      </c>
    </row>
    <row r="45" spans="1:5">
      <c r="A45" t="s">
        <v>165</v>
      </c>
      <c r="B45" t="s">
        <v>3463</v>
      </c>
      <c r="C45" t="s">
        <v>1760</v>
      </c>
      <c r="D45" t="s">
        <v>110</v>
      </c>
      <c r="E45">
        <f>HYPERLINK("https://www.britishcycling.org.uk/points?person_id=276279&amp;year=2019&amp;type=national&amp;d=6","Results")</f>
        <v/>
      </c>
    </row>
    <row r="46" spans="1:5">
      <c r="A46" t="s">
        <v>168</v>
      </c>
      <c r="B46" t="s">
        <v>3464</v>
      </c>
      <c r="C46" t="s">
        <v>1411</v>
      </c>
      <c r="D46" t="s">
        <v>786</v>
      </c>
      <c r="E46">
        <f>HYPERLINK("https://www.britishcycling.org.uk/points?person_id=78190&amp;year=2019&amp;type=national&amp;d=6","Results")</f>
        <v/>
      </c>
    </row>
    <row r="47" spans="1:5">
      <c r="A47" t="s">
        <v>172</v>
      </c>
      <c r="B47" t="s">
        <v>3465</v>
      </c>
      <c r="C47" t="s">
        <v>1762</v>
      </c>
      <c r="D47" t="s">
        <v>782</v>
      </c>
      <c r="E47">
        <f>HYPERLINK("https://www.britishcycling.org.uk/points?person_id=51576&amp;year=2019&amp;type=national&amp;d=6","Results")</f>
        <v/>
      </c>
    </row>
    <row r="48" spans="1:5">
      <c r="A48" t="s">
        <v>176</v>
      </c>
      <c r="B48" t="s">
        <v>3466</v>
      </c>
      <c r="C48" t="s">
        <v>1635</v>
      </c>
      <c r="D48" t="s">
        <v>777</v>
      </c>
      <c r="E48">
        <f>HYPERLINK("https://www.britishcycling.org.uk/points?person_id=352578&amp;year=2019&amp;type=national&amp;d=6","Results")</f>
        <v/>
      </c>
    </row>
    <row r="49" spans="1:5">
      <c r="A49" t="s">
        <v>180</v>
      </c>
      <c r="B49" t="s">
        <v>3467</v>
      </c>
      <c r="C49" t="s">
        <v>2968</v>
      </c>
      <c r="D49" t="s">
        <v>762</v>
      </c>
      <c r="E49">
        <f>HYPERLINK("https://www.britishcycling.org.uk/points?person_id=540665&amp;year=2019&amp;type=national&amp;d=6","Results")</f>
        <v/>
      </c>
    </row>
    <row r="50" spans="1:5">
      <c r="A50" t="s">
        <v>184</v>
      </c>
      <c r="B50" t="s">
        <v>3468</v>
      </c>
      <c r="C50" t="s">
        <v>2196</v>
      </c>
      <c r="D50" t="s">
        <v>118</v>
      </c>
      <c r="E50">
        <f>HYPERLINK("https://www.britishcycling.org.uk/points?person_id=19344&amp;year=2019&amp;type=national&amp;d=6","Results")</f>
        <v/>
      </c>
    </row>
    <row r="51" spans="1:5">
      <c r="A51" t="s">
        <v>188</v>
      </c>
      <c r="B51" t="s">
        <v>3469</v>
      </c>
      <c r="C51" t="s">
        <v>223</v>
      </c>
      <c r="D51" t="s">
        <v>118</v>
      </c>
      <c r="E51">
        <f>HYPERLINK("https://www.britishcycling.org.uk/points?person_id=132305&amp;year=2019&amp;type=national&amp;d=6","Results")</f>
        <v/>
      </c>
    </row>
    <row r="52" spans="1:5">
      <c r="A52" t="s">
        <v>192</v>
      </c>
      <c r="B52" t="s">
        <v>3470</v>
      </c>
      <c r="C52" t="s">
        <v>3471</v>
      </c>
      <c r="D52" t="s">
        <v>122</v>
      </c>
      <c r="E52">
        <f>HYPERLINK("https://www.britishcycling.org.uk/points?person_id=510171&amp;year=2019&amp;type=national&amp;d=6","Results")</f>
        <v/>
      </c>
    </row>
    <row r="53" spans="1:5">
      <c r="A53" t="s">
        <v>196</v>
      </c>
      <c r="B53" t="s">
        <v>3472</v>
      </c>
      <c r="C53" t="s">
        <v>2178</v>
      </c>
      <c r="D53" t="s">
        <v>756</v>
      </c>
      <c r="E53">
        <f>HYPERLINK("https://www.britishcycling.org.uk/points?person_id=72838&amp;year=2019&amp;type=national&amp;d=6","Results")</f>
        <v/>
      </c>
    </row>
    <row r="54" spans="1:5">
      <c r="A54" t="s">
        <v>199</v>
      </c>
      <c r="B54" t="s">
        <v>3473</v>
      </c>
      <c r="C54" t="s">
        <v>312</v>
      </c>
      <c r="D54" t="s">
        <v>126</v>
      </c>
      <c r="E54">
        <f>HYPERLINK("https://www.britishcycling.org.uk/points?person_id=332696&amp;year=2019&amp;type=national&amp;d=6","Results")</f>
        <v/>
      </c>
    </row>
    <row r="55" spans="1:5">
      <c r="A55" t="s">
        <v>203</v>
      </c>
      <c r="B55" t="s">
        <v>3474</v>
      </c>
      <c r="C55" t="s">
        <v>3427</v>
      </c>
      <c r="D55" t="s">
        <v>751</v>
      </c>
      <c r="E55">
        <f>HYPERLINK("https://www.britishcycling.org.uk/points?person_id=385861&amp;year=2019&amp;type=national&amp;d=6","Results")</f>
        <v/>
      </c>
    </row>
    <row r="56" spans="1:5">
      <c r="A56" t="s">
        <v>207</v>
      </c>
      <c r="B56" t="s">
        <v>3475</v>
      </c>
      <c r="C56" t="s">
        <v>3476</v>
      </c>
      <c r="D56" t="s">
        <v>739</v>
      </c>
      <c r="E56">
        <f>HYPERLINK("https://www.britishcycling.org.uk/points?person_id=519973&amp;year=2019&amp;type=national&amp;d=6","Results")</f>
        <v/>
      </c>
    </row>
    <row r="57" spans="1:5">
      <c r="A57" t="s">
        <v>210</v>
      </c>
      <c r="B57" t="s">
        <v>3477</v>
      </c>
      <c r="C57" t="s">
        <v>3019</v>
      </c>
      <c r="D57" t="s">
        <v>716</v>
      </c>
      <c r="E57">
        <f>HYPERLINK("https://www.britishcycling.org.uk/points?person_id=124029&amp;year=2019&amp;type=national&amp;d=6","Results")</f>
        <v/>
      </c>
    </row>
    <row r="58" spans="1:5">
      <c r="A58" t="s">
        <v>214</v>
      </c>
      <c r="B58" t="s">
        <v>3478</v>
      </c>
      <c r="C58" t="s">
        <v>216</v>
      </c>
      <c r="D58" t="s">
        <v>705</v>
      </c>
      <c r="E58">
        <f>HYPERLINK("https://www.britishcycling.org.uk/points?person_id=129344&amp;year=2019&amp;type=national&amp;d=6","Results")</f>
        <v/>
      </c>
    </row>
    <row r="59" spans="1:5">
      <c r="A59" t="s">
        <v>218</v>
      </c>
      <c r="B59" t="s">
        <v>3479</v>
      </c>
      <c r="C59" t="s">
        <v>392</v>
      </c>
      <c r="D59" t="s">
        <v>699</v>
      </c>
      <c r="E59">
        <f>HYPERLINK("https://www.britishcycling.org.uk/points?person_id=106141&amp;year=2019&amp;type=national&amp;d=6","Results")</f>
        <v/>
      </c>
    </row>
    <row r="60" spans="1:5">
      <c r="A60" t="s">
        <v>221</v>
      </c>
      <c r="B60" t="s">
        <v>3480</v>
      </c>
      <c r="C60" t="s">
        <v>1370</v>
      </c>
      <c r="D60" t="s">
        <v>697</v>
      </c>
      <c r="E60">
        <f>HYPERLINK("https://www.britishcycling.org.uk/points?person_id=60973&amp;year=2019&amp;type=national&amp;d=6","Results")</f>
        <v/>
      </c>
    </row>
    <row r="61" spans="1:5">
      <c r="A61" t="s">
        <v>225</v>
      </c>
      <c r="B61" t="s">
        <v>3481</v>
      </c>
      <c r="C61" t="s">
        <v>2274</v>
      </c>
      <c r="D61" t="s">
        <v>132</v>
      </c>
      <c r="E61">
        <f>HYPERLINK("https://www.britishcycling.org.uk/points?person_id=228740&amp;year=2019&amp;type=national&amp;d=6","Results")</f>
        <v/>
      </c>
    </row>
    <row r="62" spans="1:5">
      <c r="A62" t="s">
        <v>228</v>
      </c>
      <c r="B62" t="s">
        <v>3482</v>
      </c>
      <c r="C62" t="s">
        <v>1874</v>
      </c>
      <c r="D62" t="s">
        <v>685</v>
      </c>
      <c r="E62">
        <f>HYPERLINK("https://www.britishcycling.org.uk/points?person_id=70789&amp;year=2019&amp;type=national&amp;d=6","Results")</f>
        <v/>
      </c>
    </row>
    <row r="63" spans="1:5">
      <c r="A63" t="s">
        <v>232</v>
      </c>
      <c r="B63" t="s">
        <v>3483</v>
      </c>
      <c r="C63" t="s">
        <v>2968</v>
      </c>
      <c r="D63" t="s">
        <v>679</v>
      </c>
      <c r="E63">
        <f>HYPERLINK("https://www.britishcycling.org.uk/points?person_id=587918&amp;year=2019&amp;type=national&amp;d=6","Results")</f>
        <v/>
      </c>
    </row>
    <row r="64" spans="1:5">
      <c r="A64" t="s">
        <v>236</v>
      </c>
      <c r="B64" t="s">
        <v>3484</v>
      </c>
      <c r="C64" t="s">
        <v>3193</v>
      </c>
      <c r="D64" t="s">
        <v>668</v>
      </c>
      <c r="E64">
        <f>HYPERLINK("https://www.britishcycling.org.uk/points?person_id=5881&amp;year=2019&amp;type=national&amp;d=6","Results")</f>
        <v/>
      </c>
    </row>
    <row r="65" spans="1:5">
      <c r="A65" t="s">
        <v>239</v>
      </c>
      <c r="B65" t="s">
        <v>3485</v>
      </c>
      <c r="C65" t="s"/>
      <c r="D65" t="s">
        <v>649</v>
      </c>
      <c r="E65">
        <f>HYPERLINK("https://www.britishcycling.org.uk/points?person_id=105151&amp;year=2019&amp;type=national&amp;d=6","Results")</f>
        <v/>
      </c>
    </row>
    <row r="66" spans="1:5">
      <c r="A66" t="s">
        <v>241</v>
      </c>
      <c r="B66" t="s">
        <v>3486</v>
      </c>
      <c r="C66" t="s">
        <v>1819</v>
      </c>
      <c r="D66" t="s">
        <v>634</v>
      </c>
      <c r="E66">
        <f>HYPERLINK("https://www.britishcycling.org.uk/points?person_id=270101&amp;year=2019&amp;type=national&amp;d=6","Results")</f>
        <v/>
      </c>
    </row>
    <row r="67" spans="1:5">
      <c r="A67" t="s">
        <v>244</v>
      </c>
      <c r="B67" t="s">
        <v>3487</v>
      </c>
      <c r="C67" t="s">
        <v>1494</v>
      </c>
      <c r="D67" t="s">
        <v>171</v>
      </c>
      <c r="E67">
        <f>HYPERLINK("https://www.britishcycling.org.uk/points?person_id=5933&amp;year=2019&amp;type=national&amp;d=6","Results")</f>
        <v/>
      </c>
    </row>
    <row r="68" spans="1:5">
      <c r="A68" t="s">
        <v>247</v>
      </c>
      <c r="B68" t="s">
        <v>3488</v>
      </c>
      <c r="C68" t="s">
        <v>1195</v>
      </c>
      <c r="D68" t="s">
        <v>175</v>
      </c>
      <c r="E68">
        <f>HYPERLINK("https://www.britishcycling.org.uk/points?person_id=345399&amp;year=2019&amp;type=national&amp;d=6","Results")</f>
        <v/>
      </c>
    </row>
    <row r="69" spans="1:5">
      <c r="A69" t="s">
        <v>250</v>
      </c>
      <c r="B69" t="s">
        <v>3489</v>
      </c>
      <c r="C69" t="s"/>
      <c r="D69" t="s">
        <v>623</v>
      </c>
      <c r="E69">
        <f>HYPERLINK("https://www.britishcycling.org.uk/points?person_id=50404&amp;year=2019&amp;type=national&amp;d=6","Results")</f>
        <v/>
      </c>
    </row>
    <row r="70" spans="1:5">
      <c r="A70" t="s">
        <v>254</v>
      </c>
      <c r="B70" t="s">
        <v>3490</v>
      </c>
      <c r="C70" t="s">
        <v>3113</v>
      </c>
      <c r="D70" t="s">
        <v>623</v>
      </c>
      <c r="E70">
        <f>HYPERLINK("https://www.britishcycling.org.uk/points?person_id=53000&amp;year=2019&amp;type=national&amp;d=6","Results")</f>
        <v/>
      </c>
    </row>
    <row r="71" spans="1:5">
      <c r="A71" t="s">
        <v>257</v>
      </c>
      <c r="B71" t="s">
        <v>3491</v>
      </c>
      <c r="C71" t="s">
        <v>2535</v>
      </c>
      <c r="D71" t="s">
        <v>621</v>
      </c>
      <c r="E71">
        <f>HYPERLINK("https://www.britishcycling.org.uk/points?person_id=60593&amp;year=2019&amp;type=national&amp;d=6","Results")</f>
        <v/>
      </c>
    </row>
    <row r="72" spans="1:5">
      <c r="A72" t="s">
        <v>260</v>
      </c>
      <c r="B72" t="s">
        <v>3492</v>
      </c>
      <c r="C72" t="s">
        <v>1126</v>
      </c>
      <c r="D72" t="s">
        <v>619</v>
      </c>
      <c r="E72">
        <f>HYPERLINK("https://www.britishcycling.org.uk/points?person_id=33107&amp;year=2019&amp;type=national&amp;d=6","Results")</f>
        <v/>
      </c>
    </row>
    <row r="73" spans="1:5">
      <c r="A73" t="s">
        <v>264</v>
      </c>
      <c r="B73" t="s">
        <v>3493</v>
      </c>
      <c r="C73" t="s">
        <v>584</v>
      </c>
      <c r="D73" t="s">
        <v>179</v>
      </c>
      <c r="E73">
        <f>HYPERLINK("https://www.britishcycling.org.uk/points?person_id=8603&amp;year=2019&amp;type=national&amp;d=6","Results")</f>
        <v/>
      </c>
    </row>
    <row r="74" spans="1:5">
      <c r="A74" t="s">
        <v>267</v>
      </c>
      <c r="B74" t="s">
        <v>3494</v>
      </c>
      <c r="C74" t="s"/>
      <c r="D74" t="s">
        <v>616</v>
      </c>
      <c r="E74">
        <f>HYPERLINK("https://www.britishcycling.org.uk/points?person_id=300075&amp;year=2019&amp;type=national&amp;d=6","Results")</f>
        <v/>
      </c>
    </row>
    <row r="75" spans="1:5">
      <c r="A75" t="s">
        <v>270</v>
      </c>
      <c r="B75" t="s">
        <v>3495</v>
      </c>
      <c r="C75" t="s">
        <v>170</v>
      </c>
      <c r="D75" t="s">
        <v>613</v>
      </c>
      <c r="E75">
        <f>HYPERLINK("https://www.britishcycling.org.uk/points?person_id=49629&amp;year=2019&amp;type=national&amp;d=6","Results")</f>
        <v/>
      </c>
    </row>
    <row r="76" spans="1:5">
      <c r="A76" t="s">
        <v>274</v>
      </c>
      <c r="B76" t="s">
        <v>3200</v>
      </c>
      <c r="C76" t="s">
        <v>3496</v>
      </c>
      <c r="D76" t="s">
        <v>602</v>
      </c>
      <c r="E76">
        <f>HYPERLINK("https://www.britishcycling.org.uk/points?person_id=15030&amp;year=2019&amp;type=national&amp;d=6","Results")</f>
        <v/>
      </c>
    </row>
    <row r="77" spans="1:5">
      <c r="A77" t="s">
        <v>277</v>
      </c>
      <c r="B77" t="s">
        <v>3497</v>
      </c>
      <c r="C77" t="s"/>
      <c r="D77" t="s">
        <v>600</v>
      </c>
      <c r="E77">
        <f>HYPERLINK("https://www.britishcycling.org.uk/points?person_id=36511&amp;year=2019&amp;type=national&amp;d=6","Results")</f>
        <v/>
      </c>
    </row>
    <row r="78" spans="1:5">
      <c r="A78" t="s">
        <v>281</v>
      </c>
      <c r="B78" t="s">
        <v>3498</v>
      </c>
      <c r="C78" t="s">
        <v>2968</v>
      </c>
      <c r="D78" t="s">
        <v>183</v>
      </c>
      <c r="E78">
        <f>HYPERLINK("https://www.britishcycling.org.uk/points?person_id=26005&amp;year=2019&amp;type=national&amp;d=6","Results")</f>
        <v/>
      </c>
    </row>
    <row r="79" spans="1:5">
      <c r="A79" t="s">
        <v>285</v>
      </c>
      <c r="B79" t="s">
        <v>3499</v>
      </c>
      <c r="C79" t="s">
        <v>1648</v>
      </c>
      <c r="D79" t="s">
        <v>183</v>
      </c>
      <c r="E79">
        <f>HYPERLINK("https://www.britishcycling.org.uk/points?person_id=73598&amp;year=2019&amp;type=national&amp;d=6","Results")</f>
        <v/>
      </c>
    </row>
    <row r="80" spans="1:5">
      <c r="A80" t="s">
        <v>289</v>
      </c>
      <c r="B80" t="s">
        <v>3500</v>
      </c>
      <c r="C80" t="s">
        <v>1931</v>
      </c>
      <c r="D80" t="s">
        <v>585</v>
      </c>
      <c r="E80">
        <f>HYPERLINK("https://www.britishcycling.org.uk/points?person_id=526187&amp;year=2019&amp;type=national&amp;d=6","Results")</f>
        <v/>
      </c>
    </row>
    <row r="81" spans="1:5">
      <c r="A81" t="s">
        <v>293</v>
      </c>
      <c r="B81" t="s">
        <v>3501</v>
      </c>
      <c r="C81" t="s">
        <v>3502</v>
      </c>
      <c r="D81" t="s">
        <v>571</v>
      </c>
      <c r="E81">
        <f>HYPERLINK("https://www.britishcycling.org.uk/points?person_id=123893&amp;year=2019&amp;type=national&amp;d=6","Results")</f>
        <v/>
      </c>
    </row>
    <row r="82" spans="1:5">
      <c r="A82" t="s">
        <v>297</v>
      </c>
      <c r="B82" t="s">
        <v>3503</v>
      </c>
      <c r="C82" t="s">
        <v>1936</v>
      </c>
      <c r="D82" t="s">
        <v>571</v>
      </c>
      <c r="E82">
        <f>HYPERLINK("https://www.britishcycling.org.uk/points?person_id=49474&amp;year=2019&amp;type=national&amp;d=6","Results")</f>
        <v/>
      </c>
    </row>
    <row r="83" spans="1:5">
      <c r="A83" t="s">
        <v>301</v>
      </c>
      <c r="B83" t="s">
        <v>3504</v>
      </c>
      <c r="C83" t="s">
        <v>1717</v>
      </c>
      <c r="D83" t="s">
        <v>555</v>
      </c>
      <c r="E83">
        <f>HYPERLINK("https://www.britishcycling.org.uk/points?person_id=35291&amp;year=2019&amp;type=national&amp;d=6","Results")</f>
        <v/>
      </c>
    </row>
    <row r="84" spans="1:5">
      <c r="A84" t="s">
        <v>304</v>
      </c>
      <c r="B84" t="s">
        <v>3505</v>
      </c>
      <c r="C84" t="s">
        <v>1370</v>
      </c>
      <c r="D84" t="s">
        <v>552</v>
      </c>
      <c r="E84">
        <f>HYPERLINK("https://www.britishcycling.org.uk/points?person_id=244886&amp;year=2019&amp;type=national&amp;d=6","Results")</f>
        <v/>
      </c>
    </row>
    <row r="85" spans="1:5">
      <c r="A85" t="s">
        <v>307</v>
      </c>
      <c r="B85" t="s">
        <v>3506</v>
      </c>
      <c r="C85" t="s">
        <v>174</v>
      </c>
      <c r="D85" t="s">
        <v>542</v>
      </c>
      <c r="E85">
        <f>HYPERLINK("https://www.britishcycling.org.uk/points?person_id=51731&amp;year=2019&amp;type=national&amp;d=6","Results")</f>
        <v/>
      </c>
    </row>
    <row r="86" spans="1:5">
      <c r="A86" t="s">
        <v>310</v>
      </c>
      <c r="B86" t="s">
        <v>3507</v>
      </c>
      <c r="C86" t="s">
        <v>1726</v>
      </c>
      <c r="D86" t="s">
        <v>539</v>
      </c>
      <c r="E86">
        <f>HYPERLINK("https://www.britishcycling.org.uk/points?person_id=824229&amp;year=2019&amp;type=national&amp;d=6","Results")</f>
        <v/>
      </c>
    </row>
    <row r="87" spans="1:5">
      <c r="A87" t="s">
        <v>313</v>
      </c>
      <c r="B87" t="s">
        <v>3508</v>
      </c>
      <c r="C87" t="s">
        <v>663</v>
      </c>
      <c r="D87" t="s">
        <v>534</v>
      </c>
      <c r="E87">
        <f>HYPERLINK("https://www.britishcycling.org.uk/points?person_id=630429&amp;year=2019&amp;type=national&amp;d=6","Results")</f>
        <v/>
      </c>
    </row>
    <row r="88" spans="1:5">
      <c r="A88" t="s">
        <v>317</v>
      </c>
      <c r="B88" t="s">
        <v>3509</v>
      </c>
      <c r="C88" t="s">
        <v>1494</v>
      </c>
      <c r="D88" t="s">
        <v>527</v>
      </c>
      <c r="E88">
        <f>HYPERLINK("https://www.britishcycling.org.uk/points?person_id=68833&amp;year=2019&amp;type=national&amp;d=6","Results")</f>
        <v/>
      </c>
    </row>
    <row r="89" spans="1:5">
      <c r="A89" t="s">
        <v>319</v>
      </c>
      <c r="B89" t="s">
        <v>3510</v>
      </c>
      <c r="C89" t="s">
        <v>3511</v>
      </c>
      <c r="D89" t="s">
        <v>527</v>
      </c>
      <c r="E89">
        <f>HYPERLINK("https://www.britishcycling.org.uk/points?person_id=735728&amp;year=2019&amp;type=national&amp;d=6","Results")</f>
        <v/>
      </c>
    </row>
    <row r="90" spans="1:5">
      <c r="A90" t="s">
        <v>322</v>
      </c>
      <c r="B90" t="s">
        <v>3512</v>
      </c>
      <c r="C90" t="s">
        <v>3511</v>
      </c>
      <c r="D90" t="s">
        <v>209</v>
      </c>
      <c r="E90">
        <f>HYPERLINK("https://www.britishcycling.org.uk/points?person_id=17101&amp;year=2019&amp;type=national&amp;d=6","Results")</f>
        <v/>
      </c>
    </row>
    <row r="91" spans="1:5">
      <c r="A91" t="s">
        <v>326</v>
      </c>
      <c r="B91" t="s">
        <v>3513</v>
      </c>
      <c r="C91" t="s">
        <v>3110</v>
      </c>
      <c r="D91" t="s">
        <v>523</v>
      </c>
      <c r="E91">
        <f>HYPERLINK("https://www.britishcycling.org.uk/points?person_id=61995&amp;year=2019&amp;type=national&amp;d=6","Results")</f>
        <v/>
      </c>
    </row>
    <row r="92" spans="1:5">
      <c r="A92" t="s">
        <v>329</v>
      </c>
      <c r="B92" t="s">
        <v>3514</v>
      </c>
      <c r="C92" t="s">
        <v>3515</v>
      </c>
      <c r="D92" t="s">
        <v>217</v>
      </c>
      <c r="E92">
        <f>HYPERLINK("https://www.britishcycling.org.uk/points?person_id=64215&amp;year=2019&amp;type=national&amp;d=6","Results")</f>
        <v/>
      </c>
    </row>
    <row r="93" spans="1:5">
      <c r="A93" t="s">
        <v>333</v>
      </c>
      <c r="B93" t="s">
        <v>3516</v>
      </c>
      <c r="C93" t="s">
        <v>1947</v>
      </c>
      <c r="D93" t="s">
        <v>509</v>
      </c>
      <c r="E93">
        <f>HYPERLINK("https://www.britishcycling.org.uk/points?person_id=300819&amp;year=2019&amp;type=national&amp;d=6","Results")</f>
        <v/>
      </c>
    </row>
    <row r="94" spans="1:5">
      <c r="A94" t="s">
        <v>337</v>
      </c>
      <c r="B94" t="s">
        <v>3517</v>
      </c>
      <c r="C94" t="s">
        <v>3518</v>
      </c>
      <c r="D94" t="s">
        <v>507</v>
      </c>
      <c r="E94">
        <f>HYPERLINK("https://www.britishcycling.org.uk/points?person_id=61025&amp;year=2019&amp;type=national&amp;d=6","Results")</f>
        <v/>
      </c>
    </row>
    <row r="95" spans="1:5">
      <c r="A95" t="s">
        <v>341</v>
      </c>
      <c r="B95" t="s">
        <v>3519</v>
      </c>
      <c r="C95" t="s">
        <v>113</v>
      </c>
      <c r="D95" t="s">
        <v>496</v>
      </c>
      <c r="E95">
        <f>HYPERLINK("https://www.britishcycling.org.uk/points?person_id=41394&amp;year=2019&amp;type=national&amp;d=6","Results")</f>
        <v/>
      </c>
    </row>
    <row r="96" spans="1:5">
      <c r="A96" t="s">
        <v>344</v>
      </c>
      <c r="B96" t="s">
        <v>3520</v>
      </c>
      <c r="C96" t="s">
        <v>1874</v>
      </c>
      <c r="D96" t="s">
        <v>231</v>
      </c>
      <c r="E96">
        <f>HYPERLINK("https://www.britishcycling.org.uk/points?person_id=124493&amp;year=2019&amp;type=national&amp;d=6","Results")</f>
        <v/>
      </c>
    </row>
    <row r="97" spans="1:5">
      <c r="A97" t="s">
        <v>347</v>
      </c>
      <c r="B97" t="s">
        <v>3521</v>
      </c>
      <c r="C97" t="s">
        <v>113</v>
      </c>
      <c r="D97" t="s">
        <v>231</v>
      </c>
      <c r="E97">
        <f>HYPERLINK("https://www.britishcycling.org.uk/points?person_id=6251&amp;year=2019&amp;type=national&amp;d=6","Results")</f>
        <v/>
      </c>
    </row>
    <row r="98" spans="1:5">
      <c r="A98" t="s">
        <v>350</v>
      </c>
      <c r="B98" t="s">
        <v>3522</v>
      </c>
      <c r="C98" t="s">
        <v>1819</v>
      </c>
      <c r="D98" t="s">
        <v>235</v>
      </c>
      <c r="E98">
        <f>HYPERLINK("https://www.britishcycling.org.uk/points?person_id=34851&amp;year=2019&amp;type=national&amp;d=6","Results")</f>
        <v/>
      </c>
    </row>
    <row r="99" spans="1:5">
      <c r="A99" t="s">
        <v>352</v>
      </c>
      <c r="B99" t="s">
        <v>3523</v>
      </c>
      <c r="C99" t="s">
        <v>3524</v>
      </c>
      <c r="D99" t="s">
        <v>235</v>
      </c>
      <c r="E99">
        <f>HYPERLINK("https://www.britishcycling.org.uk/points?person_id=188647&amp;year=2019&amp;type=national&amp;d=6","Results")</f>
        <v/>
      </c>
    </row>
    <row r="100" spans="1:5">
      <c r="A100" t="s">
        <v>349</v>
      </c>
      <c r="B100" t="s">
        <v>3525</v>
      </c>
      <c r="C100" t="s">
        <v>2874</v>
      </c>
      <c r="D100" t="s">
        <v>484</v>
      </c>
      <c r="E100">
        <f>HYPERLINK("https://www.britishcycling.org.uk/points?person_id=408822&amp;year=2019&amp;type=national&amp;d=6","Results")</f>
        <v/>
      </c>
    </row>
    <row r="101" spans="1:5">
      <c r="A101" t="s">
        <v>356</v>
      </c>
      <c r="B101" t="s">
        <v>3526</v>
      </c>
      <c r="C101" t="s">
        <v>1498</v>
      </c>
      <c r="D101" t="s">
        <v>482</v>
      </c>
      <c r="E101">
        <f>HYPERLINK("https://www.britishcycling.org.uk/points?person_id=75729&amp;year=2019&amp;type=national&amp;d=6","Results")</f>
        <v/>
      </c>
    </row>
    <row r="102" spans="1:5">
      <c r="A102" t="s">
        <v>359</v>
      </c>
      <c r="B102" t="s">
        <v>3527</v>
      </c>
      <c r="C102" t="s">
        <v>693</v>
      </c>
      <c r="D102" t="s">
        <v>256</v>
      </c>
      <c r="E102">
        <f>HYPERLINK("https://www.britishcycling.org.uk/points?person_id=76582&amp;year=2019&amp;type=national&amp;d=6","Results")</f>
        <v/>
      </c>
    </row>
    <row r="103" spans="1:5">
      <c r="A103" t="s">
        <v>343</v>
      </c>
      <c r="B103" t="s">
        <v>3528</v>
      </c>
      <c r="C103" t="s">
        <v>595</v>
      </c>
      <c r="D103" t="s">
        <v>256</v>
      </c>
      <c r="E103">
        <f>HYPERLINK("https://www.britishcycling.org.uk/points?person_id=380531&amp;year=2019&amp;type=national&amp;d=6","Results")</f>
        <v/>
      </c>
    </row>
    <row r="104" spans="1:5">
      <c r="A104" t="s">
        <v>364</v>
      </c>
      <c r="B104" t="s">
        <v>3529</v>
      </c>
      <c r="C104" t="s">
        <v>139</v>
      </c>
      <c r="D104" t="s">
        <v>454</v>
      </c>
      <c r="E104">
        <f>HYPERLINK("https://www.britishcycling.org.uk/points?person_id=299937&amp;year=2019&amp;type=national&amp;d=6","Results")</f>
        <v/>
      </c>
    </row>
    <row r="105" spans="1:5">
      <c r="A105" t="s">
        <v>340</v>
      </c>
      <c r="B105" t="s">
        <v>3530</v>
      </c>
      <c r="C105" t="s">
        <v>1467</v>
      </c>
      <c r="D105" t="s">
        <v>450</v>
      </c>
      <c r="E105">
        <f>HYPERLINK("https://www.britishcycling.org.uk/points?person_id=439944&amp;year=2019&amp;type=national&amp;d=6","Results")</f>
        <v/>
      </c>
    </row>
    <row r="106" spans="1:5">
      <c r="A106" t="s">
        <v>368</v>
      </c>
      <c r="B106" t="s">
        <v>3531</v>
      </c>
      <c r="C106" t="s">
        <v>2159</v>
      </c>
      <c r="D106" t="s">
        <v>448</v>
      </c>
      <c r="E106">
        <f>HYPERLINK("https://www.britishcycling.org.uk/points?person_id=186229&amp;year=2019&amp;type=national&amp;d=6","Results")</f>
        <v/>
      </c>
    </row>
    <row r="107" spans="1:5">
      <c r="A107" t="s">
        <v>370</v>
      </c>
      <c r="B107" t="s">
        <v>3532</v>
      </c>
      <c r="C107" t="s">
        <v>272</v>
      </c>
      <c r="D107" t="s">
        <v>263</v>
      </c>
      <c r="E107">
        <f>HYPERLINK("https://www.britishcycling.org.uk/points?person_id=259269&amp;year=2019&amp;type=national&amp;d=6","Results")</f>
        <v/>
      </c>
    </row>
    <row r="108" spans="1:5">
      <c r="A108" t="s">
        <v>372</v>
      </c>
      <c r="B108" t="s">
        <v>3533</v>
      </c>
      <c r="C108" t="s">
        <v>1945</v>
      </c>
      <c r="D108" t="s">
        <v>263</v>
      </c>
      <c r="E108">
        <f>HYPERLINK("https://www.britishcycling.org.uk/points?person_id=14900&amp;year=2019&amp;type=national&amp;d=6","Results")</f>
        <v/>
      </c>
    </row>
    <row r="109" spans="1:5">
      <c r="A109" t="s">
        <v>374</v>
      </c>
      <c r="B109" t="s">
        <v>3534</v>
      </c>
      <c r="C109" t="s">
        <v>283</v>
      </c>
      <c r="D109" t="s">
        <v>273</v>
      </c>
      <c r="E109">
        <f>HYPERLINK("https://www.britishcycling.org.uk/points?person_id=22608&amp;year=2019&amp;type=national&amp;d=6","Results")</f>
        <v/>
      </c>
    </row>
    <row r="110" spans="1:5">
      <c r="A110" t="s">
        <v>377</v>
      </c>
      <c r="B110" t="s">
        <v>3535</v>
      </c>
      <c r="C110" t="s">
        <v>3536</v>
      </c>
      <c r="D110" t="s">
        <v>439</v>
      </c>
      <c r="E110">
        <f>HYPERLINK("https://www.britishcycling.org.uk/points?person_id=176276&amp;year=2019&amp;type=national&amp;d=6","Results")</f>
        <v/>
      </c>
    </row>
    <row r="111" spans="1:5">
      <c r="A111" t="s">
        <v>336</v>
      </c>
      <c r="B111" t="s">
        <v>3537</v>
      </c>
      <c r="C111" t="s">
        <v>1819</v>
      </c>
      <c r="D111" t="s">
        <v>280</v>
      </c>
      <c r="E111">
        <f>HYPERLINK("https://www.britishcycling.org.uk/points?person_id=99839&amp;year=2019&amp;type=national&amp;d=6","Results")</f>
        <v/>
      </c>
    </row>
    <row r="112" spans="1:5">
      <c r="A112" t="s">
        <v>332</v>
      </c>
      <c r="B112" t="s">
        <v>3538</v>
      </c>
      <c r="C112" t="s"/>
      <c r="D112" t="s">
        <v>280</v>
      </c>
      <c r="E112">
        <f>HYPERLINK("https://www.britishcycling.org.uk/points?person_id=46015&amp;year=2019&amp;type=national&amp;d=6","Results")</f>
        <v/>
      </c>
    </row>
    <row r="113" spans="1:5">
      <c r="A113" t="s">
        <v>384</v>
      </c>
      <c r="B113" t="s">
        <v>3539</v>
      </c>
      <c r="C113" t="s">
        <v>381</v>
      </c>
      <c r="D113" t="s">
        <v>280</v>
      </c>
      <c r="E113">
        <f>HYPERLINK("https://www.britishcycling.org.uk/points?person_id=965660&amp;year=2019&amp;type=national&amp;d=6","Results")</f>
        <v/>
      </c>
    </row>
    <row r="114" spans="1:5">
      <c r="A114" t="s">
        <v>387</v>
      </c>
      <c r="B114" t="s">
        <v>3540</v>
      </c>
      <c r="C114" t="s">
        <v>1635</v>
      </c>
      <c r="D114" t="s">
        <v>430</v>
      </c>
      <c r="E114">
        <f>HYPERLINK("https://www.britishcycling.org.uk/points?person_id=27425&amp;year=2019&amp;type=national&amp;d=6","Results")</f>
        <v/>
      </c>
    </row>
    <row r="115" spans="1:5">
      <c r="A115" t="s">
        <v>389</v>
      </c>
      <c r="B115" t="s">
        <v>3541</v>
      </c>
      <c r="C115" t="s">
        <v>324</v>
      </c>
      <c r="D115" t="s">
        <v>284</v>
      </c>
      <c r="E115">
        <f>HYPERLINK("https://www.britishcycling.org.uk/points?person_id=516449&amp;year=2019&amp;type=national&amp;d=6","Results")</f>
        <v/>
      </c>
    </row>
    <row r="116" spans="1:5">
      <c r="A116" t="s">
        <v>325</v>
      </c>
      <c r="B116" t="s">
        <v>3542</v>
      </c>
      <c r="C116" t="s">
        <v>3543</v>
      </c>
      <c r="D116" t="s">
        <v>292</v>
      </c>
      <c r="E116">
        <f>HYPERLINK("https://www.britishcycling.org.uk/points?person_id=291240&amp;year=2019&amp;type=national&amp;d=6","Results")</f>
        <v/>
      </c>
    </row>
    <row r="117" spans="1:5">
      <c r="A117" t="s">
        <v>393</v>
      </c>
      <c r="B117" t="s">
        <v>3544</v>
      </c>
      <c r="C117" t="s">
        <v>2274</v>
      </c>
      <c r="D117" t="s">
        <v>296</v>
      </c>
      <c r="E117">
        <f>HYPERLINK("https://www.britishcycling.org.uk/points?person_id=644915&amp;year=2019&amp;type=national&amp;d=6","Results")</f>
        <v/>
      </c>
    </row>
    <row r="118" spans="1:5">
      <c r="A118" t="s">
        <v>321</v>
      </c>
      <c r="B118" t="s">
        <v>3545</v>
      </c>
      <c r="C118" t="s">
        <v>1681</v>
      </c>
      <c r="D118" t="s">
        <v>300</v>
      </c>
      <c r="E118">
        <f>HYPERLINK("https://www.britishcycling.org.uk/points?person_id=15847&amp;year=2019&amp;type=national&amp;d=6","Results")</f>
        <v/>
      </c>
    </row>
    <row r="119" spans="1:5">
      <c r="A119" t="s">
        <v>316</v>
      </c>
      <c r="B119" t="s">
        <v>3546</v>
      </c>
      <c r="C119" t="s">
        <v>3547</v>
      </c>
      <c r="D119" t="s">
        <v>300</v>
      </c>
      <c r="E119">
        <f>HYPERLINK("https://www.britishcycling.org.uk/points?person_id=5437&amp;year=2019&amp;type=national&amp;d=6","Results")</f>
        <v/>
      </c>
    </row>
    <row r="120" spans="1:5">
      <c r="A120" t="s">
        <v>399</v>
      </c>
      <c r="B120" t="s">
        <v>3548</v>
      </c>
      <c r="C120" t="s">
        <v>595</v>
      </c>
      <c r="D120" t="s">
        <v>418</v>
      </c>
      <c r="E120">
        <f>HYPERLINK("https://www.britishcycling.org.uk/points?person_id=10609&amp;year=2019&amp;type=national&amp;d=6","Results")</f>
        <v/>
      </c>
    </row>
    <row r="121" spans="1:5">
      <c r="A121" t="s">
        <v>309</v>
      </c>
      <c r="B121" t="s">
        <v>3549</v>
      </c>
      <c r="C121" t="s">
        <v>3042</v>
      </c>
      <c r="D121" t="s">
        <v>414</v>
      </c>
      <c r="E121">
        <f>HYPERLINK("https://www.britishcycling.org.uk/points?person_id=45339&amp;year=2019&amp;type=national&amp;d=6","Results")</f>
        <v/>
      </c>
    </row>
    <row r="122" spans="1:5">
      <c r="A122" t="s">
        <v>306</v>
      </c>
      <c r="B122" t="s">
        <v>3550</v>
      </c>
      <c r="C122" t="s">
        <v>2983</v>
      </c>
      <c r="D122" t="s">
        <v>414</v>
      </c>
      <c r="E122">
        <f>HYPERLINK("https://www.britishcycling.org.uk/points?person_id=2369&amp;year=2019&amp;type=national&amp;d=6","Results")</f>
        <v/>
      </c>
    </row>
    <row r="123" spans="1:5">
      <c r="A123" t="s">
        <v>405</v>
      </c>
      <c r="B123" t="s">
        <v>3551</v>
      </c>
      <c r="C123" t="s">
        <v>1289</v>
      </c>
      <c r="D123" t="s">
        <v>414</v>
      </c>
      <c r="E123">
        <f>HYPERLINK("https://www.britishcycling.org.uk/points?person_id=11756&amp;year=2019&amp;type=national&amp;d=6","Results")</f>
        <v/>
      </c>
    </row>
    <row r="124" spans="1:5">
      <c r="A124" t="s">
        <v>408</v>
      </c>
      <c r="B124" t="s">
        <v>3552</v>
      </c>
      <c r="C124" t="s">
        <v>1823</v>
      </c>
      <c r="D124" t="s">
        <v>414</v>
      </c>
      <c r="E124">
        <f>HYPERLINK("https://www.britishcycling.org.uk/points?person_id=135316&amp;year=2019&amp;type=national&amp;d=6","Results")</f>
        <v/>
      </c>
    </row>
    <row r="125" spans="1:5">
      <c r="A125" t="s">
        <v>410</v>
      </c>
      <c r="B125" t="s">
        <v>3553</v>
      </c>
      <c r="C125" t="s">
        <v>615</v>
      </c>
      <c r="D125" t="s">
        <v>303</v>
      </c>
      <c r="E125">
        <f>HYPERLINK("https://www.britishcycling.org.uk/points?person_id=42451&amp;year=2019&amp;type=national&amp;d=6","Results")</f>
        <v/>
      </c>
    </row>
    <row r="126" spans="1:5">
      <c r="A126" t="s">
        <v>303</v>
      </c>
      <c r="B126" t="s">
        <v>3554</v>
      </c>
      <c r="C126" t="s"/>
      <c r="D126" t="s">
        <v>303</v>
      </c>
      <c r="E126">
        <f>HYPERLINK("https://www.britishcycling.org.uk/points?person_id=13565&amp;year=2019&amp;type=national&amp;d=6","Results")</f>
        <v/>
      </c>
    </row>
    <row r="127" spans="1:5">
      <c r="A127" t="s">
        <v>414</v>
      </c>
      <c r="B127" t="s">
        <v>3555</v>
      </c>
      <c r="C127" t="s">
        <v>1056</v>
      </c>
      <c r="D127" t="s">
        <v>410</v>
      </c>
      <c r="E127">
        <f>HYPERLINK("https://www.britishcycling.org.uk/points?person_id=6128&amp;year=2019&amp;type=national&amp;d=6","Results")</f>
        <v/>
      </c>
    </row>
    <row r="128" spans="1:5">
      <c r="A128" t="s">
        <v>416</v>
      </c>
      <c r="B128" t="s">
        <v>3556</v>
      </c>
      <c r="C128" t="s">
        <v>3557</v>
      </c>
      <c r="D128" t="s">
        <v>410</v>
      </c>
      <c r="E128">
        <f>HYPERLINK("https://www.britishcycling.org.uk/points?person_id=198834&amp;year=2019&amp;type=national&amp;d=6","Results")</f>
        <v/>
      </c>
    </row>
    <row r="129" spans="1:5">
      <c r="A129" t="s">
        <v>418</v>
      </c>
      <c r="B129" t="s">
        <v>3558</v>
      </c>
      <c r="C129" t="s">
        <v>3387</v>
      </c>
      <c r="D129" t="s">
        <v>405</v>
      </c>
      <c r="E129">
        <f>HYPERLINK("https://www.britishcycling.org.uk/points?person_id=19107&amp;year=2019&amp;type=national&amp;d=6","Results")</f>
        <v/>
      </c>
    </row>
    <row r="130" spans="1:5">
      <c r="A130" t="s">
        <v>300</v>
      </c>
      <c r="B130" t="s">
        <v>3559</v>
      </c>
      <c r="C130" t="s">
        <v>1467</v>
      </c>
      <c r="D130" t="s">
        <v>405</v>
      </c>
      <c r="E130">
        <f>HYPERLINK("https://www.britishcycling.org.uk/points?person_id=78906&amp;year=2019&amp;type=national&amp;d=6","Results")</f>
        <v/>
      </c>
    </row>
    <row r="131" spans="1:5">
      <c r="A131" t="s">
        <v>296</v>
      </c>
      <c r="B131" t="s">
        <v>3560</v>
      </c>
      <c r="C131" t="s">
        <v>3561</v>
      </c>
      <c r="D131" t="s">
        <v>306</v>
      </c>
      <c r="E131">
        <f>HYPERLINK("https://www.britishcycling.org.uk/points?person_id=63054&amp;year=2019&amp;type=national&amp;d=6","Results")</f>
        <v/>
      </c>
    </row>
    <row r="132" spans="1:5">
      <c r="A132" t="s">
        <v>292</v>
      </c>
      <c r="B132" t="s">
        <v>3562</v>
      </c>
      <c r="C132" t="s">
        <v>363</v>
      </c>
      <c r="D132" t="s">
        <v>309</v>
      </c>
      <c r="E132">
        <f>HYPERLINK("https://www.britishcycling.org.uk/points?person_id=320735&amp;year=2019&amp;type=national&amp;d=6","Results")</f>
        <v/>
      </c>
    </row>
    <row r="133" spans="1:5">
      <c r="A133" t="s">
        <v>288</v>
      </c>
      <c r="B133" t="s">
        <v>3563</v>
      </c>
      <c r="C133" t="s">
        <v>1648</v>
      </c>
      <c r="D133" t="s">
        <v>309</v>
      </c>
      <c r="E133">
        <f>HYPERLINK("https://www.britishcycling.org.uk/points?person_id=27783&amp;year=2019&amp;type=national&amp;d=6","Results")</f>
        <v/>
      </c>
    </row>
    <row r="134" spans="1:5">
      <c r="A134" t="s">
        <v>425</v>
      </c>
      <c r="B134" t="s">
        <v>3564</v>
      </c>
      <c r="C134" t="s">
        <v>2221</v>
      </c>
      <c r="D134" t="s">
        <v>399</v>
      </c>
      <c r="E134">
        <f>HYPERLINK("https://www.britishcycling.org.uk/points?person_id=5332&amp;year=2019&amp;type=national&amp;d=6","Results")</f>
        <v/>
      </c>
    </row>
    <row r="135" spans="1:5">
      <c r="A135" t="s">
        <v>284</v>
      </c>
      <c r="B135" t="s">
        <v>3565</v>
      </c>
      <c r="C135" t="s">
        <v>3566</v>
      </c>
      <c r="D135" t="s">
        <v>399</v>
      </c>
      <c r="E135">
        <f>HYPERLINK("https://www.britishcycling.org.uk/points?person_id=33380&amp;year=2019&amp;type=national&amp;d=6","Results")</f>
        <v/>
      </c>
    </row>
    <row r="136" spans="1:5">
      <c r="A136" t="s">
        <v>430</v>
      </c>
      <c r="B136" t="s">
        <v>3567</v>
      </c>
      <c r="C136" t="s">
        <v>3387</v>
      </c>
      <c r="D136" t="s">
        <v>316</v>
      </c>
      <c r="E136">
        <f>HYPERLINK("https://www.britishcycling.org.uk/points?person_id=341676&amp;year=2019&amp;type=national&amp;d=6","Results")</f>
        <v/>
      </c>
    </row>
    <row r="137" spans="1:5">
      <c r="A137" t="s">
        <v>432</v>
      </c>
      <c r="B137" t="s">
        <v>3568</v>
      </c>
      <c r="C137" t="s">
        <v>174</v>
      </c>
      <c r="D137" t="s">
        <v>316</v>
      </c>
      <c r="E137">
        <f>HYPERLINK("https://www.britishcycling.org.uk/points?person_id=4133&amp;year=2019&amp;type=national&amp;d=6","Results")</f>
        <v/>
      </c>
    </row>
    <row r="138" spans="1:5">
      <c r="A138" t="s">
        <v>280</v>
      </c>
      <c r="B138" t="s">
        <v>3569</v>
      </c>
      <c r="C138" t="s">
        <v>283</v>
      </c>
      <c r="D138" t="s">
        <v>389</v>
      </c>
      <c r="E138">
        <f>HYPERLINK("https://www.britishcycling.org.uk/points?person_id=538165&amp;year=2019&amp;type=national&amp;d=6","Results")</f>
        <v/>
      </c>
    </row>
    <row r="139" spans="1:5">
      <c r="A139" t="s">
        <v>436</v>
      </c>
      <c r="B139" t="s">
        <v>3570</v>
      </c>
      <c r="C139" t="s">
        <v>1968</v>
      </c>
      <c r="D139" t="s">
        <v>384</v>
      </c>
      <c r="E139">
        <f>HYPERLINK("https://www.britishcycling.org.uk/points?person_id=498896&amp;year=2019&amp;type=national&amp;d=6","Results")</f>
        <v/>
      </c>
    </row>
    <row r="140" spans="1:5">
      <c r="A140" t="s">
        <v>276</v>
      </c>
      <c r="B140" t="s">
        <v>3571</v>
      </c>
      <c r="C140" t="s">
        <v>1760</v>
      </c>
      <c r="D140" t="s">
        <v>332</v>
      </c>
      <c r="E140">
        <f>HYPERLINK("https://www.britishcycling.org.uk/points?person_id=186930&amp;year=2019&amp;type=national&amp;d=6","Results")</f>
        <v/>
      </c>
    </row>
    <row r="141" spans="1:5">
      <c r="A141" t="s">
        <v>439</v>
      </c>
      <c r="B141" t="s">
        <v>3572</v>
      </c>
      <c r="C141" t="s">
        <v>2292</v>
      </c>
      <c r="D141" t="s">
        <v>374</v>
      </c>
      <c r="E141">
        <f>HYPERLINK("https://www.britishcycling.org.uk/points?person_id=127512&amp;year=2019&amp;type=national&amp;d=6","Results")</f>
        <v/>
      </c>
    </row>
    <row r="142" spans="1:5">
      <c r="A142" t="s">
        <v>273</v>
      </c>
      <c r="B142" t="s">
        <v>3573</v>
      </c>
      <c r="C142" t="s">
        <v>1651</v>
      </c>
      <c r="D142" t="s">
        <v>372</v>
      </c>
      <c r="E142">
        <f>HYPERLINK("https://www.britishcycling.org.uk/points?person_id=58499&amp;year=2019&amp;type=national&amp;d=6","Results")</f>
        <v/>
      </c>
    </row>
    <row r="143" spans="1:5">
      <c r="A143" t="s">
        <v>269</v>
      </c>
      <c r="B143" t="s">
        <v>3574</v>
      </c>
      <c r="C143" t="s">
        <v>3575</v>
      </c>
      <c r="D143" t="s">
        <v>372</v>
      </c>
      <c r="E143">
        <f>HYPERLINK("https://www.britishcycling.org.uk/points?person_id=179547&amp;year=2019&amp;type=national&amp;d=6","Results")</f>
        <v/>
      </c>
    </row>
    <row r="144" spans="1:5">
      <c r="A144" t="s">
        <v>266</v>
      </c>
      <c r="B144" t="s">
        <v>3576</v>
      </c>
      <c r="C144" t="s">
        <v>3577</v>
      </c>
      <c r="D144" t="s">
        <v>370</v>
      </c>
      <c r="E144">
        <f>HYPERLINK("https://www.britishcycling.org.uk/points?person_id=106951&amp;year=2019&amp;type=national&amp;d=6","Results")</f>
        <v/>
      </c>
    </row>
    <row r="145" spans="1:5">
      <c r="A145" t="s">
        <v>263</v>
      </c>
      <c r="B145" t="s">
        <v>3578</v>
      </c>
      <c r="C145" t="s">
        <v>1793</v>
      </c>
      <c r="D145" t="s">
        <v>364</v>
      </c>
      <c r="E145">
        <f>HYPERLINK("https://www.britishcycling.org.uk/points?person_id=99085&amp;year=2019&amp;type=national&amp;d=6","Results")</f>
        <v/>
      </c>
    </row>
    <row r="146" spans="1:5">
      <c r="A146" t="s">
        <v>448</v>
      </c>
      <c r="B146" t="s">
        <v>3579</v>
      </c>
      <c r="C146" t="s">
        <v>361</v>
      </c>
      <c r="D146" t="s">
        <v>364</v>
      </c>
      <c r="E146">
        <f>HYPERLINK("https://www.britishcycling.org.uk/points?person_id=385333&amp;year=2019&amp;type=national&amp;d=6","Results")</f>
        <v/>
      </c>
    </row>
    <row r="147" spans="1:5">
      <c r="A147" t="s">
        <v>450</v>
      </c>
      <c r="B147" t="s">
        <v>3580</v>
      </c>
      <c r="C147" t="s">
        <v>3421</v>
      </c>
      <c r="D147" t="s">
        <v>343</v>
      </c>
      <c r="E147">
        <f>HYPERLINK("https://www.britishcycling.org.uk/points?person_id=109091&amp;year=2019&amp;type=national&amp;d=6","Results")</f>
        <v/>
      </c>
    </row>
    <row r="148" spans="1:5">
      <c r="A148" t="s">
        <v>452</v>
      </c>
      <c r="B148" t="s">
        <v>2229</v>
      </c>
      <c r="C148" t="s"/>
      <c r="D148" t="s">
        <v>343</v>
      </c>
      <c r="E148">
        <f>HYPERLINK("https://www.britishcycling.org.uk/points?person_id=32945&amp;year=2019&amp;type=national&amp;d=6","Results")</f>
        <v/>
      </c>
    </row>
    <row r="149" spans="1:5">
      <c r="A149" t="s">
        <v>454</v>
      </c>
      <c r="B149" t="s">
        <v>3581</v>
      </c>
      <c r="C149" t="s">
        <v>2311</v>
      </c>
      <c r="D149" t="s">
        <v>359</v>
      </c>
      <c r="E149">
        <f>HYPERLINK("https://www.britishcycling.org.uk/points?person_id=586028&amp;year=2019&amp;type=national&amp;d=6","Results")</f>
        <v/>
      </c>
    </row>
    <row r="150" spans="1:5">
      <c r="A150" t="s">
        <v>456</v>
      </c>
      <c r="B150" t="s">
        <v>2572</v>
      </c>
      <c r="C150" t="s">
        <v>186</v>
      </c>
      <c r="D150" t="s">
        <v>359</v>
      </c>
      <c r="E150">
        <f>HYPERLINK("https://www.britishcycling.org.uk/points?person_id=10966&amp;year=2019&amp;type=national&amp;d=6","Results")</f>
        <v/>
      </c>
    </row>
    <row r="151" spans="1:5">
      <c r="A151" t="s">
        <v>458</v>
      </c>
      <c r="B151" t="s">
        <v>3582</v>
      </c>
      <c r="C151" t="s">
        <v>554</v>
      </c>
      <c r="D151" t="s">
        <v>349</v>
      </c>
      <c r="E151">
        <f>HYPERLINK("https://www.britishcycling.org.uk/points?person_id=479127&amp;year=2019&amp;type=national&amp;d=6","Results")</f>
        <v/>
      </c>
    </row>
    <row r="152" spans="1:5">
      <c r="A152" t="s">
        <v>256</v>
      </c>
      <c r="B152" t="s">
        <v>3583</v>
      </c>
      <c r="C152" t="s">
        <v>3584</v>
      </c>
      <c r="D152" t="s">
        <v>350</v>
      </c>
      <c r="E152">
        <f>HYPERLINK("https://www.britishcycling.org.uk/points?person_id=556234&amp;year=2019&amp;type=national&amp;d=6","Results")</f>
        <v/>
      </c>
    </row>
    <row r="153" spans="1:5">
      <c r="A153" t="s">
        <v>253</v>
      </c>
      <c r="B153" t="s">
        <v>3585</v>
      </c>
      <c r="C153" t="s">
        <v>23</v>
      </c>
      <c r="D153" t="s">
        <v>350</v>
      </c>
      <c r="E153">
        <f>HYPERLINK("https://www.britishcycling.org.uk/points?person_id=52045&amp;year=2019&amp;type=national&amp;d=6","Results")</f>
        <v/>
      </c>
    </row>
    <row r="154" spans="1:5">
      <c r="A154" t="s">
        <v>463</v>
      </c>
      <c r="B154" t="s">
        <v>3586</v>
      </c>
      <c r="C154" t="s">
        <v>1261</v>
      </c>
      <c r="D154" t="s">
        <v>344</v>
      </c>
      <c r="E154">
        <f>HYPERLINK("https://www.britishcycling.org.uk/points?person_id=730592&amp;year=2019&amp;type=national&amp;d=6","Results")</f>
        <v/>
      </c>
    </row>
    <row r="155" spans="1:5">
      <c r="A155" t="s">
        <v>465</v>
      </c>
      <c r="B155" t="s">
        <v>3587</v>
      </c>
      <c r="C155" t="s">
        <v>65</v>
      </c>
      <c r="D155" t="s">
        <v>344</v>
      </c>
      <c r="E155">
        <f>HYPERLINK("https://www.britishcycling.org.uk/points?person_id=294794&amp;year=2019&amp;type=national&amp;d=6","Results")</f>
        <v/>
      </c>
    </row>
    <row r="156" spans="1:5">
      <c r="A156" t="s">
        <v>467</v>
      </c>
      <c r="B156" t="s">
        <v>2759</v>
      </c>
      <c r="C156" t="s">
        <v>1819</v>
      </c>
      <c r="D156" t="s">
        <v>341</v>
      </c>
      <c r="E156">
        <f>HYPERLINK("https://www.britishcycling.org.uk/points?person_id=4744&amp;year=2019&amp;type=national&amp;d=6","Results")</f>
        <v/>
      </c>
    </row>
    <row r="157" spans="1:5">
      <c r="A157" t="s">
        <v>470</v>
      </c>
      <c r="B157" t="s">
        <v>3588</v>
      </c>
      <c r="C157" t="s">
        <v>1925</v>
      </c>
      <c r="D157" t="s">
        <v>341</v>
      </c>
      <c r="E157">
        <f>HYPERLINK("https://www.britishcycling.org.uk/points?person_id=73634&amp;year=2019&amp;type=national&amp;d=6","Results")</f>
        <v/>
      </c>
    </row>
    <row r="158" spans="1:5">
      <c r="A158" t="s">
        <v>473</v>
      </c>
      <c r="B158" t="s">
        <v>3589</v>
      </c>
      <c r="C158" t="s">
        <v>283</v>
      </c>
      <c r="D158" t="s">
        <v>337</v>
      </c>
      <c r="E158">
        <f>HYPERLINK("https://www.britishcycling.org.uk/points?person_id=58272&amp;year=2019&amp;type=national&amp;d=6","Results")</f>
        <v/>
      </c>
    </row>
    <row r="159" spans="1:5">
      <c r="A159" t="s">
        <v>246</v>
      </c>
      <c r="B159" t="s">
        <v>3590</v>
      </c>
      <c r="C159" t="s"/>
      <c r="D159" t="s">
        <v>337</v>
      </c>
      <c r="E159">
        <f>HYPERLINK("https://www.britishcycling.org.uk/points?person_id=36647&amp;year=2019&amp;type=national&amp;d=6","Results")</f>
        <v/>
      </c>
    </row>
    <row r="160" spans="1:5">
      <c r="A160" t="s">
        <v>477</v>
      </c>
      <c r="B160" t="s">
        <v>3591</v>
      </c>
      <c r="C160" t="s">
        <v>1968</v>
      </c>
      <c r="D160" t="s">
        <v>329</v>
      </c>
      <c r="E160">
        <f>HYPERLINK("https://www.britishcycling.org.uk/points?person_id=292995&amp;year=2019&amp;type=national&amp;d=6","Results")</f>
        <v/>
      </c>
    </row>
    <row r="161" spans="1:5">
      <c r="A161" t="s">
        <v>480</v>
      </c>
      <c r="B161" t="s">
        <v>3592</v>
      </c>
      <c r="C161" t="s">
        <v>1709</v>
      </c>
      <c r="D161" t="s">
        <v>322</v>
      </c>
      <c r="E161">
        <f>HYPERLINK("https://www.britishcycling.org.uk/points?person_id=185254&amp;year=2019&amp;type=national&amp;d=6","Results")</f>
        <v/>
      </c>
    </row>
    <row r="162" spans="1:5">
      <c r="A162" t="s">
        <v>482</v>
      </c>
      <c r="B162" t="s">
        <v>3593</v>
      </c>
      <c r="C162" t="s">
        <v>392</v>
      </c>
      <c r="D162" t="s">
        <v>319</v>
      </c>
      <c r="E162">
        <f>HYPERLINK("https://www.britishcycling.org.uk/points?person_id=173980&amp;year=2019&amp;type=national&amp;d=6","Results")</f>
        <v/>
      </c>
    </row>
    <row r="163" spans="1:5">
      <c r="A163" t="s">
        <v>484</v>
      </c>
      <c r="B163" t="s">
        <v>3594</v>
      </c>
      <c r="C163" t="s">
        <v>361</v>
      </c>
      <c r="D163" t="s">
        <v>310</v>
      </c>
      <c r="E163">
        <f>HYPERLINK("https://www.britishcycling.org.uk/points?person_id=308833&amp;year=2019&amp;type=national&amp;d=6","Results")</f>
        <v/>
      </c>
    </row>
    <row r="164" spans="1:5">
      <c r="A164" t="s">
        <v>243</v>
      </c>
      <c r="B164" t="s">
        <v>3595</v>
      </c>
      <c r="C164" t="s">
        <v>1936</v>
      </c>
      <c r="D164" t="s">
        <v>310</v>
      </c>
      <c r="E164">
        <f>HYPERLINK("https://www.britishcycling.org.uk/points?person_id=392943&amp;year=2019&amp;type=national&amp;d=6","Results")</f>
        <v/>
      </c>
    </row>
    <row r="165" spans="1:5">
      <c r="A165" t="s">
        <v>235</v>
      </c>
      <c r="B165" t="s">
        <v>3596</v>
      </c>
      <c r="C165" t="s">
        <v>1113</v>
      </c>
      <c r="D165" t="s">
        <v>307</v>
      </c>
      <c r="E165">
        <f>HYPERLINK("https://www.britishcycling.org.uk/points?person_id=209356&amp;year=2019&amp;type=national&amp;d=6","Results")</f>
        <v/>
      </c>
    </row>
    <row r="166" spans="1:5">
      <c r="A166" t="s">
        <v>488</v>
      </c>
      <c r="B166" t="s">
        <v>3597</v>
      </c>
      <c r="C166" t="s">
        <v>955</v>
      </c>
      <c r="D166" t="s">
        <v>297</v>
      </c>
      <c r="E166">
        <f>HYPERLINK("https://www.britishcycling.org.uk/points?person_id=44393&amp;year=2019&amp;type=national&amp;d=6","Results")</f>
        <v/>
      </c>
    </row>
    <row r="167" spans="1:5">
      <c r="A167" t="s">
        <v>490</v>
      </c>
      <c r="B167" t="s">
        <v>3598</v>
      </c>
      <c r="C167" t="s">
        <v>2041</v>
      </c>
      <c r="D167" t="s">
        <v>297</v>
      </c>
      <c r="E167">
        <f>HYPERLINK("https://www.britishcycling.org.uk/points?person_id=51889&amp;year=2019&amp;type=national&amp;d=6","Results")</f>
        <v/>
      </c>
    </row>
    <row r="168" spans="1:5">
      <c r="A168" t="s">
        <v>231</v>
      </c>
      <c r="B168" t="s">
        <v>3599</v>
      </c>
      <c r="C168" t="s">
        <v>595</v>
      </c>
      <c r="D168" t="s">
        <v>297</v>
      </c>
      <c r="E168">
        <f>HYPERLINK("https://www.britishcycling.org.uk/points?person_id=10083&amp;year=2019&amp;type=national&amp;d=6","Results")</f>
        <v/>
      </c>
    </row>
    <row r="169" spans="1:5">
      <c r="A169" t="s">
        <v>493</v>
      </c>
      <c r="B169" t="s">
        <v>3600</v>
      </c>
      <c r="C169" t="s">
        <v>3601</v>
      </c>
      <c r="D169" t="s">
        <v>293</v>
      </c>
      <c r="E169">
        <f>HYPERLINK("https://www.britishcycling.org.uk/points?person_id=29048&amp;year=2019&amp;type=national&amp;d=6","Results")</f>
        <v/>
      </c>
    </row>
    <row r="170" spans="1:5">
      <c r="A170" t="s">
        <v>496</v>
      </c>
      <c r="B170" t="s">
        <v>3602</v>
      </c>
      <c r="C170" t="s">
        <v>65</v>
      </c>
      <c r="D170" t="s">
        <v>285</v>
      </c>
      <c r="E170">
        <f>HYPERLINK("https://www.britishcycling.org.uk/points?person_id=391735&amp;year=2019&amp;type=national&amp;d=6","Results")</f>
        <v/>
      </c>
    </row>
    <row r="171" spans="1:5">
      <c r="A171" t="s">
        <v>499</v>
      </c>
      <c r="B171" t="s">
        <v>3603</v>
      </c>
      <c r="C171" t="s">
        <v>3156</v>
      </c>
      <c r="D171" t="s">
        <v>267</v>
      </c>
      <c r="E171">
        <f>HYPERLINK("https://www.britishcycling.org.uk/points?person_id=77617&amp;year=2019&amp;type=national&amp;d=6","Results")</f>
        <v/>
      </c>
    </row>
    <row r="172" spans="1:5">
      <c r="A172" t="s">
        <v>501</v>
      </c>
      <c r="B172" t="s">
        <v>3604</v>
      </c>
      <c r="C172" t="s">
        <v>3605</v>
      </c>
      <c r="D172" t="s">
        <v>260</v>
      </c>
      <c r="E172">
        <f>HYPERLINK("https://www.britishcycling.org.uk/points?person_id=108336&amp;year=2019&amp;type=national&amp;d=6","Results")</f>
        <v/>
      </c>
    </row>
    <row r="173" spans="1:5">
      <c r="A173" t="s">
        <v>227</v>
      </c>
      <c r="B173" t="s">
        <v>3606</v>
      </c>
      <c r="C173" t="s">
        <v>1498</v>
      </c>
      <c r="D173" t="s">
        <v>257</v>
      </c>
      <c r="E173">
        <f>HYPERLINK("https://www.britishcycling.org.uk/points?person_id=25942&amp;year=2019&amp;type=national&amp;d=6","Results")</f>
        <v/>
      </c>
    </row>
    <row r="174" spans="1:5">
      <c r="A174" t="s">
        <v>224</v>
      </c>
      <c r="B174" t="s">
        <v>3607</v>
      </c>
      <c r="C174" t="s">
        <v>3608</v>
      </c>
      <c r="D174" t="s">
        <v>257</v>
      </c>
      <c r="E174">
        <f>HYPERLINK("https://www.britishcycling.org.uk/points?person_id=44913&amp;year=2019&amp;type=national&amp;d=6","Results")</f>
        <v/>
      </c>
    </row>
    <row r="175" spans="1:5">
      <c r="A175" t="s">
        <v>507</v>
      </c>
      <c r="B175" t="s">
        <v>3609</v>
      </c>
      <c r="C175" t="s">
        <v>671</v>
      </c>
      <c r="D175" t="s">
        <v>257</v>
      </c>
      <c r="E175">
        <f>HYPERLINK("https://www.britishcycling.org.uk/points?person_id=136073&amp;year=2019&amp;type=national&amp;d=6","Results")</f>
        <v/>
      </c>
    </row>
    <row r="176" spans="1:5">
      <c r="A176" t="s">
        <v>509</v>
      </c>
      <c r="B176" t="s">
        <v>3610</v>
      </c>
      <c r="C176" t="s"/>
      <c r="D176" t="s">
        <v>257</v>
      </c>
      <c r="E176">
        <f>HYPERLINK("https://www.britishcycling.org.uk/points?person_id=69399&amp;year=2019&amp;type=national&amp;d=6","Results")</f>
        <v/>
      </c>
    </row>
    <row r="177" spans="1:5">
      <c r="A177" t="s">
        <v>512</v>
      </c>
      <c r="B177" t="s">
        <v>3611</v>
      </c>
      <c r="C177" t="s">
        <v>272</v>
      </c>
      <c r="D177" t="s">
        <v>257</v>
      </c>
      <c r="E177">
        <f>HYPERLINK("https://www.britishcycling.org.uk/points?person_id=347107&amp;year=2019&amp;type=national&amp;d=6","Results")</f>
        <v/>
      </c>
    </row>
    <row r="178" spans="1:5">
      <c r="A178" t="s">
        <v>515</v>
      </c>
      <c r="B178" t="s">
        <v>3612</v>
      </c>
      <c r="C178" t="s">
        <v>3613</v>
      </c>
      <c r="D178" t="s">
        <v>254</v>
      </c>
      <c r="E178">
        <f>HYPERLINK("https://www.britishcycling.org.uk/points?person_id=180769&amp;year=2019&amp;type=national&amp;d=6","Results")</f>
        <v/>
      </c>
    </row>
    <row r="179" spans="1:5">
      <c r="A179" t="s">
        <v>220</v>
      </c>
      <c r="B179" t="s">
        <v>3614</v>
      </c>
      <c r="C179" t="s">
        <v>3615</v>
      </c>
      <c r="D179" t="s">
        <v>250</v>
      </c>
      <c r="E179">
        <f>HYPERLINK("https://www.britishcycling.org.uk/points?person_id=53215&amp;year=2019&amp;type=national&amp;d=6","Results")</f>
        <v/>
      </c>
    </row>
    <row r="180" spans="1:5">
      <c r="A180" t="s">
        <v>217</v>
      </c>
      <c r="B180" t="s">
        <v>3616</v>
      </c>
      <c r="C180" t="s">
        <v>363</v>
      </c>
      <c r="D180" t="s">
        <v>250</v>
      </c>
      <c r="E180">
        <f>HYPERLINK("https://www.britishcycling.org.uk/points?person_id=36231&amp;year=2019&amp;type=national&amp;d=6","Results")</f>
        <v/>
      </c>
    </row>
    <row r="181" spans="1:5">
      <c r="A181" t="s">
        <v>519</v>
      </c>
      <c r="B181" t="s">
        <v>3617</v>
      </c>
      <c r="C181" t="s">
        <v>1696</v>
      </c>
      <c r="D181" t="s">
        <v>250</v>
      </c>
      <c r="E181">
        <f>HYPERLINK("https://www.britishcycling.org.uk/points?person_id=218689&amp;year=2019&amp;type=national&amp;d=6","Results")</f>
        <v/>
      </c>
    </row>
    <row r="182" spans="1:5">
      <c r="A182" t="s">
        <v>521</v>
      </c>
      <c r="B182" t="s">
        <v>3618</v>
      </c>
      <c r="C182" t="s">
        <v>3619</v>
      </c>
      <c r="D182" t="s">
        <v>250</v>
      </c>
      <c r="E182">
        <f>HYPERLINK("https://www.britishcycling.org.uk/points?person_id=187872&amp;year=2019&amp;type=national&amp;d=6","Results")</f>
        <v/>
      </c>
    </row>
    <row r="183" spans="1:5">
      <c r="A183" t="s">
        <v>523</v>
      </c>
      <c r="B183" t="s">
        <v>3620</v>
      </c>
      <c r="C183" t="s">
        <v>2132</v>
      </c>
      <c r="D183" t="s">
        <v>247</v>
      </c>
      <c r="E183">
        <f>HYPERLINK("https://www.britishcycling.org.uk/points?person_id=533554&amp;year=2019&amp;type=national&amp;d=6","Results")</f>
        <v/>
      </c>
    </row>
    <row r="184" spans="1:5">
      <c r="A184" t="s">
        <v>213</v>
      </c>
      <c r="B184" t="s">
        <v>3621</v>
      </c>
      <c r="C184" t="s">
        <v>94</v>
      </c>
      <c r="D184" t="s">
        <v>244</v>
      </c>
      <c r="E184">
        <f>HYPERLINK("https://www.britishcycling.org.uk/points?person_id=192003&amp;year=2019&amp;type=national&amp;d=6","Results")</f>
        <v/>
      </c>
    </row>
    <row r="185" spans="1:5">
      <c r="A185" t="s">
        <v>209</v>
      </c>
      <c r="B185" t="s">
        <v>3622</v>
      </c>
      <c r="C185" t="s">
        <v>511</v>
      </c>
      <c r="D185" t="s">
        <v>241</v>
      </c>
      <c r="E185">
        <f>HYPERLINK("https://www.britishcycling.org.uk/points?person_id=56532&amp;year=2019&amp;type=national&amp;d=6","Results")</f>
        <v/>
      </c>
    </row>
    <row r="186" spans="1:5">
      <c r="A186" t="s">
        <v>527</v>
      </c>
      <c r="B186" t="s">
        <v>3623</v>
      </c>
      <c r="C186" t="s">
        <v>1494</v>
      </c>
      <c r="D186" t="s">
        <v>239</v>
      </c>
      <c r="E186">
        <f>HYPERLINK("https://www.britishcycling.org.uk/points?person_id=33795&amp;year=2019&amp;type=national&amp;d=6","Results")</f>
        <v/>
      </c>
    </row>
    <row r="187" spans="1:5">
      <c r="A187" t="s">
        <v>529</v>
      </c>
      <c r="B187" t="s">
        <v>3624</v>
      </c>
      <c r="C187" t="s">
        <v>3625</v>
      </c>
      <c r="D187" t="s">
        <v>239</v>
      </c>
      <c r="E187">
        <f>HYPERLINK("https://www.britishcycling.org.uk/points?person_id=23890&amp;year=2019&amp;type=national&amp;d=6","Results")</f>
        <v/>
      </c>
    </row>
    <row r="188" spans="1:5">
      <c r="A188" t="s">
        <v>532</v>
      </c>
      <c r="B188" t="s">
        <v>3626</v>
      </c>
      <c r="C188" t="s">
        <v>2149</v>
      </c>
      <c r="D188" t="s">
        <v>236</v>
      </c>
      <c r="E188">
        <f>HYPERLINK("https://www.britishcycling.org.uk/points?person_id=256107&amp;year=2019&amp;type=national&amp;d=6","Results")</f>
        <v/>
      </c>
    </row>
    <row r="189" spans="1:5">
      <c r="A189" t="s">
        <v>534</v>
      </c>
      <c r="B189" t="s">
        <v>3627</v>
      </c>
      <c r="C189" t="s">
        <v>299</v>
      </c>
      <c r="D189" t="s">
        <v>236</v>
      </c>
      <c r="E189">
        <f>HYPERLINK("https://www.britishcycling.org.uk/points?person_id=188721&amp;year=2019&amp;type=national&amp;d=6","Results")</f>
        <v/>
      </c>
    </row>
    <row r="190" spans="1:5">
      <c r="A190" t="s">
        <v>536</v>
      </c>
      <c r="B190" t="s">
        <v>3628</v>
      </c>
      <c r="C190" t="s">
        <v>2281</v>
      </c>
      <c r="D190" t="s">
        <v>232</v>
      </c>
      <c r="E190">
        <f>HYPERLINK("https://www.britishcycling.org.uk/points?person_id=30537&amp;year=2019&amp;type=national&amp;d=6","Results")</f>
        <v/>
      </c>
    </row>
    <row r="191" spans="1:5">
      <c r="A191" t="s">
        <v>206</v>
      </c>
      <c r="B191" t="s">
        <v>2811</v>
      </c>
      <c r="C191" t="s">
        <v>2812</v>
      </c>
      <c r="D191" t="s">
        <v>232</v>
      </c>
      <c r="E191">
        <f>HYPERLINK("https://www.britishcycling.org.uk/points?person_id=498930&amp;year=2019&amp;type=national&amp;d=6","Results")</f>
        <v/>
      </c>
    </row>
    <row r="192" spans="1:5">
      <c r="A192" t="s">
        <v>539</v>
      </c>
      <c r="B192" t="s">
        <v>3629</v>
      </c>
      <c r="C192" t="s">
        <v>65</v>
      </c>
      <c r="D192" t="s">
        <v>232</v>
      </c>
      <c r="E192">
        <f>HYPERLINK("https://www.britishcycling.org.uk/points?person_id=52268&amp;year=2019&amp;type=national&amp;d=6","Results")</f>
        <v/>
      </c>
    </row>
    <row r="193" spans="1:5">
      <c r="A193" t="s">
        <v>542</v>
      </c>
      <c r="B193" t="s">
        <v>3630</v>
      </c>
      <c r="C193" t="s">
        <v>2934</v>
      </c>
      <c r="D193" t="s">
        <v>232</v>
      </c>
      <c r="E193">
        <f>HYPERLINK("https://www.britishcycling.org.uk/points?person_id=71218&amp;year=2019&amp;type=national&amp;d=6","Results")</f>
        <v/>
      </c>
    </row>
    <row r="194" spans="1:5">
      <c r="A194" t="s">
        <v>544</v>
      </c>
      <c r="B194" t="s">
        <v>3631</v>
      </c>
      <c r="C194" t="s">
        <v>834</v>
      </c>
      <c r="D194" t="s">
        <v>228</v>
      </c>
      <c r="E194">
        <f>HYPERLINK("https://www.britishcycling.org.uk/points?person_id=35811&amp;year=2019&amp;type=national&amp;d=6","Results")</f>
        <v/>
      </c>
    </row>
    <row r="195" spans="1:5">
      <c r="A195" t="s">
        <v>546</v>
      </c>
      <c r="B195" t="s">
        <v>3632</v>
      </c>
      <c r="C195" t="s">
        <v>2947</v>
      </c>
      <c r="D195" t="s">
        <v>228</v>
      </c>
      <c r="E195">
        <f>HYPERLINK("https://www.britishcycling.org.uk/points?person_id=613985&amp;year=2019&amp;type=national&amp;d=6","Results")</f>
        <v/>
      </c>
    </row>
    <row r="196" spans="1:5">
      <c r="A196" t="s">
        <v>549</v>
      </c>
      <c r="B196" t="s">
        <v>3633</v>
      </c>
      <c r="C196" t="s">
        <v>1538</v>
      </c>
      <c r="D196" t="s">
        <v>228</v>
      </c>
      <c r="E196">
        <f>HYPERLINK("https://www.britishcycling.org.uk/points?person_id=61950&amp;year=2019&amp;type=national&amp;d=6","Results")</f>
        <v/>
      </c>
    </row>
    <row r="197" spans="1:5">
      <c r="A197" t="s">
        <v>552</v>
      </c>
      <c r="B197" t="s">
        <v>3634</v>
      </c>
      <c r="C197" t="s">
        <v>3635</v>
      </c>
      <c r="D197" t="s">
        <v>221</v>
      </c>
      <c r="E197">
        <f>HYPERLINK("https://www.britishcycling.org.uk/points?person_id=24203&amp;year=2019&amp;type=national&amp;d=6","Results")</f>
        <v/>
      </c>
    </row>
    <row r="198" spans="1:5">
      <c r="A198" t="s">
        <v>555</v>
      </c>
      <c r="B198" t="s">
        <v>3636</v>
      </c>
      <c r="C198" t="s">
        <v>3401</v>
      </c>
      <c r="D198" t="s">
        <v>218</v>
      </c>
      <c r="E198">
        <f>HYPERLINK("https://www.britishcycling.org.uk/points?person_id=77781&amp;year=2019&amp;type=national&amp;d=6","Results")</f>
        <v/>
      </c>
    </row>
    <row r="199" spans="1:5">
      <c r="A199" t="s">
        <v>557</v>
      </c>
      <c r="B199" t="s">
        <v>3637</v>
      </c>
      <c r="C199" t="s">
        <v>2735</v>
      </c>
      <c r="D199" t="s">
        <v>214</v>
      </c>
      <c r="E199">
        <f>HYPERLINK("https://www.britishcycling.org.uk/points?person_id=169997&amp;year=2019&amp;type=national&amp;d=6","Results")</f>
        <v/>
      </c>
    </row>
    <row r="200" spans="1:5">
      <c r="A200" t="s">
        <v>560</v>
      </c>
      <c r="B200" t="s">
        <v>3638</v>
      </c>
      <c r="C200" t="s">
        <v>551</v>
      </c>
      <c r="D200" t="s">
        <v>214</v>
      </c>
      <c r="E200">
        <f>HYPERLINK("https://www.britishcycling.org.uk/points?person_id=271723&amp;year=2019&amp;type=national&amp;d=6","Results")</f>
        <v/>
      </c>
    </row>
    <row r="201" spans="1:5">
      <c r="A201" t="s">
        <v>202</v>
      </c>
      <c r="B201" t="s">
        <v>3639</v>
      </c>
      <c r="C201" t="s">
        <v>403</v>
      </c>
      <c r="D201" t="s">
        <v>214</v>
      </c>
      <c r="E201">
        <f>HYPERLINK("https://www.britishcycling.org.uk/points?person_id=63434&amp;year=2019&amp;type=national&amp;d=6","Results")</f>
        <v/>
      </c>
    </row>
    <row r="202" spans="1:5">
      <c r="A202" t="s">
        <v>563</v>
      </c>
      <c r="B202" t="s">
        <v>3640</v>
      </c>
      <c r="C202" t="s">
        <v>1717</v>
      </c>
      <c r="D202" t="s">
        <v>207</v>
      </c>
      <c r="E202">
        <f>HYPERLINK("https://www.britishcycling.org.uk/points?person_id=134774&amp;year=2019&amp;type=national&amp;d=6","Results")</f>
        <v/>
      </c>
    </row>
    <row r="203" spans="1:5">
      <c r="A203" t="s">
        <v>565</v>
      </c>
      <c r="B203" t="s">
        <v>3641</v>
      </c>
      <c r="C203" t="s">
        <v>65</v>
      </c>
      <c r="D203" t="s">
        <v>203</v>
      </c>
      <c r="E203">
        <f>HYPERLINK("https://www.britishcycling.org.uk/points?person_id=122455&amp;year=2019&amp;type=national&amp;d=6","Results")</f>
        <v/>
      </c>
    </row>
    <row r="204" spans="1:5">
      <c r="A204" t="s">
        <v>568</v>
      </c>
      <c r="B204" t="s">
        <v>3642</v>
      </c>
      <c r="C204" t="s">
        <v>1294</v>
      </c>
      <c r="D204" t="s">
        <v>203</v>
      </c>
      <c r="E204">
        <f>HYPERLINK("https://www.britishcycling.org.uk/points?person_id=41142&amp;year=2019&amp;type=national&amp;d=6","Results")</f>
        <v/>
      </c>
    </row>
    <row r="205" spans="1:5">
      <c r="A205" t="s">
        <v>195</v>
      </c>
      <c r="B205" t="s">
        <v>3643</v>
      </c>
      <c r="C205" t="s">
        <v>2899</v>
      </c>
      <c r="D205" t="s">
        <v>199</v>
      </c>
      <c r="E205">
        <f>HYPERLINK("https://www.britishcycling.org.uk/points?person_id=736806&amp;year=2019&amp;type=national&amp;d=6","Results")</f>
        <v/>
      </c>
    </row>
    <row r="206" spans="1:5">
      <c r="A206" t="s">
        <v>571</v>
      </c>
      <c r="B206" t="s">
        <v>3644</v>
      </c>
      <c r="C206" t="s">
        <v>771</v>
      </c>
      <c r="D206" t="s">
        <v>199</v>
      </c>
      <c r="E206">
        <f>HYPERLINK("https://www.britishcycling.org.uk/points?person_id=128099&amp;year=2019&amp;type=national&amp;d=6","Results")</f>
        <v/>
      </c>
    </row>
    <row r="207" spans="1:5">
      <c r="A207" t="s">
        <v>573</v>
      </c>
      <c r="B207" t="s">
        <v>3645</v>
      </c>
      <c r="C207" t="s">
        <v>383</v>
      </c>
      <c r="D207" t="s">
        <v>192</v>
      </c>
      <c r="E207">
        <f>HYPERLINK("https://www.britishcycling.org.uk/points?person_id=182133&amp;year=2019&amp;type=national&amp;d=6","Results")</f>
        <v/>
      </c>
    </row>
    <row r="208" spans="1:5">
      <c r="A208" t="s">
        <v>576</v>
      </c>
      <c r="B208" t="s">
        <v>3646</v>
      </c>
      <c r="C208" t="s"/>
      <c r="D208" t="s">
        <v>192</v>
      </c>
      <c r="E208">
        <f>HYPERLINK("https://www.britishcycling.org.uk/points?person_id=101067&amp;year=2019&amp;type=national&amp;d=6","Results")</f>
        <v/>
      </c>
    </row>
    <row r="209" spans="1:5">
      <c r="A209" t="s">
        <v>191</v>
      </c>
      <c r="B209" t="s">
        <v>3647</v>
      </c>
      <c r="C209" t="s">
        <v>3023</v>
      </c>
      <c r="D209" t="s">
        <v>192</v>
      </c>
      <c r="E209">
        <f>HYPERLINK("https://www.britishcycling.org.uk/points?person_id=5610&amp;year=2019&amp;type=national&amp;d=6","Results")</f>
        <v/>
      </c>
    </row>
    <row r="210" spans="1:5">
      <c r="A210" t="s">
        <v>580</v>
      </c>
      <c r="B210" t="s">
        <v>3648</v>
      </c>
      <c r="C210" t="s"/>
      <c r="D210" t="s">
        <v>192</v>
      </c>
      <c r="E210">
        <f>HYPERLINK("https://www.britishcycling.org.uk/points?person_id=101387&amp;year=2019&amp;type=national&amp;d=6","Results")</f>
        <v/>
      </c>
    </row>
    <row r="211" spans="1:5">
      <c r="A211" t="s">
        <v>582</v>
      </c>
      <c r="B211" t="s">
        <v>3649</v>
      </c>
      <c r="C211" t="s">
        <v>2968</v>
      </c>
      <c r="D211" t="s">
        <v>188</v>
      </c>
      <c r="E211">
        <f>HYPERLINK("https://www.britishcycling.org.uk/points?person_id=20801&amp;year=2019&amp;type=national&amp;d=6","Results")</f>
        <v/>
      </c>
    </row>
    <row r="212" spans="1:5">
      <c r="A212" t="s">
        <v>585</v>
      </c>
      <c r="B212" t="s">
        <v>3650</v>
      </c>
      <c r="C212" t="s">
        <v>3613</v>
      </c>
      <c r="D212" t="s">
        <v>188</v>
      </c>
      <c r="E212">
        <f>HYPERLINK("https://www.britishcycling.org.uk/points?person_id=53259&amp;year=2019&amp;type=national&amp;d=6","Results")</f>
        <v/>
      </c>
    </row>
    <row r="213" spans="1:5">
      <c r="A213" t="s">
        <v>587</v>
      </c>
      <c r="B213" t="s">
        <v>3651</v>
      </c>
      <c r="C213" t="s">
        <v>3652</v>
      </c>
      <c r="D213" t="s">
        <v>188</v>
      </c>
      <c r="E213">
        <f>HYPERLINK("https://www.britishcycling.org.uk/points?person_id=221504&amp;year=2019&amp;type=national&amp;d=6","Results")</f>
        <v/>
      </c>
    </row>
    <row r="214" spans="1:5">
      <c r="A214" t="s">
        <v>590</v>
      </c>
      <c r="B214" t="s">
        <v>3653</v>
      </c>
      <c r="C214" t="s">
        <v>135</v>
      </c>
      <c r="D214" t="s">
        <v>184</v>
      </c>
      <c r="E214">
        <f>HYPERLINK("https://www.britishcycling.org.uk/points?person_id=416383&amp;year=2019&amp;type=national&amp;d=6","Results")</f>
        <v/>
      </c>
    </row>
    <row r="215" spans="1:5">
      <c r="A215" t="s">
        <v>593</v>
      </c>
      <c r="B215" t="s">
        <v>3654</v>
      </c>
      <c r="C215" t="s">
        <v>3557</v>
      </c>
      <c r="D215" t="s">
        <v>184</v>
      </c>
      <c r="E215">
        <f>HYPERLINK("https://www.britishcycling.org.uk/points?person_id=444472&amp;year=2019&amp;type=national&amp;d=6","Results")</f>
        <v/>
      </c>
    </row>
    <row r="216" spans="1:5">
      <c r="A216" t="s">
        <v>187</v>
      </c>
      <c r="B216" t="s">
        <v>3655</v>
      </c>
      <c r="C216" t="s">
        <v>479</v>
      </c>
      <c r="D216" t="s">
        <v>180</v>
      </c>
      <c r="E216">
        <f>HYPERLINK("https://www.britishcycling.org.uk/points?person_id=73162&amp;year=2019&amp;type=national&amp;d=6","Results")</f>
        <v/>
      </c>
    </row>
    <row r="217" spans="1:5">
      <c r="A217" t="s">
        <v>183</v>
      </c>
      <c r="B217" t="s">
        <v>3656</v>
      </c>
      <c r="C217" t="s">
        <v>1322</v>
      </c>
      <c r="D217" t="s">
        <v>180</v>
      </c>
      <c r="E217">
        <f>HYPERLINK("https://www.britishcycling.org.uk/points?person_id=16864&amp;year=2019&amp;type=national&amp;d=6","Results")</f>
        <v/>
      </c>
    </row>
    <row r="218" spans="1:5">
      <c r="A218" t="s">
        <v>598</v>
      </c>
      <c r="B218" t="s">
        <v>3657</v>
      </c>
      <c r="C218" t="s">
        <v>223</v>
      </c>
      <c r="D218" t="s">
        <v>180</v>
      </c>
      <c r="E218">
        <f>HYPERLINK("https://www.britishcycling.org.uk/points?person_id=121581&amp;year=2019&amp;type=national&amp;d=6","Results")</f>
        <v/>
      </c>
    </row>
    <row r="219" spans="1:5">
      <c r="A219" t="s">
        <v>600</v>
      </c>
      <c r="B219" t="s">
        <v>3658</v>
      </c>
      <c r="C219" t="s">
        <v>2899</v>
      </c>
      <c r="D219" t="s">
        <v>176</v>
      </c>
      <c r="E219">
        <f>HYPERLINK("https://www.britishcycling.org.uk/points?person_id=106005&amp;year=2019&amp;type=national&amp;d=6","Results")</f>
        <v/>
      </c>
    </row>
    <row r="220" spans="1:5">
      <c r="A220" t="s">
        <v>602</v>
      </c>
      <c r="B220" t="s">
        <v>3659</v>
      </c>
      <c r="C220" t="s">
        <v>3660</v>
      </c>
      <c r="D220" t="s">
        <v>176</v>
      </c>
      <c r="E220">
        <f>HYPERLINK("https://www.britishcycling.org.uk/points?person_id=47132&amp;year=2019&amp;type=national&amp;d=6","Results")</f>
        <v/>
      </c>
    </row>
    <row r="221" spans="1:5">
      <c r="A221" t="s">
        <v>604</v>
      </c>
      <c r="B221" t="s">
        <v>3661</v>
      </c>
      <c r="C221" t="s">
        <v>3662</v>
      </c>
      <c r="D221" t="s">
        <v>176</v>
      </c>
      <c r="E221">
        <f>HYPERLINK("https://www.britishcycling.org.uk/points?person_id=18104&amp;year=2019&amp;type=national&amp;d=6","Results")</f>
        <v/>
      </c>
    </row>
    <row r="222" spans="1:5">
      <c r="A222" t="s">
        <v>606</v>
      </c>
      <c r="B222" t="s">
        <v>3663</v>
      </c>
      <c r="C222" t="s">
        <v>3309</v>
      </c>
      <c r="D222" t="s">
        <v>168</v>
      </c>
      <c r="E222">
        <f>HYPERLINK("https://www.britishcycling.org.uk/points?person_id=280291&amp;year=2019&amp;type=national&amp;d=6","Results")</f>
        <v/>
      </c>
    </row>
    <row r="223" spans="1:5">
      <c r="A223" t="s">
        <v>609</v>
      </c>
      <c r="B223" t="s">
        <v>3664</v>
      </c>
      <c r="C223" t="s">
        <v>1494</v>
      </c>
      <c r="D223" t="s">
        <v>168</v>
      </c>
      <c r="E223">
        <f>HYPERLINK("https://www.britishcycling.org.uk/points?person_id=9773&amp;year=2019&amp;type=national&amp;d=6","Results")</f>
        <v/>
      </c>
    </row>
    <row r="224" spans="1:5">
      <c r="A224" t="s">
        <v>611</v>
      </c>
      <c r="B224" t="s">
        <v>3665</v>
      </c>
      <c r="C224" t="s">
        <v>216</v>
      </c>
      <c r="D224" t="s">
        <v>168</v>
      </c>
      <c r="E224">
        <f>HYPERLINK("https://www.britishcycling.org.uk/points?person_id=38053&amp;year=2019&amp;type=national&amp;d=6","Results")</f>
        <v/>
      </c>
    </row>
    <row r="225" spans="1:5">
      <c r="A225" t="s">
        <v>613</v>
      </c>
      <c r="B225" t="s">
        <v>3666</v>
      </c>
      <c r="C225" t="s">
        <v>1699</v>
      </c>
      <c r="D225" t="s">
        <v>165</v>
      </c>
      <c r="E225">
        <f>HYPERLINK("https://www.britishcycling.org.uk/points?person_id=18732&amp;year=2019&amp;type=national&amp;d=6","Results")</f>
        <v/>
      </c>
    </row>
    <row r="226" spans="1:5">
      <c r="A226" t="s">
        <v>616</v>
      </c>
      <c r="B226" t="s">
        <v>3667</v>
      </c>
      <c r="C226" t="s">
        <v>1440</v>
      </c>
      <c r="D226" t="s">
        <v>165</v>
      </c>
      <c r="E226">
        <f>HYPERLINK("https://www.britishcycling.org.uk/points?person_id=191120&amp;year=2019&amp;type=national&amp;d=6","Results")</f>
        <v/>
      </c>
    </row>
    <row r="227" spans="1:5">
      <c r="A227" t="s">
        <v>179</v>
      </c>
      <c r="B227" t="s">
        <v>3668</v>
      </c>
      <c r="C227" t="s">
        <v>774</v>
      </c>
      <c r="D227" t="s">
        <v>165</v>
      </c>
      <c r="E227">
        <f>HYPERLINK("https://www.britishcycling.org.uk/points?person_id=756125&amp;year=2019&amp;type=national&amp;d=6","Results")</f>
        <v/>
      </c>
    </row>
    <row r="228" spans="1:5">
      <c r="A228" t="s">
        <v>619</v>
      </c>
      <c r="B228" t="s">
        <v>3669</v>
      </c>
      <c r="C228" t="s">
        <v>2723</v>
      </c>
      <c r="D228" t="s">
        <v>165</v>
      </c>
      <c r="E228">
        <f>HYPERLINK("https://www.britishcycling.org.uk/points?person_id=404382&amp;year=2019&amp;type=national&amp;d=6","Results")</f>
        <v/>
      </c>
    </row>
    <row r="229" spans="1:5">
      <c r="A229" t="s">
        <v>621</v>
      </c>
      <c r="B229" t="s">
        <v>3670</v>
      </c>
      <c r="C229" t="s">
        <v>3671</v>
      </c>
      <c r="D229" t="s">
        <v>161</v>
      </c>
      <c r="E229">
        <f>HYPERLINK("https://www.britishcycling.org.uk/points?person_id=51702&amp;year=2019&amp;type=national&amp;d=6","Results")</f>
        <v/>
      </c>
    </row>
    <row r="230" spans="1:5">
      <c r="A230" t="s">
        <v>623</v>
      </c>
      <c r="B230" t="s">
        <v>3672</v>
      </c>
      <c r="C230" t="s">
        <v>1945</v>
      </c>
      <c r="D230" t="s">
        <v>161</v>
      </c>
      <c r="E230">
        <f>HYPERLINK("https://www.britishcycling.org.uk/points?person_id=448918&amp;year=2019&amp;type=national&amp;d=6","Results")</f>
        <v/>
      </c>
    </row>
    <row r="231" spans="1:5">
      <c r="A231" t="s">
        <v>625</v>
      </c>
      <c r="B231" t="s">
        <v>2696</v>
      </c>
      <c r="C231" t="s">
        <v>472</v>
      </c>
      <c r="D231" t="s">
        <v>158</v>
      </c>
      <c r="E231">
        <f>HYPERLINK("https://www.britishcycling.org.uk/points?person_id=6382&amp;year=2019&amp;type=national&amp;d=6","Results")</f>
        <v/>
      </c>
    </row>
    <row r="232" spans="1:5">
      <c r="A232" t="s">
        <v>175</v>
      </c>
      <c r="B232" t="s">
        <v>2411</v>
      </c>
      <c r="C232" t="s">
        <v>2412</v>
      </c>
      <c r="D232" t="s">
        <v>158</v>
      </c>
      <c r="E232">
        <f>HYPERLINK("https://www.britishcycling.org.uk/points?person_id=357380&amp;year=2019&amp;type=national&amp;d=6","Results")</f>
        <v/>
      </c>
    </row>
    <row r="233" spans="1:5">
      <c r="A233" t="s">
        <v>171</v>
      </c>
      <c r="B233" t="s">
        <v>3673</v>
      </c>
      <c r="C233" t="s">
        <v>2082</v>
      </c>
      <c r="D233" t="s">
        <v>155</v>
      </c>
      <c r="E233">
        <f>HYPERLINK("https://www.britishcycling.org.uk/points?person_id=3460&amp;year=2019&amp;type=national&amp;d=6","Results")</f>
        <v/>
      </c>
    </row>
    <row r="234" spans="1:5">
      <c r="A234" t="s">
        <v>164</v>
      </c>
      <c r="B234" t="s">
        <v>3674</v>
      </c>
      <c r="C234" t="s">
        <v>1502</v>
      </c>
      <c r="D234" t="s">
        <v>155</v>
      </c>
      <c r="E234">
        <f>HYPERLINK("https://www.britishcycling.org.uk/points?person_id=180553&amp;year=2019&amp;type=national&amp;d=6","Results")</f>
        <v/>
      </c>
    </row>
    <row r="235" spans="1:5">
      <c r="A235" t="s">
        <v>630</v>
      </c>
      <c r="B235" t="s">
        <v>3675</v>
      </c>
      <c r="C235" t="s">
        <v>3547</v>
      </c>
      <c r="D235" t="s">
        <v>151</v>
      </c>
      <c r="E235">
        <f>HYPERLINK("https://www.britishcycling.org.uk/points?person_id=101426&amp;year=2019&amp;type=national&amp;d=6","Results")</f>
        <v/>
      </c>
    </row>
    <row r="236" spans="1:5">
      <c r="A236" t="s">
        <v>632</v>
      </c>
      <c r="B236" t="s">
        <v>3676</v>
      </c>
      <c r="C236" t="s">
        <v>1113</v>
      </c>
      <c r="D236" t="s">
        <v>151</v>
      </c>
      <c r="E236">
        <f>HYPERLINK("https://www.britishcycling.org.uk/points?person_id=395318&amp;year=2019&amp;type=national&amp;d=6","Results")</f>
        <v/>
      </c>
    </row>
    <row r="237" spans="1:5">
      <c r="A237" t="s">
        <v>634</v>
      </c>
      <c r="B237" t="s">
        <v>1935</v>
      </c>
      <c r="C237" t="s">
        <v>3677</v>
      </c>
      <c r="D237" t="s">
        <v>151</v>
      </c>
      <c r="E237">
        <f>HYPERLINK("https://www.britishcycling.org.uk/points?person_id=688784&amp;year=2019&amp;type=national&amp;d=6","Results")</f>
        <v/>
      </c>
    </row>
    <row r="238" spans="1:5">
      <c r="A238" t="s">
        <v>637</v>
      </c>
      <c r="B238" t="s">
        <v>3678</v>
      </c>
      <c r="C238" t="s">
        <v>3679</v>
      </c>
      <c r="D238" t="s">
        <v>148</v>
      </c>
      <c r="E238">
        <f>HYPERLINK("https://www.britishcycling.org.uk/points?person_id=392423&amp;year=2019&amp;type=national&amp;d=6","Results")</f>
        <v/>
      </c>
    </row>
    <row r="239" spans="1:5">
      <c r="A239" t="s">
        <v>639</v>
      </c>
      <c r="B239" t="s">
        <v>3680</v>
      </c>
      <c r="C239" t="s">
        <v>1467</v>
      </c>
      <c r="D239" t="s">
        <v>148</v>
      </c>
      <c r="E239">
        <f>HYPERLINK("https://www.britishcycling.org.uk/points?person_id=107515&amp;year=2019&amp;type=national&amp;d=6","Results")</f>
        <v/>
      </c>
    </row>
    <row r="240" spans="1:5">
      <c r="A240" t="s">
        <v>641</v>
      </c>
      <c r="B240" t="s">
        <v>3681</v>
      </c>
      <c r="C240" t="s">
        <v>163</v>
      </c>
      <c r="D240" t="s">
        <v>145</v>
      </c>
      <c r="E240">
        <f>HYPERLINK("https://www.britishcycling.org.uk/points?person_id=16129&amp;year=2019&amp;type=national&amp;d=6","Results")</f>
        <v/>
      </c>
    </row>
    <row r="241" spans="1:5">
      <c r="A241" t="s">
        <v>644</v>
      </c>
      <c r="B241" t="s">
        <v>3682</v>
      </c>
      <c r="C241" t="s">
        <v>1195</v>
      </c>
      <c r="D241" t="s">
        <v>145</v>
      </c>
      <c r="E241">
        <f>HYPERLINK("https://www.britishcycling.org.uk/points?person_id=50540&amp;year=2019&amp;type=national&amp;d=6","Results")</f>
        <v/>
      </c>
    </row>
    <row r="242" spans="1:5">
      <c r="A242" t="s">
        <v>647</v>
      </c>
      <c r="B242" t="s">
        <v>3683</v>
      </c>
      <c r="C242" t="s">
        <v>1657</v>
      </c>
      <c r="D242" t="s">
        <v>145</v>
      </c>
      <c r="E242">
        <f>HYPERLINK("https://www.britishcycling.org.uk/points?person_id=73690&amp;year=2019&amp;type=national&amp;d=6","Results")</f>
        <v/>
      </c>
    </row>
    <row r="243" spans="1:5">
      <c r="A243" t="s">
        <v>649</v>
      </c>
      <c r="B243" t="s">
        <v>3684</v>
      </c>
      <c r="C243" t="s"/>
      <c r="D243" t="s">
        <v>141</v>
      </c>
      <c r="E243">
        <f>HYPERLINK("https://www.britishcycling.org.uk/points?person_id=261023&amp;year=2019&amp;type=national&amp;d=6","Results")</f>
        <v/>
      </c>
    </row>
    <row r="244" spans="1:5">
      <c r="A244" t="s">
        <v>651</v>
      </c>
      <c r="B244" t="s">
        <v>3685</v>
      </c>
      <c r="C244" t="s">
        <v>2041</v>
      </c>
      <c r="D244" t="s">
        <v>141</v>
      </c>
      <c r="E244">
        <f>HYPERLINK("https://www.britishcycling.org.uk/points?person_id=197740&amp;year=2019&amp;type=national&amp;d=6","Results")</f>
        <v/>
      </c>
    </row>
    <row r="245" spans="1:5">
      <c r="A245" t="s">
        <v>654</v>
      </c>
      <c r="B245" t="s">
        <v>3686</v>
      </c>
      <c r="C245" t="s">
        <v>2323</v>
      </c>
      <c r="D245" t="s">
        <v>137</v>
      </c>
      <c r="E245">
        <f>HYPERLINK("https://www.britishcycling.org.uk/points?person_id=42964&amp;year=2019&amp;type=national&amp;d=6","Results")</f>
        <v/>
      </c>
    </row>
    <row r="246" spans="1:5">
      <c r="A246" t="s">
        <v>160</v>
      </c>
      <c r="B246" t="s">
        <v>3687</v>
      </c>
      <c r="C246" t="s">
        <v>2161</v>
      </c>
      <c r="D246" t="s">
        <v>137</v>
      </c>
      <c r="E246">
        <f>HYPERLINK("https://www.britishcycling.org.uk/points?person_id=184854&amp;year=2019&amp;type=national&amp;d=6","Results")</f>
        <v/>
      </c>
    </row>
    <row r="247" spans="1:5">
      <c r="A247" t="s">
        <v>154</v>
      </c>
      <c r="B247" t="s">
        <v>3688</v>
      </c>
      <c r="C247" t="s">
        <v>1018</v>
      </c>
      <c r="D247" t="s">
        <v>137</v>
      </c>
      <c r="E247">
        <f>HYPERLINK("https://www.britishcycling.org.uk/points?person_id=77406&amp;year=2019&amp;type=national&amp;d=6","Results")</f>
        <v/>
      </c>
    </row>
    <row r="248" spans="1:5">
      <c r="A248" t="s">
        <v>659</v>
      </c>
      <c r="B248" t="s">
        <v>3689</v>
      </c>
      <c r="C248" t="s">
        <v>392</v>
      </c>
      <c r="D248" t="s">
        <v>137</v>
      </c>
      <c r="E248">
        <f>HYPERLINK("https://www.britishcycling.org.uk/points?person_id=394448&amp;year=2019&amp;type=national&amp;d=6","Results")</f>
        <v/>
      </c>
    </row>
    <row r="249" spans="1:5">
      <c r="A249" t="s">
        <v>661</v>
      </c>
      <c r="B249" t="s">
        <v>3690</v>
      </c>
      <c r="C249" t="s">
        <v>961</v>
      </c>
      <c r="D249" t="s">
        <v>133</v>
      </c>
      <c r="E249">
        <f>HYPERLINK("https://www.britishcycling.org.uk/points?person_id=56197&amp;year=2019&amp;type=national&amp;d=6","Results")</f>
        <v/>
      </c>
    </row>
    <row r="250" spans="1:5">
      <c r="A250" t="s">
        <v>664</v>
      </c>
      <c r="B250" t="s">
        <v>3691</v>
      </c>
      <c r="C250" t="s">
        <v>3149</v>
      </c>
      <c r="D250" t="s">
        <v>133</v>
      </c>
      <c r="E250">
        <f>HYPERLINK("https://www.britishcycling.org.uk/points?person_id=258936&amp;year=2019&amp;type=national&amp;d=6","Results")</f>
        <v/>
      </c>
    </row>
    <row r="251" spans="1:5">
      <c r="A251" t="s">
        <v>150</v>
      </c>
      <c r="B251" t="s">
        <v>3692</v>
      </c>
      <c r="C251" t="s">
        <v>1895</v>
      </c>
      <c r="D251" t="s">
        <v>130</v>
      </c>
      <c r="E251">
        <f>HYPERLINK("https://www.britishcycling.org.uk/points?person_id=15394&amp;year=2019&amp;type=national&amp;d=6","Results")</f>
        <v/>
      </c>
    </row>
    <row r="252" spans="1:5">
      <c r="A252" t="s">
        <v>147</v>
      </c>
      <c r="B252" t="s">
        <v>3693</v>
      </c>
      <c r="C252" t="s">
        <v>3694</v>
      </c>
      <c r="D252" t="s">
        <v>130</v>
      </c>
      <c r="E252">
        <f>HYPERLINK("https://www.britishcycling.org.uk/points?person_id=75520&amp;year=2019&amp;type=national&amp;d=6","Results")</f>
        <v/>
      </c>
    </row>
    <row r="253" spans="1:5">
      <c r="A253" t="s">
        <v>668</v>
      </c>
      <c r="B253" t="s">
        <v>3695</v>
      </c>
      <c r="C253" t="s">
        <v>167</v>
      </c>
      <c r="D253" t="s">
        <v>130</v>
      </c>
      <c r="E253">
        <f>HYPERLINK("https://www.britishcycling.org.uk/points?person_id=308991&amp;year=2019&amp;type=national&amp;d=6","Results")</f>
        <v/>
      </c>
    </row>
    <row r="254" spans="1:5">
      <c r="A254" t="s">
        <v>144</v>
      </c>
      <c r="B254" t="s">
        <v>3696</v>
      </c>
      <c r="C254" t="s"/>
      <c r="D254" t="s">
        <v>130</v>
      </c>
      <c r="E254">
        <f>HYPERLINK("https://www.britishcycling.org.uk/points?person_id=558401&amp;year=2019&amp;type=national&amp;d=6","Results")</f>
        <v/>
      </c>
    </row>
    <row r="255" spans="1:5">
      <c r="A255" t="s">
        <v>672</v>
      </c>
      <c r="B255" t="s">
        <v>3697</v>
      </c>
      <c r="C255" t="s">
        <v>312</v>
      </c>
      <c r="D255" t="s">
        <v>130</v>
      </c>
      <c r="E255">
        <f>HYPERLINK("https://www.britishcycling.org.uk/points?person_id=192104&amp;year=2019&amp;type=national&amp;d=6","Results")</f>
        <v/>
      </c>
    </row>
    <row r="256" spans="1:5">
      <c r="A256" t="s">
        <v>674</v>
      </c>
      <c r="B256" t="s">
        <v>3698</v>
      </c>
      <c r="C256" t="s">
        <v>3699</v>
      </c>
      <c r="D256" t="s">
        <v>119</v>
      </c>
      <c r="E256">
        <f>HYPERLINK("https://www.britishcycling.org.uk/points?person_id=545763&amp;year=2019&amp;type=national&amp;d=6","Results")</f>
        <v/>
      </c>
    </row>
    <row r="257" spans="1:5">
      <c r="A257" t="s">
        <v>677</v>
      </c>
      <c r="B257" t="s">
        <v>3700</v>
      </c>
      <c r="C257" t="s">
        <v>3701</v>
      </c>
      <c r="D257" t="s">
        <v>115</v>
      </c>
      <c r="E257">
        <f>HYPERLINK("https://www.britishcycling.org.uk/points?person_id=11372&amp;year=2019&amp;type=national&amp;d=6","Results")</f>
        <v/>
      </c>
    </row>
    <row r="258" spans="1:5">
      <c r="A258" t="s">
        <v>679</v>
      </c>
      <c r="B258" t="s">
        <v>3702</v>
      </c>
      <c r="C258" t="s">
        <v>3703</v>
      </c>
      <c r="D258" t="s">
        <v>111</v>
      </c>
      <c r="E258">
        <f>HYPERLINK("https://www.britishcycling.org.uk/points?person_id=52182&amp;year=2019&amp;type=national&amp;d=6","Results")</f>
        <v/>
      </c>
    </row>
    <row r="259" spans="1:5">
      <c r="A259" t="s">
        <v>140</v>
      </c>
      <c r="B259" t="s">
        <v>3704</v>
      </c>
      <c r="C259" t="s">
        <v>3584</v>
      </c>
      <c r="D259" t="s">
        <v>111</v>
      </c>
      <c r="E259">
        <f>HYPERLINK("https://www.britishcycling.org.uk/points?person_id=860839&amp;year=2019&amp;type=national&amp;d=6","Results")</f>
        <v/>
      </c>
    </row>
    <row r="260" spans="1:5">
      <c r="A260" t="s">
        <v>682</v>
      </c>
      <c r="B260" t="s">
        <v>3705</v>
      </c>
      <c r="C260" t="s">
        <v>3706</v>
      </c>
      <c r="D260" t="s">
        <v>111</v>
      </c>
      <c r="E260">
        <f>HYPERLINK("https://www.britishcycling.org.uk/points?person_id=844939&amp;year=2019&amp;type=national&amp;d=6","Results")</f>
        <v/>
      </c>
    </row>
    <row r="261" spans="1:5">
      <c r="A261" t="s">
        <v>136</v>
      </c>
      <c r="B261" t="s">
        <v>3707</v>
      </c>
      <c r="C261" t="s"/>
      <c r="D261" t="s">
        <v>111</v>
      </c>
      <c r="E261">
        <f>HYPERLINK("https://www.britishcycling.org.uk/points?person_id=69953&amp;year=2019&amp;type=national&amp;d=6","Results")</f>
        <v/>
      </c>
    </row>
    <row r="262" spans="1:5">
      <c r="A262" t="s">
        <v>685</v>
      </c>
      <c r="B262" t="s">
        <v>3708</v>
      </c>
      <c r="C262" t="s">
        <v>1872</v>
      </c>
      <c r="D262" t="s">
        <v>107</v>
      </c>
      <c r="E262">
        <f>HYPERLINK("https://www.britishcycling.org.uk/points?person_id=187414&amp;year=2019&amp;type=national&amp;d=6","Results")</f>
        <v/>
      </c>
    </row>
    <row r="263" spans="1:5">
      <c r="A263" t="s">
        <v>687</v>
      </c>
      <c r="B263" t="s">
        <v>3709</v>
      </c>
      <c r="C263" t="s">
        <v>383</v>
      </c>
      <c r="D263" t="s">
        <v>107</v>
      </c>
      <c r="E263">
        <f>HYPERLINK("https://www.britishcycling.org.uk/points?person_id=73978&amp;year=2019&amp;type=national&amp;d=6","Results")</f>
        <v/>
      </c>
    </row>
    <row r="264" spans="1:5">
      <c r="A264" t="s">
        <v>689</v>
      </c>
      <c r="B264" t="s">
        <v>3710</v>
      </c>
      <c r="C264" t="s"/>
      <c r="D264" t="s">
        <v>107</v>
      </c>
      <c r="E264">
        <f>HYPERLINK("https://www.britishcycling.org.uk/points?person_id=238805&amp;year=2019&amp;type=national&amp;d=6","Results")</f>
        <v/>
      </c>
    </row>
    <row r="265" spans="1:5">
      <c r="A265" t="s">
        <v>132</v>
      </c>
      <c r="B265" t="s">
        <v>3711</v>
      </c>
      <c r="C265" t="s">
        <v>3712</v>
      </c>
      <c r="D265" t="s">
        <v>103</v>
      </c>
      <c r="E265">
        <f>HYPERLINK("https://www.britishcycling.org.uk/points?person_id=305332&amp;year=2019&amp;type=national&amp;d=6","Results")</f>
        <v/>
      </c>
    </row>
    <row r="266" spans="1:5">
      <c r="A266" t="s">
        <v>694</v>
      </c>
      <c r="B266" t="s">
        <v>3713</v>
      </c>
      <c r="C266" t="s"/>
      <c r="D266" t="s">
        <v>103</v>
      </c>
      <c r="E266">
        <f>HYPERLINK("https://www.britishcycling.org.uk/points?person_id=238167&amp;year=2019&amp;type=national&amp;d=6","Results")</f>
        <v/>
      </c>
    </row>
    <row r="267" spans="1:5">
      <c r="A267" t="s">
        <v>697</v>
      </c>
      <c r="B267" t="s">
        <v>3714</v>
      </c>
      <c r="C267" t="s"/>
      <c r="D267" t="s">
        <v>103</v>
      </c>
      <c r="E267">
        <f>HYPERLINK("https://www.britishcycling.org.uk/points?person_id=67327&amp;year=2019&amp;type=national&amp;d=6","Results")</f>
        <v/>
      </c>
    </row>
    <row r="268" spans="1:5">
      <c r="A268" t="s">
        <v>699</v>
      </c>
      <c r="B268" t="s">
        <v>3715</v>
      </c>
      <c r="C268" t="s"/>
      <c r="D268" t="s">
        <v>99</v>
      </c>
      <c r="E268">
        <f>HYPERLINK("https://www.britishcycling.org.uk/points?person_id=528298&amp;year=2019&amp;type=national&amp;d=6","Results")</f>
        <v/>
      </c>
    </row>
    <row r="269" spans="1:5">
      <c r="A269" t="s">
        <v>701</v>
      </c>
      <c r="B269" t="s">
        <v>3716</v>
      </c>
      <c r="C269" t="s">
        <v>1502</v>
      </c>
      <c r="D269" t="s">
        <v>99</v>
      </c>
      <c r="E269">
        <f>HYPERLINK("https://www.britishcycling.org.uk/points?person_id=702&amp;year=2019&amp;type=national&amp;d=6","Results")</f>
        <v/>
      </c>
    </row>
    <row r="270" spans="1:5">
      <c r="A270" t="s">
        <v>703</v>
      </c>
      <c r="B270" t="s">
        <v>3717</v>
      </c>
      <c r="C270" t="s">
        <v>2389</v>
      </c>
      <c r="D270" t="s">
        <v>92</v>
      </c>
      <c r="E270">
        <f>HYPERLINK("https://www.britishcycling.org.uk/points?person_id=50885&amp;year=2019&amp;type=national&amp;d=6","Results")</f>
        <v/>
      </c>
    </row>
    <row r="271" spans="1:5">
      <c r="A271" t="s">
        <v>705</v>
      </c>
      <c r="B271" t="s">
        <v>3718</v>
      </c>
      <c r="C271" t="s">
        <v>272</v>
      </c>
      <c r="D271" t="s">
        <v>92</v>
      </c>
      <c r="E271">
        <f>HYPERLINK("https://www.britishcycling.org.uk/points?person_id=37568&amp;year=2019&amp;type=national&amp;d=6","Results")</f>
        <v/>
      </c>
    </row>
    <row r="272" spans="1:5">
      <c r="A272" t="s">
        <v>707</v>
      </c>
      <c r="B272" t="s">
        <v>3719</v>
      </c>
      <c r="C272" t="s">
        <v>1666</v>
      </c>
      <c r="D272" t="s">
        <v>92</v>
      </c>
      <c r="E272">
        <f>HYPERLINK("https://www.britishcycling.org.uk/points?person_id=63650&amp;year=2019&amp;type=national&amp;d=6","Results")</f>
        <v/>
      </c>
    </row>
    <row r="273" spans="1:5">
      <c r="A273" t="s">
        <v>710</v>
      </c>
      <c r="B273" t="s">
        <v>3720</v>
      </c>
      <c r="C273" t="s">
        <v>1502</v>
      </c>
      <c r="D273" t="s">
        <v>89</v>
      </c>
      <c r="E273">
        <f>HYPERLINK("https://www.britishcycling.org.uk/points?person_id=103548&amp;year=2019&amp;type=national&amp;d=6","Results")</f>
        <v/>
      </c>
    </row>
    <row r="274" spans="1:5">
      <c r="A274" t="s">
        <v>712</v>
      </c>
      <c r="B274" t="s">
        <v>3721</v>
      </c>
      <c r="C274" t="s">
        <v>2682</v>
      </c>
      <c r="D274" t="s">
        <v>89</v>
      </c>
      <c r="E274">
        <f>HYPERLINK("https://www.britishcycling.org.uk/points?person_id=21120&amp;year=2019&amp;type=national&amp;d=6","Results")</f>
        <v/>
      </c>
    </row>
    <row r="275" spans="1:5">
      <c r="A275" t="s">
        <v>714</v>
      </c>
      <c r="B275" t="s">
        <v>3722</v>
      </c>
      <c r="C275" t="s">
        <v>554</v>
      </c>
      <c r="D275" t="s">
        <v>89</v>
      </c>
      <c r="E275">
        <f>HYPERLINK("https://www.britishcycling.org.uk/points?person_id=705939&amp;year=2019&amp;type=national&amp;d=6","Results")</f>
        <v/>
      </c>
    </row>
    <row r="276" spans="1:5">
      <c r="A276" t="s">
        <v>716</v>
      </c>
      <c r="B276" t="s">
        <v>3723</v>
      </c>
      <c r="C276" t="s">
        <v>771</v>
      </c>
      <c r="D276" t="s">
        <v>89</v>
      </c>
      <c r="E276">
        <f>HYPERLINK("https://www.britishcycling.org.uk/points?person_id=339629&amp;year=2019&amp;type=national&amp;d=6","Results")</f>
        <v/>
      </c>
    </row>
    <row r="277" spans="1:5">
      <c r="A277" t="s">
        <v>129</v>
      </c>
      <c r="B277" t="s">
        <v>3724</v>
      </c>
      <c r="C277" t="s">
        <v>2041</v>
      </c>
      <c r="D277" t="s">
        <v>89</v>
      </c>
      <c r="E277">
        <f>HYPERLINK("https://www.britishcycling.org.uk/points?person_id=58922&amp;year=2019&amp;type=national&amp;d=6","Results")</f>
        <v/>
      </c>
    </row>
    <row r="278" spans="1:5">
      <c r="A278" t="s">
        <v>719</v>
      </c>
      <c r="B278" t="s">
        <v>3725</v>
      </c>
      <c r="C278" t="s">
        <v>2132</v>
      </c>
      <c r="D278" t="s">
        <v>82</v>
      </c>
      <c r="E278">
        <f>HYPERLINK("https://www.britishcycling.org.uk/points?person_id=33704&amp;year=2019&amp;type=national&amp;d=6","Results")</f>
        <v/>
      </c>
    </row>
    <row r="279" spans="1:5">
      <c r="A279" t="s">
        <v>721</v>
      </c>
      <c r="B279" t="s">
        <v>3726</v>
      </c>
      <c r="C279" t="s">
        <v>3727</v>
      </c>
      <c r="D279" t="s">
        <v>78</v>
      </c>
      <c r="E279">
        <f>HYPERLINK("https://www.britishcycling.org.uk/points?person_id=1847&amp;year=2019&amp;type=national&amp;d=6","Results")</f>
        <v/>
      </c>
    </row>
    <row r="280" spans="1:5">
      <c r="A280" t="s">
        <v>724</v>
      </c>
      <c r="B280" t="s">
        <v>3728</v>
      </c>
      <c r="C280" t="s">
        <v>3183</v>
      </c>
      <c r="D280" t="s">
        <v>78</v>
      </c>
      <c r="E280">
        <f>HYPERLINK("https://www.britishcycling.org.uk/points?person_id=64137&amp;year=2019&amp;type=national&amp;d=6","Results")</f>
        <v/>
      </c>
    </row>
    <row r="281" spans="1:5">
      <c r="A281" t="s">
        <v>726</v>
      </c>
      <c r="B281" t="s">
        <v>3729</v>
      </c>
      <c r="C281" t="s">
        <v>844</v>
      </c>
      <c r="D281" t="s">
        <v>78</v>
      </c>
      <c r="E281">
        <f>HYPERLINK("https://www.britishcycling.org.uk/points?person_id=264106&amp;year=2019&amp;type=national&amp;d=6","Results")</f>
        <v/>
      </c>
    </row>
    <row r="282" spans="1:5">
      <c r="A282" t="s">
        <v>729</v>
      </c>
      <c r="B282" t="s">
        <v>3730</v>
      </c>
      <c r="C282" t="s">
        <v>3314</v>
      </c>
      <c r="D282" t="s">
        <v>78</v>
      </c>
      <c r="E282">
        <f>HYPERLINK("https://www.britishcycling.org.uk/points?person_id=57467&amp;year=2019&amp;type=national&amp;d=6","Results")</f>
        <v/>
      </c>
    </row>
    <row r="283" spans="1:5">
      <c r="A283" t="s">
        <v>732</v>
      </c>
      <c r="B283" t="s">
        <v>3731</v>
      </c>
      <c r="C283" t="s">
        <v>3193</v>
      </c>
      <c r="D283" t="s">
        <v>78</v>
      </c>
      <c r="E283">
        <f>HYPERLINK("https://www.britishcycling.org.uk/points?person_id=8445&amp;year=2019&amp;type=national&amp;d=6","Results")</f>
        <v/>
      </c>
    </row>
    <row r="284" spans="1:5">
      <c r="A284" t="s">
        <v>735</v>
      </c>
      <c r="B284" t="s">
        <v>3732</v>
      </c>
      <c r="C284" t="s">
        <v>392</v>
      </c>
      <c r="D284" t="s">
        <v>71</v>
      </c>
      <c r="E284">
        <f>HYPERLINK("https://www.britishcycling.org.uk/points?person_id=291464&amp;year=2019&amp;type=national&amp;d=6","Results")</f>
        <v/>
      </c>
    </row>
    <row r="285" spans="1:5">
      <c r="A285" t="s">
        <v>737</v>
      </c>
      <c r="B285" t="s">
        <v>3733</v>
      </c>
      <c r="C285" t="s"/>
      <c r="D285" t="s">
        <v>71</v>
      </c>
      <c r="E285">
        <f>HYPERLINK("https://www.britishcycling.org.uk/points?person_id=184334&amp;year=2019&amp;type=national&amp;d=6","Results")</f>
        <v/>
      </c>
    </row>
    <row r="286" spans="1:5">
      <c r="A286" t="s">
        <v>739</v>
      </c>
      <c r="B286" t="s">
        <v>3734</v>
      </c>
      <c r="C286" t="s">
        <v>3735</v>
      </c>
      <c r="D286" t="s">
        <v>67</v>
      </c>
      <c r="E286">
        <f>HYPERLINK("https://www.britishcycling.org.uk/points?person_id=191548&amp;year=2019&amp;type=national&amp;d=6","Results")</f>
        <v/>
      </c>
    </row>
    <row r="287" spans="1:5">
      <c r="A287" t="s">
        <v>741</v>
      </c>
      <c r="B287" t="s">
        <v>3736</v>
      </c>
      <c r="C287" t="s">
        <v>1947</v>
      </c>
      <c r="D287" t="s">
        <v>67</v>
      </c>
      <c r="E287">
        <f>HYPERLINK("https://www.britishcycling.org.uk/points?person_id=250244&amp;year=2019&amp;type=national&amp;d=6","Results")</f>
        <v/>
      </c>
    </row>
    <row r="288" spans="1:5">
      <c r="A288" t="s">
        <v>744</v>
      </c>
      <c r="B288" t="s">
        <v>3737</v>
      </c>
      <c r="C288" t="s">
        <v>3738</v>
      </c>
      <c r="D288" t="s">
        <v>67</v>
      </c>
      <c r="E288">
        <f>HYPERLINK("https://www.britishcycling.org.uk/points?person_id=228566&amp;year=2019&amp;type=national&amp;d=6","Results")</f>
        <v/>
      </c>
    </row>
    <row r="289" spans="1:5">
      <c r="A289" t="s">
        <v>747</v>
      </c>
      <c r="B289" t="s">
        <v>3739</v>
      </c>
      <c r="C289" t="s">
        <v>3613</v>
      </c>
      <c r="D289" t="s">
        <v>63</v>
      </c>
      <c r="E289">
        <f>HYPERLINK("https://www.britishcycling.org.uk/points?person_id=99076&amp;year=2019&amp;type=national&amp;d=6","Results")</f>
        <v/>
      </c>
    </row>
    <row r="290" spans="1:5">
      <c r="A290" t="s">
        <v>749</v>
      </c>
      <c r="B290" t="s">
        <v>3740</v>
      </c>
      <c r="C290" t="s">
        <v>3741</v>
      </c>
      <c r="D290" t="s">
        <v>63</v>
      </c>
      <c r="E290">
        <f>HYPERLINK("https://www.britishcycling.org.uk/points?person_id=415591&amp;year=2019&amp;type=national&amp;d=6","Results")</f>
        <v/>
      </c>
    </row>
    <row r="291" spans="1:5">
      <c r="A291" t="s">
        <v>751</v>
      </c>
      <c r="B291" t="s">
        <v>3742</v>
      </c>
      <c r="C291" t="s">
        <v>1500</v>
      </c>
      <c r="D291" t="s">
        <v>63</v>
      </c>
      <c r="E291">
        <f>HYPERLINK("https://www.britishcycling.org.uk/points?person_id=199561&amp;year=2019&amp;type=national&amp;d=6","Results")</f>
        <v/>
      </c>
    </row>
    <row r="292" spans="1:5">
      <c r="A292" t="s">
        <v>126</v>
      </c>
      <c r="B292" t="s">
        <v>3743</v>
      </c>
      <c r="C292" t="s">
        <v>2897</v>
      </c>
      <c r="D292" t="s">
        <v>63</v>
      </c>
      <c r="E292">
        <f>HYPERLINK("https://www.britishcycling.org.uk/points?person_id=210842&amp;year=2019&amp;type=national&amp;d=6","Results")</f>
        <v/>
      </c>
    </row>
    <row r="293" spans="1:5">
      <c r="A293" t="s">
        <v>754</v>
      </c>
      <c r="B293" t="s">
        <v>3423</v>
      </c>
      <c r="C293" t="s">
        <v>551</v>
      </c>
      <c r="D293" t="s">
        <v>63</v>
      </c>
      <c r="E293">
        <f>HYPERLINK("https://www.britishcycling.org.uk/points?person_id=331848&amp;year=2019&amp;type=national&amp;d=6","Results")</f>
        <v/>
      </c>
    </row>
    <row r="294" spans="1:5">
      <c r="A294" t="s">
        <v>756</v>
      </c>
      <c r="B294" t="s">
        <v>3744</v>
      </c>
      <c r="C294" t="s"/>
      <c r="D294" t="s">
        <v>63</v>
      </c>
      <c r="E294">
        <f>HYPERLINK("https://www.britishcycling.org.uk/points?person_id=37010&amp;year=2019&amp;type=national&amp;d=6","Results")</f>
        <v/>
      </c>
    </row>
    <row r="295" spans="1:5">
      <c r="A295" t="s">
        <v>758</v>
      </c>
      <c r="B295" t="s">
        <v>3745</v>
      </c>
      <c r="C295" t="s">
        <v>361</v>
      </c>
      <c r="D295" t="s">
        <v>63</v>
      </c>
      <c r="E295">
        <f>HYPERLINK("https://www.britishcycling.org.uk/points?person_id=335964&amp;year=2019&amp;type=national&amp;d=6","Results")</f>
        <v/>
      </c>
    </row>
    <row r="296" spans="1:5">
      <c r="A296" t="s">
        <v>122</v>
      </c>
      <c r="B296" t="s">
        <v>3746</v>
      </c>
      <c r="C296" t="s">
        <v>531</v>
      </c>
      <c r="D296" t="s">
        <v>63</v>
      </c>
      <c r="E296">
        <f>HYPERLINK("https://www.britishcycling.org.uk/points?person_id=189031&amp;year=2019&amp;type=national&amp;d=6","Results")</f>
        <v/>
      </c>
    </row>
    <row r="297" spans="1:5">
      <c r="A297" t="s">
        <v>118</v>
      </c>
      <c r="B297" t="s">
        <v>3747</v>
      </c>
      <c r="C297" t="s">
        <v>1931</v>
      </c>
      <c r="D297" t="s">
        <v>63</v>
      </c>
      <c r="E297">
        <f>HYPERLINK("https://www.britishcycling.org.uk/points?person_id=307853&amp;year=2019&amp;type=national&amp;d=6","Results")</f>
        <v/>
      </c>
    </row>
    <row r="298" spans="1:5">
      <c r="A298" t="s">
        <v>762</v>
      </c>
      <c r="B298" t="s">
        <v>3748</v>
      </c>
      <c r="C298" t="s">
        <v>3193</v>
      </c>
      <c r="D298" t="s">
        <v>59</v>
      </c>
      <c r="E298">
        <f>HYPERLINK("https://www.britishcycling.org.uk/points?person_id=205019&amp;year=2019&amp;type=national&amp;d=6","Results")</f>
        <v/>
      </c>
    </row>
    <row r="299" spans="1:5">
      <c r="A299" t="s">
        <v>114</v>
      </c>
      <c r="B299" t="s">
        <v>3749</v>
      </c>
      <c r="C299" t="s">
        <v>3750</v>
      </c>
      <c r="D299" t="s">
        <v>59</v>
      </c>
      <c r="E299">
        <f>HYPERLINK("https://www.britishcycling.org.uk/points?person_id=30407&amp;year=2019&amp;type=national&amp;d=6","Results")</f>
        <v/>
      </c>
    </row>
    <row r="300" spans="1:5">
      <c r="A300" t="s">
        <v>765</v>
      </c>
      <c r="B300" t="s">
        <v>3751</v>
      </c>
      <c r="C300" t="s">
        <v>1056</v>
      </c>
      <c r="D300" t="s">
        <v>59</v>
      </c>
      <c r="E300">
        <f>HYPERLINK("https://www.britishcycling.org.uk/points?person_id=10806&amp;year=2019&amp;type=national&amp;d=6","Results")</f>
        <v/>
      </c>
    </row>
    <row r="301" spans="1:5">
      <c r="A301" t="s">
        <v>767</v>
      </c>
      <c r="B301" t="s">
        <v>3752</v>
      </c>
      <c r="C301" t="s">
        <v>3753</v>
      </c>
      <c r="D301" t="s">
        <v>59</v>
      </c>
      <c r="E301">
        <f>HYPERLINK("https://www.britishcycling.org.uk/points?person_id=347575&amp;year=2019&amp;type=national&amp;d=6","Results")</f>
        <v/>
      </c>
    </row>
    <row r="302" spans="1:5">
      <c r="A302" t="s">
        <v>769</v>
      </c>
      <c r="B302" t="s">
        <v>3754</v>
      </c>
      <c r="C302" t="s">
        <v>3235</v>
      </c>
      <c r="D302" t="s">
        <v>59</v>
      </c>
      <c r="E302">
        <f>HYPERLINK("https://www.britishcycling.org.uk/points?person_id=6532&amp;year=2019&amp;type=national&amp;d=6","Results")</f>
        <v/>
      </c>
    </row>
    <row r="303" spans="1:5">
      <c r="A303" t="s">
        <v>772</v>
      </c>
      <c r="B303" t="s">
        <v>3755</v>
      </c>
      <c r="C303" t="s">
        <v>2082</v>
      </c>
      <c r="D303" t="s">
        <v>59</v>
      </c>
      <c r="E303">
        <f>HYPERLINK("https://www.britishcycling.org.uk/points?person_id=17938&amp;year=2019&amp;type=national&amp;d=6","Results")</f>
        <v/>
      </c>
    </row>
    <row r="304" spans="1:5">
      <c r="A304" t="s">
        <v>775</v>
      </c>
      <c r="B304" t="s">
        <v>3756</v>
      </c>
      <c r="C304" t="s"/>
      <c r="D304" t="s">
        <v>59</v>
      </c>
      <c r="E304">
        <f>HYPERLINK("https://www.britishcycling.org.uk/points?person_id=736059&amp;year=2019&amp;type=national&amp;d=6","Results")</f>
        <v/>
      </c>
    </row>
    <row r="305" spans="1:5">
      <c r="A305" t="s">
        <v>777</v>
      </c>
      <c r="B305" t="s">
        <v>3757</v>
      </c>
      <c r="C305" t="s">
        <v>887</v>
      </c>
      <c r="D305" t="s">
        <v>59</v>
      </c>
      <c r="E305">
        <f>HYPERLINK("https://www.britishcycling.org.uk/points?person_id=172572&amp;year=2019&amp;type=national&amp;d=6","Results")</f>
        <v/>
      </c>
    </row>
    <row r="306" spans="1:5">
      <c r="A306" t="s">
        <v>779</v>
      </c>
      <c r="B306" t="s">
        <v>3758</v>
      </c>
      <c r="C306" t="s"/>
      <c r="D306" t="s">
        <v>59</v>
      </c>
      <c r="E306">
        <f>HYPERLINK("https://www.britishcycling.org.uk/points?person_id=11666&amp;year=2019&amp;type=national&amp;d=6","Results")</f>
        <v/>
      </c>
    </row>
    <row r="307" spans="1:5">
      <c r="A307" t="s">
        <v>782</v>
      </c>
      <c r="B307" t="s">
        <v>3759</v>
      </c>
      <c r="C307" t="s">
        <v>2281</v>
      </c>
      <c r="D307" t="s">
        <v>55</v>
      </c>
      <c r="E307">
        <f>HYPERLINK("https://www.britishcycling.org.uk/points?person_id=33413&amp;year=2019&amp;type=national&amp;d=6","Results")</f>
        <v/>
      </c>
    </row>
    <row r="308" spans="1:5">
      <c r="A308" t="s">
        <v>784</v>
      </c>
      <c r="B308" t="s">
        <v>3760</v>
      </c>
      <c r="C308" t="s"/>
      <c r="D308" t="s">
        <v>55</v>
      </c>
      <c r="E308">
        <f>HYPERLINK("https://www.britishcycling.org.uk/points?person_id=45543&amp;year=2019&amp;type=national&amp;d=6","Results")</f>
        <v/>
      </c>
    </row>
    <row r="309" spans="1:5">
      <c r="A309" t="s">
        <v>786</v>
      </c>
      <c r="B309" t="s">
        <v>3761</v>
      </c>
      <c r="C309" t="s">
        <v>3110</v>
      </c>
      <c r="D309" t="s">
        <v>55</v>
      </c>
      <c r="E309">
        <f>HYPERLINK("https://www.britishcycling.org.uk/points?person_id=265610&amp;year=2019&amp;type=national&amp;d=6","Results")</f>
        <v/>
      </c>
    </row>
    <row r="310" spans="1:5">
      <c r="A310" t="s">
        <v>788</v>
      </c>
      <c r="B310" t="s">
        <v>3762</v>
      </c>
      <c r="C310" t="s">
        <v>3763</v>
      </c>
      <c r="D310" t="s">
        <v>55</v>
      </c>
      <c r="E310">
        <f>HYPERLINK("https://www.britishcycling.org.uk/points?person_id=6615&amp;year=2019&amp;type=national&amp;d=6","Results")</f>
        <v/>
      </c>
    </row>
    <row r="311" spans="1:5">
      <c r="A311" t="s">
        <v>790</v>
      </c>
      <c r="B311" t="s">
        <v>3764</v>
      </c>
      <c r="C311" t="s">
        <v>3765</v>
      </c>
      <c r="D311" t="s">
        <v>55</v>
      </c>
      <c r="E311">
        <f>HYPERLINK("https://www.britishcycling.org.uk/points?person_id=69557&amp;year=2019&amp;type=national&amp;d=6","Results")</f>
        <v/>
      </c>
    </row>
    <row r="312" spans="1:5">
      <c r="A312" t="s">
        <v>792</v>
      </c>
      <c r="B312" t="s">
        <v>3766</v>
      </c>
      <c r="C312" t="s">
        <v>3297</v>
      </c>
      <c r="D312" t="s">
        <v>55</v>
      </c>
      <c r="E312">
        <f>HYPERLINK("https://www.britishcycling.org.uk/points?person_id=409212&amp;year=2019&amp;type=national&amp;d=6","Results")</f>
        <v/>
      </c>
    </row>
    <row r="313" spans="1:5">
      <c r="A313" t="s">
        <v>794</v>
      </c>
      <c r="B313" t="s">
        <v>3767</v>
      </c>
      <c r="C313" t="s">
        <v>1450</v>
      </c>
      <c r="D313" t="s">
        <v>55</v>
      </c>
      <c r="E313">
        <f>HYPERLINK("https://www.britishcycling.org.uk/points?person_id=171751&amp;year=2019&amp;type=national&amp;d=6","Results")</f>
        <v/>
      </c>
    </row>
    <row r="314" spans="1:5">
      <c r="A314" t="s">
        <v>797</v>
      </c>
      <c r="B314" t="s">
        <v>3768</v>
      </c>
      <c r="C314" t="s">
        <v>3769</v>
      </c>
      <c r="D314" t="s">
        <v>55</v>
      </c>
      <c r="E314">
        <f>HYPERLINK("https://www.britishcycling.org.uk/points?person_id=13781&amp;year=2019&amp;type=national&amp;d=6","Results")</f>
        <v/>
      </c>
    </row>
    <row r="315" spans="1:5">
      <c r="A315" t="s">
        <v>799</v>
      </c>
      <c r="B315" t="s">
        <v>3770</v>
      </c>
      <c r="C315" t="s">
        <v>559</v>
      </c>
      <c r="D315" t="s">
        <v>51</v>
      </c>
      <c r="E315">
        <f>HYPERLINK("https://www.britishcycling.org.uk/points?person_id=174792&amp;year=2019&amp;type=national&amp;d=6","Results")</f>
        <v/>
      </c>
    </row>
    <row r="316" spans="1:5">
      <c r="A316" t="s">
        <v>801</v>
      </c>
      <c r="B316" t="s">
        <v>3771</v>
      </c>
      <c r="C316" t="s">
        <v>2281</v>
      </c>
      <c r="D316" t="s">
        <v>51</v>
      </c>
      <c r="E316">
        <f>HYPERLINK("https://www.britishcycling.org.uk/points?person_id=65967&amp;year=2019&amp;type=national&amp;d=6","Results")</f>
        <v/>
      </c>
    </row>
    <row r="317" spans="1:5">
      <c r="A317" t="s">
        <v>803</v>
      </c>
      <c r="B317" t="s">
        <v>3772</v>
      </c>
      <c r="C317" t="s">
        <v>2347</v>
      </c>
      <c r="D317" t="s">
        <v>51</v>
      </c>
      <c r="E317">
        <f>HYPERLINK("https://www.britishcycling.org.uk/points?person_id=125394&amp;year=2019&amp;type=national&amp;d=6","Results")</f>
        <v/>
      </c>
    </row>
    <row r="318" spans="1:5">
      <c r="A318" t="s">
        <v>110</v>
      </c>
      <c r="B318" t="s">
        <v>3773</v>
      </c>
      <c r="C318" t="s">
        <v>3774</v>
      </c>
      <c r="D318" t="s">
        <v>47</v>
      </c>
      <c r="E318">
        <f>HYPERLINK("https://www.britishcycling.org.uk/points?person_id=321373&amp;year=2019&amp;type=national&amp;d=6","Results")</f>
        <v/>
      </c>
    </row>
    <row r="319" spans="1:5">
      <c r="A319" t="s">
        <v>806</v>
      </c>
      <c r="B319" t="s">
        <v>3775</v>
      </c>
      <c r="C319" t="s">
        <v>139</v>
      </c>
      <c r="D319" t="s">
        <v>47</v>
      </c>
      <c r="E319">
        <f>HYPERLINK("https://www.britishcycling.org.uk/points?person_id=107320&amp;year=2019&amp;type=national&amp;d=6","Results")</f>
        <v/>
      </c>
    </row>
    <row r="320" spans="1:5">
      <c r="A320" t="s">
        <v>808</v>
      </c>
      <c r="B320" t="s">
        <v>3776</v>
      </c>
      <c r="C320" t="s">
        <v>3777</v>
      </c>
      <c r="D320" t="s">
        <v>47</v>
      </c>
      <c r="E320">
        <f>HYPERLINK("https://www.britishcycling.org.uk/points?person_id=224552&amp;year=2019&amp;type=national&amp;d=6","Results")</f>
        <v/>
      </c>
    </row>
    <row r="321" spans="1:5">
      <c r="A321" t="s">
        <v>810</v>
      </c>
      <c r="B321" t="s">
        <v>3778</v>
      </c>
      <c r="C321" t="s">
        <v>1810</v>
      </c>
      <c r="D321" t="s">
        <v>47</v>
      </c>
      <c r="E321">
        <f>HYPERLINK("https://www.britishcycling.org.uk/points?person_id=23279&amp;year=2019&amp;type=national&amp;d=6","Results")</f>
        <v/>
      </c>
    </row>
    <row r="322" spans="1:5">
      <c r="A322" t="s">
        <v>812</v>
      </c>
      <c r="B322" t="s">
        <v>3779</v>
      </c>
      <c r="C322" t="s">
        <v>358</v>
      </c>
      <c r="D322" t="s">
        <v>47</v>
      </c>
      <c r="E322">
        <f>HYPERLINK("https://www.britishcycling.org.uk/points?person_id=181122&amp;year=2019&amp;type=national&amp;d=6","Results")</f>
        <v/>
      </c>
    </row>
    <row r="323" spans="1:5">
      <c r="A323" t="s">
        <v>815</v>
      </c>
      <c r="B323" t="s">
        <v>3780</v>
      </c>
      <c r="C323" t="s">
        <v>584</v>
      </c>
      <c r="D323" t="s">
        <v>47</v>
      </c>
      <c r="E323">
        <f>HYPERLINK("https://www.britishcycling.org.uk/points?person_id=227338&amp;year=2019&amp;type=national&amp;d=6","Results")</f>
        <v/>
      </c>
    </row>
    <row r="324" spans="1:5">
      <c r="A324" t="s">
        <v>818</v>
      </c>
      <c r="B324" t="s">
        <v>3781</v>
      </c>
      <c r="C324" t="s">
        <v>1461</v>
      </c>
      <c r="D324" t="s">
        <v>47</v>
      </c>
      <c r="E324">
        <f>HYPERLINK("https://www.britishcycling.org.uk/points?person_id=259541&amp;year=2019&amp;type=national&amp;d=6","Results")</f>
        <v/>
      </c>
    </row>
    <row r="325" spans="1:5">
      <c r="A325" t="s">
        <v>820</v>
      </c>
      <c r="B325" t="s">
        <v>3782</v>
      </c>
      <c r="C325" t="s">
        <v>1793</v>
      </c>
      <c r="D325" t="s">
        <v>47</v>
      </c>
      <c r="E325">
        <f>HYPERLINK("https://www.britishcycling.org.uk/points?person_id=60795&amp;year=2019&amp;type=national&amp;d=6","Results")</f>
        <v/>
      </c>
    </row>
    <row r="326" spans="1:5">
      <c r="A326" t="s">
        <v>823</v>
      </c>
      <c r="B326" t="s">
        <v>3783</v>
      </c>
      <c r="C326" t="s">
        <v>3421</v>
      </c>
      <c r="D326" t="s">
        <v>43</v>
      </c>
      <c r="E326">
        <f>HYPERLINK("https://www.britishcycling.org.uk/points?person_id=17580&amp;year=2019&amp;type=national&amp;d=6","Results")</f>
        <v/>
      </c>
    </row>
    <row r="327" spans="1:5">
      <c r="A327" t="s">
        <v>825</v>
      </c>
      <c r="B327" t="s">
        <v>3784</v>
      </c>
      <c r="C327" t="s"/>
      <c r="D327" t="s">
        <v>43</v>
      </c>
      <c r="E327">
        <f>HYPERLINK("https://www.britishcycling.org.uk/points?person_id=122360&amp;year=2019&amp;type=national&amp;d=6","Results")</f>
        <v/>
      </c>
    </row>
    <row r="328" spans="1:5">
      <c r="A328" t="s">
        <v>828</v>
      </c>
      <c r="B328" t="s">
        <v>3785</v>
      </c>
      <c r="C328" t="s"/>
      <c r="D328" t="s">
        <v>39</v>
      </c>
      <c r="E328">
        <f>HYPERLINK("https://www.britishcycling.org.uk/points?person_id=338109&amp;year=2019&amp;type=national&amp;d=6","Results")</f>
        <v/>
      </c>
    </row>
    <row r="329" spans="1:5">
      <c r="A329" t="s">
        <v>106</v>
      </c>
      <c r="B329" t="s">
        <v>3786</v>
      </c>
      <c r="C329" t="s">
        <v>1502</v>
      </c>
      <c r="D329" t="s">
        <v>39</v>
      </c>
      <c r="E329">
        <f>HYPERLINK("https://www.britishcycling.org.uk/points?person_id=123588&amp;year=2019&amp;type=national&amp;d=6","Results")</f>
        <v/>
      </c>
    </row>
    <row r="330" spans="1:5">
      <c r="A330" t="s">
        <v>832</v>
      </c>
      <c r="B330" t="s">
        <v>3787</v>
      </c>
      <c r="C330" t="s">
        <v>3615</v>
      </c>
      <c r="D330" t="s">
        <v>39</v>
      </c>
      <c r="E330">
        <f>HYPERLINK("https://www.britishcycling.org.uk/points?person_id=23628&amp;year=2019&amp;type=national&amp;d=6","Results")</f>
        <v/>
      </c>
    </row>
    <row r="331" spans="1:5">
      <c r="A331" t="s">
        <v>835</v>
      </c>
      <c r="B331" t="s">
        <v>3788</v>
      </c>
      <c r="C331" t="s">
        <v>589</v>
      </c>
      <c r="D331" t="s">
        <v>39</v>
      </c>
      <c r="E331">
        <f>HYPERLINK("https://www.britishcycling.org.uk/points?person_id=131356&amp;year=2019&amp;type=national&amp;d=6","Results")</f>
        <v/>
      </c>
    </row>
    <row r="332" spans="1:5">
      <c r="A332" t="s">
        <v>838</v>
      </c>
      <c r="B332" t="s">
        <v>3789</v>
      </c>
      <c r="C332" t="s">
        <v>1317</v>
      </c>
      <c r="D332" t="s">
        <v>39</v>
      </c>
      <c r="E332">
        <f>HYPERLINK("https://www.britishcycling.org.uk/points?person_id=50790&amp;year=2019&amp;type=national&amp;d=6","Results")</f>
        <v/>
      </c>
    </row>
    <row r="333" spans="1:5">
      <c r="A333" t="s">
        <v>840</v>
      </c>
      <c r="B333" t="s">
        <v>3790</v>
      </c>
      <c r="C333" t="s">
        <v>3791</v>
      </c>
      <c r="D333" t="s">
        <v>39</v>
      </c>
      <c r="E333">
        <f>HYPERLINK("https://www.britishcycling.org.uk/points?person_id=11595&amp;year=2019&amp;type=national&amp;d=6","Results")</f>
        <v/>
      </c>
    </row>
    <row r="334" spans="1:5">
      <c r="A334" t="s">
        <v>842</v>
      </c>
      <c r="B334" t="s">
        <v>3792</v>
      </c>
      <c r="C334" t="s">
        <v>3793</v>
      </c>
      <c r="D334" t="s">
        <v>39</v>
      </c>
      <c r="E334">
        <f>HYPERLINK("https://www.britishcycling.org.uk/points?person_id=477890&amp;year=2019&amp;type=national&amp;d=6","Results")</f>
        <v/>
      </c>
    </row>
    <row r="335" spans="1:5">
      <c r="A335" t="s">
        <v>845</v>
      </c>
      <c r="B335" t="s">
        <v>3794</v>
      </c>
      <c r="C335" t="s">
        <v>2717</v>
      </c>
      <c r="D335" t="s">
        <v>39</v>
      </c>
      <c r="E335">
        <f>HYPERLINK("https://www.britishcycling.org.uk/points?person_id=48615&amp;year=2019&amp;type=national&amp;d=6","Results")</f>
        <v/>
      </c>
    </row>
    <row r="336" spans="1:5">
      <c r="A336" t="s">
        <v>848</v>
      </c>
      <c r="B336" t="s">
        <v>3795</v>
      </c>
      <c r="C336" t="s">
        <v>3796</v>
      </c>
      <c r="D336" t="s">
        <v>39</v>
      </c>
      <c r="E336">
        <f>HYPERLINK("https://www.britishcycling.org.uk/points?person_id=19995&amp;year=2019&amp;type=national&amp;d=6","Results")</f>
        <v/>
      </c>
    </row>
    <row r="337" spans="1:5">
      <c r="A337" t="s">
        <v>102</v>
      </c>
      <c r="B337" t="s">
        <v>3797</v>
      </c>
      <c r="C337" t="s">
        <v>3798</v>
      </c>
      <c r="D337" t="s">
        <v>39</v>
      </c>
      <c r="E337">
        <f>HYPERLINK("https://www.britishcycling.org.uk/points?person_id=45678&amp;year=2019&amp;type=national&amp;d=6","Results")</f>
        <v/>
      </c>
    </row>
    <row r="338" spans="1:5">
      <c r="A338" t="s">
        <v>851</v>
      </c>
      <c r="B338" t="s">
        <v>3799</v>
      </c>
      <c r="C338" t="s">
        <v>3800</v>
      </c>
      <c r="D338" t="s">
        <v>35</v>
      </c>
      <c r="E338">
        <f>HYPERLINK("https://www.britishcycling.org.uk/points?person_id=242657&amp;year=2019&amp;type=national&amp;d=6","Results")</f>
        <v/>
      </c>
    </row>
    <row r="339" spans="1:5">
      <c r="A339" t="s">
        <v>854</v>
      </c>
      <c r="B339" t="s">
        <v>3801</v>
      </c>
      <c r="C339" t="s">
        <v>1113</v>
      </c>
      <c r="D339" t="s">
        <v>35</v>
      </c>
      <c r="E339">
        <f>HYPERLINK("https://www.britishcycling.org.uk/points?person_id=125696&amp;year=2019&amp;type=national&amp;d=6","Results")</f>
        <v/>
      </c>
    </row>
    <row r="340" spans="1:5">
      <c r="A340" t="s">
        <v>857</v>
      </c>
      <c r="B340" t="s">
        <v>3802</v>
      </c>
      <c r="C340" t="s">
        <v>1023</v>
      </c>
      <c r="D340" t="s">
        <v>35</v>
      </c>
      <c r="E340">
        <f>HYPERLINK("https://www.britishcycling.org.uk/points?person_id=243597&amp;year=2019&amp;type=national&amp;d=6","Results")</f>
        <v/>
      </c>
    </row>
    <row r="341" spans="1:5">
      <c r="A341" t="s">
        <v>98</v>
      </c>
      <c r="B341" t="s">
        <v>3803</v>
      </c>
      <c r="C341" t="s">
        <v>381</v>
      </c>
      <c r="D341" t="s">
        <v>35</v>
      </c>
      <c r="E341">
        <f>HYPERLINK("https://www.britishcycling.org.uk/points?person_id=18439&amp;year=2019&amp;type=national&amp;d=6","Results")</f>
        <v/>
      </c>
    </row>
    <row r="342" spans="1:5">
      <c r="A342" t="s">
        <v>860</v>
      </c>
      <c r="B342" t="s">
        <v>3804</v>
      </c>
      <c r="C342" t="s">
        <v>3113</v>
      </c>
      <c r="D342" t="s">
        <v>35</v>
      </c>
      <c r="E342">
        <f>HYPERLINK("https://www.britishcycling.org.uk/points?person_id=246704&amp;year=2019&amp;type=national&amp;d=6","Results")</f>
        <v/>
      </c>
    </row>
    <row r="343" spans="1:5">
      <c r="A343" t="s">
        <v>862</v>
      </c>
      <c r="B343" t="s">
        <v>3805</v>
      </c>
      <c r="C343" t="s">
        <v>1814</v>
      </c>
      <c r="D343" t="s">
        <v>31</v>
      </c>
      <c r="E343">
        <f>HYPERLINK("https://www.britishcycling.org.uk/points?person_id=334276&amp;year=2019&amp;type=national&amp;d=6","Results")</f>
        <v/>
      </c>
    </row>
    <row r="344" spans="1:5">
      <c r="A344" t="s">
        <v>864</v>
      </c>
      <c r="B344" t="s">
        <v>3806</v>
      </c>
      <c r="C344" t="s">
        <v>2988</v>
      </c>
      <c r="D344" t="s">
        <v>31</v>
      </c>
      <c r="E344">
        <f>HYPERLINK("https://www.britishcycling.org.uk/points?person_id=167443&amp;year=2019&amp;type=national&amp;d=6","Results")</f>
        <v/>
      </c>
    </row>
    <row r="345" spans="1:5">
      <c r="A345" t="s">
        <v>867</v>
      </c>
      <c r="B345" t="s">
        <v>3807</v>
      </c>
      <c r="C345" t="s">
        <v>3808</v>
      </c>
      <c r="D345" t="s">
        <v>31</v>
      </c>
      <c r="E345">
        <f>HYPERLINK("https://www.britishcycling.org.uk/points?person_id=256508&amp;year=2019&amp;type=national&amp;d=6","Results")</f>
        <v/>
      </c>
    </row>
    <row r="346" spans="1:5">
      <c r="A346" t="s">
        <v>869</v>
      </c>
      <c r="B346" t="s">
        <v>3809</v>
      </c>
      <c r="C346" t="s">
        <v>1018</v>
      </c>
      <c r="D346" t="s">
        <v>31</v>
      </c>
      <c r="E346">
        <f>HYPERLINK("https://www.britishcycling.org.uk/points?person_id=101764&amp;year=2019&amp;type=national&amp;d=6","Results")</f>
        <v/>
      </c>
    </row>
    <row r="347" spans="1:5">
      <c r="A347" t="s">
        <v>871</v>
      </c>
      <c r="B347" t="s">
        <v>3810</v>
      </c>
      <c r="C347" t="s">
        <v>1494</v>
      </c>
      <c r="D347" t="s">
        <v>31</v>
      </c>
      <c r="E347">
        <f>HYPERLINK("https://www.britishcycling.org.uk/points?person_id=190199&amp;year=2019&amp;type=national&amp;d=6","Results")</f>
        <v/>
      </c>
    </row>
    <row r="348" spans="1:5">
      <c r="A348" t="s">
        <v>873</v>
      </c>
      <c r="B348" t="s">
        <v>3811</v>
      </c>
      <c r="C348" t="s">
        <v>2735</v>
      </c>
      <c r="D348" t="s">
        <v>28</v>
      </c>
      <c r="E348">
        <f>HYPERLINK("https://www.britishcycling.org.uk/points?person_id=736515&amp;year=2019&amp;type=national&amp;d=6","Results")</f>
        <v/>
      </c>
    </row>
    <row r="349" spans="1:5">
      <c r="A349" t="s">
        <v>875</v>
      </c>
      <c r="B349" t="s">
        <v>3812</v>
      </c>
      <c r="C349" t="s">
        <v>1195</v>
      </c>
      <c r="D349" t="s">
        <v>28</v>
      </c>
      <c r="E349">
        <f>HYPERLINK("https://www.britishcycling.org.uk/points?person_id=186190&amp;year=2019&amp;type=national&amp;d=6","Results")</f>
        <v/>
      </c>
    </row>
    <row r="350" spans="1:5">
      <c r="A350" t="s">
        <v>877</v>
      </c>
      <c r="B350" t="s">
        <v>3813</v>
      </c>
      <c r="C350" t="s"/>
      <c r="D350" t="s">
        <v>28</v>
      </c>
      <c r="E350">
        <f>HYPERLINK("https://www.britishcycling.org.uk/points?person_id=243118&amp;year=2019&amp;type=national&amp;d=6","Results")</f>
        <v/>
      </c>
    </row>
    <row r="351" spans="1:5">
      <c r="A351" t="s">
        <v>880</v>
      </c>
      <c r="B351" t="s">
        <v>3814</v>
      </c>
      <c r="C351" t="s">
        <v>3815</v>
      </c>
      <c r="D351" t="s">
        <v>28</v>
      </c>
      <c r="E351">
        <f>HYPERLINK("https://www.britishcycling.org.uk/points?person_id=598898&amp;year=2019&amp;type=national&amp;d=6","Results")</f>
        <v/>
      </c>
    </row>
    <row r="352" spans="1:5">
      <c r="A352" t="s">
        <v>882</v>
      </c>
      <c r="B352" t="s">
        <v>3816</v>
      </c>
      <c r="C352" t="s"/>
      <c r="D352" t="s">
        <v>28</v>
      </c>
      <c r="E352">
        <f>HYPERLINK("https://www.britishcycling.org.uk/points?person_id=65526&amp;year=2019&amp;type=national&amp;d=6","Results")</f>
        <v/>
      </c>
    </row>
    <row r="353" spans="1:5">
      <c r="A353" t="s">
        <v>885</v>
      </c>
      <c r="B353" t="s">
        <v>3817</v>
      </c>
      <c r="C353" t="s">
        <v>3818</v>
      </c>
      <c r="D353" t="s">
        <v>28</v>
      </c>
      <c r="E353">
        <f>HYPERLINK("https://www.britishcycling.org.uk/points?person_id=31702&amp;year=2019&amp;type=national&amp;d=6","Results")</f>
        <v/>
      </c>
    </row>
    <row r="354" spans="1:5">
      <c r="A354" t="s">
        <v>888</v>
      </c>
      <c r="B354" t="s">
        <v>3819</v>
      </c>
      <c r="C354" t="s">
        <v>2248</v>
      </c>
      <c r="D354" t="s">
        <v>28</v>
      </c>
      <c r="E354">
        <f>HYPERLINK("https://www.britishcycling.org.uk/points?person_id=18269&amp;year=2019&amp;type=national&amp;d=6","Results")</f>
        <v/>
      </c>
    </row>
    <row r="355" spans="1:5">
      <c r="A355" t="s">
        <v>890</v>
      </c>
      <c r="B355" t="s">
        <v>3820</v>
      </c>
      <c r="C355" t="s">
        <v>1502</v>
      </c>
      <c r="D355" t="s">
        <v>28</v>
      </c>
      <c r="E355">
        <f>HYPERLINK("https://www.britishcycling.org.uk/points?person_id=72380&amp;year=2019&amp;type=national&amp;d=6","Results")</f>
        <v/>
      </c>
    </row>
    <row r="356" spans="1:5">
      <c r="A356" t="s">
        <v>892</v>
      </c>
      <c r="B356" t="s">
        <v>3821</v>
      </c>
      <c r="C356" t="s">
        <v>1874</v>
      </c>
      <c r="D356" t="s">
        <v>25</v>
      </c>
      <c r="E356">
        <f>HYPERLINK("https://www.britishcycling.org.uk/points?person_id=547274&amp;year=2019&amp;type=national&amp;d=6","Results")</f>
        <v/>
      </c>
    </row>
    <row r="357" spans="1:5">
      <c r="A357" t="s">
        <v>894</v>
      </c>
      <c r="B357" t="s">
        <v>3822</v>
      </c>
      <c r="C357" t="s">
        <v>3815</v>
      </c>
      <c r="D357" t="s">
        <v>25</v>
      </c>
      <c r="E357">
        <f>HYPERLINK("https://www.britishcycling.org.uk/points?person_id=21580&amp;year=2019&amp;type=national&amp;d=6","Results")</f>
        <v/>
      </c>
    </row>
    <row r="358" spans="1:5">
      <c r="A358" t="s">
        <v>897</v>
      </c>
      <c r="B358" t="s">
        <v>3823</v>
      </c>
      <c r="C358" t="s">
        <v>3427</v>
      </c>
      <c r="D358" t="s">
        <v>25</v>
      </c>
      <c r="E358">
        <f>HYPERLINK("https://www.britishcycling.org.uk/points?person_id=525186&amp;year=2019&amp;type=national&amp;d=6","Results")</f>
        <v/>
      </c>
    </row>
    <row r="359" spans="1:5">
      <c r="A359" t="s">
        <v>95</v>
      </c>
      <c r="B359" t="s">
        <v>3824</v>
      </c>
      <c r="C359" t="s">
        <v>1461</v>
      </c>
      <c r="D359" t="s">
        <v>25</v>
      </c>
      <c r="E359">
        <f>HYPERLINK("https://www.britishcycling.org.uk/points?person_id=183735&amp;year=2019&amp;type=national&amp;d=6","Results")</f>
        <v/>
      </c>
    </row>
    <row r="360" spans="1:5">
      <c r="A360" t="s">
        <v>901</v>
      </c>
      <c r="B360" t="s">
        <v>3825</v>
      </c>
      <c r="C360" t="s">
        <v>856</v>
      </c>
      <c r="D360" t="s">
        <v>25</v>
      </c>
      <c r="E360">
        <f>HYPERLINK("https://www.britishcycling.org.uk/points?person_id=692574&amp;year=2019&amp;type=national&amp;d=6","Results")</f>
        <v/>
      </c>
    </row>
    <row r="361" spans="1:5">
      <c r="A361" t="s">
        <v>904</v>
      </c>
      <c r="B361" t="s">
        <v>3826</v>
      </c>
      <c r="C361" t="s">
        <v>1907</v>
      </c>
      <c r="D361" t="s">
        <v>25</v>
      </c>
      <c r="E361">
        <f>HYPERLINK("https://www.britishcycling.org.uk/points?person_id=258407&amp;year=2019&amp;type=national&amp;d=6","Results")</f>
        <v/>
      </c>
    </row>
    <row r="362" spans="1:5">
      <c r="A362" t="s">
        <v>906</v>
      </c>
      <c r="B362" t="s">
        <v>3827</v>
      </c>
      <c r="C362" t="s">
        <v>3309</v>
      </c>
      <c r="D362" t="s">
        <v>25</v>
      </c>
      <c r="E362">
        <f>HYPERLINK("https://www.britishcycling.org.uk/points?person_id=230062&amp;year=2019&amp;type=national&amp;d=6","Results")</f>
        <v/>
      </c>
    </row>
    <row r="363" spans="1:5">
      <c r="A363" t="s">
        <v>2083</v>
      </c>
      <c r="B363" t="s">
        <v>3828</v>
      </c>
      <c r="C363" t="s">
        <v>472</v>
      </c>
      <c r="D363" t="s">
        <v>25</v>
      </c>
      <c r="E363">
        <f>HYPERLINK("https://www.britishcycling.org.uk/points?person_id=129116&amp;year=2019&amp;type=national&amp;d=6","Results")</f>
        <v/>
      </c>
    </row>
    <row r="364" spans="1:5">
      <c r="A364" t="s">
        <v>2086</v>
      </c>
      <c r="B364" t="s">
        <v>3829</v>
      </c>
      <c r="C364" t="s"/>
      <c r="D364" t="s">
        <v>21</v>
      </c>
      <c r="E364">
        <f>HYPERLINK("https://www.britishcycling.org.uk/points?person_id=454702&amp;year=2019&amp;type=national&amp;d=6","Results")</f>
        <v/>
      </c>
    </row>
    <row r="365" spans="1:5">
      <c r="A365" t="s">
        <v>941</v>
      </c>
      <c r="B365" t="s">
        <v>3830</v>
      </c>
      <c r="C365" t="s">
        <v>887</v>
      </c>
      <c r="D365" t="s">
        <v>21</v>
      </c>
      <c r="E365">
        <f>HYPERLINK("https://www.britishcycling.org.uk/points?person_id=380019&amp;year=2019&amp;type=national&amp;d=6","Results")</f>
        <v/>
      </c>
    </row>
    <row r="366" spans="1:5">
      <c r="A366" t="s">
        <v>2088</v>
      </c>
      <c r="B366" t="s">
        <v>3831</v>
      </c>
      <c r="C366" t="s"/>
      <c r="D366" t="s">
        <v>21</v>
      </c>
      <c r="E366">
        <f>HYPERLINK("https://www.britishcycling.org.uk/points?person_id=36996&amp;year=2019&amp;type=national&amp;d=6","Results")</f>
        <v/>
      </c>
    </row>
    <row r="367" spans="1:5">
      <c r="A367" t="s">
        <v>91</v>
      </c>
      <c r="B367" t="s">
        <v>3832</v>
      </c>
      <c r="C367" t="s">
        <v>3254</v>
      </c>
      <c r="D367" t="s">
        <v>21</v>
      </c>
      <c r="E367">
        <f>HYPERLINK("https://www.britishcycling.org.uk/points?person_id=190751&amp;year=2019&amp;type=national&amp;d=6","Results")</f>
        <v/>
      </c>
    </row>
    <row r="368" spans="1:5">
      <c r="A368" t="s">
        <v>2092</v>
      </c>
      <c r="B368" t="s">
        <v>3833</v>
      </c>
      <c r="C368" t="s">
        <v>287</v>
      </c>
      <c r="D368" t="s">
        <v>21</v>
      </c>
      <c r="E368">
        <f>HYPERLINK("https://www.britishcycling.org.uk/points?person_id=29906&amp;year=2019&amp;type=national&amp;d=6","Results")</f>
        <v/>
      </c>
    </row>
    <row r="369" spans="1:5">
      <c r="A369" t="s">
        <v>1649</v>
      </c>
      <c r="B369" t="s">
        <v>3834</v>
      </c>
      <c r="C369" t="s">
        <v>2090</v>
      </c>
      <c r="D369" t="s">
        <v>21</v>
      </c>
      <c r="E369">
        <f>HYPERLINK("https://www.britishcycling.org.uk/points?person_id=73229&amp;year=2019&amp;type=national&amp;d=6","Results")</f>
        <v/>
      </c>
    </row>
    <row r="370" spans="1:5">
      <c r="A370" t="s">
        <v>2094</v>
      </c>
      <c r="B370" t="s">
        <v>3835</v>
      </c>
      <c r="C370" t="s">
        <v>2161</v>
      </c>
      <c r="D370" t="s">
        <v>21</v>
      </c>
      <c r="E370">
        <f>HYPERLINK("https://www.britishcycling.org.uk/points?person_id=75059&amp;year=2019&amp;type=national&amp;d=6","Results")</f>
        <v/>
      </c>
    </row>
    <row r="371" spans="1:5">
      <c r="A371" t="s">
        <v>2097</v>
      </c>
      <c r="B371" t="s">
        <v>3836</v>
      </c>
      <c r="C371" t="s">
        <v>2221</v>
      </c>
      <c r="D371" t="s">
        <v>21</v>
      </c>
      <c r="E371">
        <f>HYPERLINK("https://www.britishcycling.org.uk/points?person_id=735338&amp;year=2019&amp;type=national&amp;d=6","Results")</f>
        <v/>
      </c>
    </row>
    <row r="372" spans="1:5">
      <c r="A372" t="s">
        <v>88</v>
      </c>
      <c r="B372" t="s">
        <v>3837</v>
      </c>
      <c r="C372" t="s">
        <v>1699</v>
      </c>
      <c r="D372" t="s">
        <v>21</v>
      </c>
      <c r="E372">
        <f>HYPERLINK("https://www.britishcycling.org.uk/points?person_id=402934&amp;year=2019&amp;type=national&amp;d=6","Results")</f>
        <v/>
      </c>
    </row>
    <row r="373" spans="1:5">
      <c r="A373" t="s">
        <v>2102</v>
      </c>
      <c r="B373" t="s">
        <v>3838</v>
      </c>
      <c r="C373" t="s">
        <v>1415</v>
      </c>
      <c r="D373" t="s">
        <v>17</v>
      </c>
      <c r="E373">
        <f>HYPERLINK("https://www.britishcycling.org.uk/points?person_id=773848&amp;year=2019&amp;type=national&amp;d=6","Results")</f>
        <v/>
      </c>
    </row>
    <row r="374" spans="1:5">
      <c r="A374" t="s">
        <v>2105</v>
      </c>
      <c r="B374" t="s">
        <v>3839</v>
      </c>
      <c r="C374" t="s">
        <v>45</v>
      </c>
      <c r="D374" t="s">
        <v>17</v>
      </c>
      <c r="E374">
        <f>HYPERLINK("https://www.britishcycling.org.uk/points?person_id=303196&amp;year=2019&amp;type=national&amp;d=6","Results")</f>
        <v/>
      </c>
    </row>
    <row r="375" spans="1:5">
      <c r="A375" t="s">
        <v>2107</v>
      </c>
      <c r="B375" t="s">
        <v>3840</v>
      </c>
      <c r="C375" t="s">
        <v>3206</v>
      </c>
      <c r="D375" t="s">
        <v>17</v>
      </c>
      <c r="E375">
        <f>HYPERLINK("https://www.britishcycling.org.uk/points?person_id=46904&amp;year=2019&amp;type=national&amp;d=6","Results")</f>
        <v/>
      </c>
    </row>
    <row r="376" spans="1:5">
      <c r="A376" t="s">
        <v>2110</v>
      </c>
      <c r="B376" t="s">
        <v>3841</v>
      </c>
      <c r="C376" t="s">
        <v>814</v>
      </c>
      <c r="D376" t="s">
        <v>17</v>
      </c>
      <c r="E376">
        <f>HYPERLINK("https://www.britishcycling.org.uk/points?person_id=3015&amp;year=2019&amp;type=national&amp;d=6","Results")</f>
        <v/>
      </c>
    </row>
    <row r="377" spans="1:5">
      <c r="A377" t="s">
        <v>84</v>
      </c>
      <c r="B377" t="s">
        <v>3842</v>
      </c>
      <c r="C377" t="s">
        <v>3843</v>
      </c>
      <c r="D377" t="s">
        <v>17</v>
      </c>
      <c r="E377">
        <f>HYPERLINK("https://www.britishcycling.org.uk/points?person_id=48557&amp;year=2019&amp;type=national&amp;d=6","Results")</f>
        <v/>
      </c>
    </row>
    <row r="378" spans="1:5">
      <c r="A378" t="s">
        <v>2113</v>
      </c>
      <c r="B378" t="s">
        <v>3844</v>
      </c>
      <c r="C378" t="s">
        <v>1461</v>
      </c>
      <c r="D378" t="s">
        <v>17</v>
      </c>
      <c r="E378">
        <f>HYPERLINK("https://www.britishcycling.org.uk/points?person_id=60859&amp;year=2019&amp;type=national&amp;d=6","Results")</f>
        <v/>
      </c>
    </row>
    <row r="379" spans="1:5">
      <c r="A379" t="s">
        <v>2116</v>
      </c>
      <c r="B379" t="s">
        <v>3845</v>
      </c>
      <c r="C379" t="s"/>
      <c r="D379" t="s">
        <v>17</v>
      </c>
      <c r="E379">
        <f>HYPERLINK("https://www.britishcycling.org.uk/points?person_id=42186&amp;year=2019&amp;type=national&amp;d=6","Results")</f>
        <v/>
      </c>
    </row>
    <row r="380" spans="1:5">
      <c r="A380" t="s">
        <v>2119</v>
      </c>
      <c r="B380" t="s">
        <v>3846</v>
      </c>
      <c r="C380" t="s">
        <v>3847</v>
      </c>
      <c r="D380" t="s">
        <v>13</v>
      </c>
      <c r="E380">
        <f>HYPERLINK("https://www.britishcycling.org.uk/points?person_id=77806&amp;year=2019&amp;type=national&amp;d=6","Results")</f>
        <v/>
      </c>
    </row>
    <row r="381" spans="1:5">
      <c r="A381" t="s">
        <v>2121</v>
      </c>
      <c r="B381" t="s">
        <v>3848</v>
      </c>
      <c r="C381" t="s">
        <v>174</v>
      </c>
      <c r="D381" t="s">
        <v>13</v>
      </c>
      <c r="E381">
        <f>HYPERLINK("https://www.britishcycling.org.uk/points?person_id=8416&amp;year=2019&amp;type=national&amp;d=6","Results")</f>
        <v/>
      </c>
    </row>
    <row r="382" spans="1:5">
      <c r="A382" t="s">
        <v>2124</v>
      </c>
      <c r="B382" t="s">
        <v>3849</v>
      </c>
      <c r="C382" t="s">
        <v>3769</v>
      </c>
      <c r="D382" t="s">
        <v>13</v>
      </c>
      <c r="E382">
        <f>HYPERLINK("https://www.britishcycling.org.uk/points?person_id=56954&amp;year=2019&amp;type=national&amp;d=6","Results")</f>
        <v/>
      </c>
    </row>
    <row r="383" spans="1:5">
      <c r="A383" t="s">
        <v>2127</v>
      </c>
      <c r="B383" t="s">
        <v>3850</v>
      </c>
      <c r="C383" t="s">
        <v>3851</v>
      </c>
      <c r="D383" t="s">
        <v>13</v>
      </c>
      <c r="E383">
        <f>HYPERLINK("https://www.britishcycling.org.uk/points?person_id=123065&amp;year=2019&amp;type=national&amp;d=6","Results")</f>
        <v/>
      </c>
    </row>
    <row r="384" spans="1:5">
      <c r="A384" t="s">
        <v>2130</v>
      </c>
      <c r="B384" t="s">
        <v>3852</v>
      </c>
      <c r="C384" t="s">
        <v>1819</v>
      </c>
      <c r="D384" t="s">
        <v>13</v>
      </c>
      <c r="E384">
        <f>HYPERLINK("https://www.britishcycling.org.uk/points?person_id=48755&amp;year=2019&amp;type=national&amp;d=6","Results")</f>
        <v/>
      </c>
    </row>
    <row r="385" spans="1:5">
      <c r="A385" t="s">
        <v>81</v>
      </c>
      <c r="B385" t="s">
        <v>3853</v>
      </c>
      <c r="C385" t="s">
        <v>358</v>
      </c>
      <c r="D385" t="s">
        <v>13</v>
      </c>
      <c r="E385">
        <f>HYPERLINK("https://www.britishcycling.org.uk/points?person_id=199067&amp;year=2019&amp;type=national&amp;d=6","Results")</f>
        <v/>
      </c>
    </row>
    <row r="386" spans="1:5">
      <c r="A386" t="s">
        <v>2135</v>
      </c>
      <c r="B386" t="s">
        <v>3854</v>
      </c>
      <c r="C386" t="s">
        <v>216</v>
      </c>
      <c r="D386" t="s">
        <v>13</v>
      </c>
      <c r="E386">
        <f>HYPERLINK("https://www.britishcycling.org.uk/points?person_id=265629&amp;year=2019&amp;type=national&amp;d=6","Results")</f>
        <v/>
      </c>
    </row>
    <row r="387" spans="1:5">
      <c r="A387" t="s">
        <v>2137</v>
      </c>
      <c r="B387" t="s">
        <v>3855</v>
      </c>
      <c r="C387" t="s">
        <v>3856</v>
      </c>
      <c r="D387" t="s">
        <v>13</v>
      </c>
      <c r="E387">
        <f>HYPERLINK("https://www.britishcycling.org.uk/points?person_id=690513&amp;year=2019&amp;type=national&amp;d=6","Results")</f>
        <v/>
      </c>
    </row>
    <row r="388" spans="1:5">
      <c r="A388" t="s">
        <v>2140</v>
      </c>
      <c r="B388" t="s">
        <v>3857</v>
      </c>
      <c r="C388" t="s">
        <v>3858</v>
      </c>
      <c r="D388" t="s">
        <v>13</v>
      </c>
      <c r="E388">
        <f>HYPERLINK("https://www.britishcycling.org.uk/points?person_id=881032&amp;year=2019&amp;type=national&amp;d=6","Results")</f>
        <v/>
      </c>
    </row>
    <row r="389" spans="1:5">
      <c r="A389" t="s">
        <v>1646</v>
      </c>
      <c r="B389" t="s">
        <v>3859</v>
      </c>
      <c r="C389" t="s">
        <v>834</v>
      </c>
      <c r="D389" t="s">
        <v>13</v>
      </c>
      <c r="E389">
        <f>HYPERLINK("https://www.britishcycling.org.uk/points?person_id=249395&amp;year=2019&amp;type=national&amp;d=6","Results")</f>
        <v/>
      </c>
    </row>
    <row r="390" spans="1:5">
      <c r="A390" t="s">
        <v>2144</v>
      </c>
      <c r="B390" t="s">
        <v>3860</v>
      </c>
      <c r="C390" t="s">
        <v>2170</v>
      </c>
      <c r="D390" t="s">
        <v>13</v>
      </c>
      <c r="E390">
        <f>HYPERLINK("https://www.britishcycling.org.uk/points?person_id=20680&amp;year=2019&amp;type=national&amp;d=6","Results")</f>
        <v/>
      </c>
    </row>
    <row r="391" spans="1:5">
      <c r="A391" t="s">
        <v>1341</v>
      </c>
      <c r="B391" t="s">
        <v>3861</v>
      </c>
      <c r="C391" t="s">
        <v>3862</v>
      </c>
      <c r="D391" t="s">
        <v>13</v>
      </c>
      <c r="E391">
        <f>HYPERLINK("https://www.britishcycling.org.uk/points?person_id=59398&amp;year=2019&amp;type=national&amp;d=6","Results")</f>
        <v/>
      </c>
    </row>
    <row r="392" spans="1:5">
      <c r="A392" t="s">
        <v>2147</v>
      </c>
      <c r="B392" t="s">
        <v>3863</v>
      </c>
      <c r="C392" t="s">
        <v>3421</v>
      </c>
      <c r="D392" t="s">
        <v>13</v>
      </c>
      <c r="E392">
        <f>HYPERLINK("https://www.britishcycling.org.uk/points?person_id=32540&amp;year=2019&amp;type=national&amp;d=6","Results")</f>
        <v/>
      </c>
    </row>
    <row r="393" spans="1:5">
      <c r="A393" t="s">
        <v>1338</v>
      </c>
      <c r="B393" t="s">
        <v>3864</v>
      </c>
      <c r="C393" t="s">
        <v>693</v>
      </c>
      <c r="D393" t="s">
        <v>9</v>
      </c>
      <c r="E393">
        <f>HYPERLINK("https://www.britishcycling.org.uk/points?person_id=208693&amp;year=2019&amp;type=national&amp;d=6","Results")</f>
        <v/>
      </c>
    </row>
    <row r="394" spans="1:5">
      <c r="A394" t="s">
        <v>2150</v>
      </c>
      <c r="B394" t="s">
        <v>3865</v>
      </c>
      <c r="C394" t="s">
        <v>358</v>
      </c>
      <c r="D394" t="s">
        <v>9</v>
      </c>
      <c r="E394">
        <f>HYPERLINK("https://www.britishcycling.org.uk/points?person_id=624&amp;year=2019&amp;type=national&amp;d=6","Results")</f>
        <v/>
      </c>
    </row>
    <row r="395" spans="1:5">
      <c r="A395" t="s">
        <v>938</v>
      </c>
      <c r="B395" t="s">
        <v>3866</v>
      </c>
      <c r="C395" t="s">
        <v>2054</v>
      </c>
      <c r="D395" t="s">
        <v>9</v>
      </c>
      <c r="E395">
        <f>HYPERLINK("https://www.britishcycling.org.uk/points?person_id=233042&amp;year=2019&amp;type=national&amp;d=6","Results")</f>
        <v/>
      </c>
    </row>
    <row r="396" spans="1:5">
      <c r="A396" t="s">
        <v>2153</v>
      </c>
      <c r="B396" t="s">
        <v>3867</v>
      </c>
      <c r="C396" t="s">
        <v>3843</v>
      </c>
      <c r="D396" t="s">
        <v>9</v>
      </c>
      <c r="E396">
        <f>HYPERLINK("https://www.britishcycling.org.uk/points?person_id=106316&amp;year=2019&amp;type=national&amp;d=6","Results")</f>
        <v/>
      </c>
    </row>
    <row r="397" spans="1:5">
      <c r="A397" t="s">
        <v>1643</v>
      </c>
      <c r="B397" t="s">
        <v>3868</v>
      </c>
      <c r="C397" t="s">
        <v>3869</v>
      </c>
      <c r="D397" t="s">
        <v>9</v>
      </c>
      <c r="E397">
        <f>HYPERLINK("https://www.britishcycling.org.uk/points?person_id=646147&amp;year=2019&amp;type=national&amp;d=6","Results")</f>
        <v/>
      </c>
    </row>
    <row r="398" spans="1:5">
      <c r="A398" t="s">
        <v>2157</v>
      </c>
      <c r="B398" t="s">
        <v>3870</v>
      </c>
      <c r="C398" t="s">
        <v>554</v>
      </c>
      <c r="D398" t="s">
        <v>9</v>
      </c>
      <c r="E398">
        <f>HYPERLINK("https://www.britishcycling.org.uk/points?person_id=736550&amp;year=2019&amp;type=national&amp;d=6","Results")</f>
        <v/>
      </c>
    </row>
    <row r="399" spans="1:5">
      <c r="A399" t="s">
        <v>1336</v>
      </c>
      <c r="B399" t="s">
        <v>3871</v>
      </c>
      <c r="C399" t="s">
        <v>728</v>
      </c>
      <c r="D399" t="s">
        <v>9</v>
      </c>
      <c r="E399">
        <f>HYPERLINK("https://www.britishcycling.org.uk/points?person_id=195808&amp;year=2019&amp;type=national&amp;d=6","Results")</f>
        <v/>
      </c>
    </row>
    <row r="400" spans="1:5">
      <c r="A400" t="s">
        <v>77</v>
      </c>
      <c r="B400" t="s">
        <v>3872</v>
      </c>
      <c r="C400" t="s">
        <v>3815</v>
      </c>
      <c r="D400" t="s">
        <v>9</v>
      </c>
      <c r="E400">
        <f>HYPERLINK("https://www.britishcycling.org.uk/points?person_id=298892&amp;year=2019&amp;type=national&amp;d=6","Results")</f>
        <v/>
      </c>
    </row>
    <row r="401" spans="1:5">
      <c r="A401" t="s">
        <v>2163</v>
      </c>
      <c r="B401" t="s">
        <v>3873</v>
      </c>
      <c r="C401" t="s">
        <v>3874</v>
      </c>
      <c r="D401" t="s">
        <v>9</v>
      </c>
      <c r="E401">
        <f>HYPERLINK("https://www.britishcycling.org.uk/points?person_id=167713&amp;year=2019&amp;type=national&amp;d=6","Results")</f>
        <v/>
      </c>
    </row>
    <row r="402" spans="1:5">
      <c r="A402" t="s">
        <v>2166</v>
      </c>
      <c r="B402" t="s">
        <v>3875</v>
      </c>
      <c r="C402" t="s">
        <v>3793</v>
      </c>
      <c r="D402" t="s">
        <v>5</v>
      </c>
      <c r="E402">
        <f>HYPERLINK("https://www.britishcycling.org.uk/points?person_id=319676&amp;year=2019&amp;type=national&amp;d=6","Results")</f>
        <v/>
      </c>
    </row>
    <row r="403" spans="1:5">
      <c r="A403" t="s">
        <v>2168</v>
      </c>
      <c r="B403" t="s">
        <v>3876</v>
      </c>
      <c r="C403" t="s">
        <v>2347</v>
      </c>
      <c r="D403" t="s">
        <v>5</v>
      </c>
      <c r="E403">
        <f>HYPERLINK("https://www.britishcycling.org.uk/points?person_id=78740&amp;year=2019&amp;type=national&amp;d=6","Results")</f>
        <v/>
      </c>
    </row>
    <row r="404" spans="1:5">
      <c r="A404" t="s">
        <v>2171</v>
      </c>
      <c r="B404" t="s">
        <v>3877</v>
      </c>
      <c r="C404" t="s">
        <v>272</v>
      </c>
      <c r="D404" t="s">
        <v>5</v>
      </c>
      <c r="E404">
        <f>HYPERLINK("https://www.britishcycling.org.uk/points?person_id=177479&amp;year=2019&amp;type=national&amp;d=6","Results")</f>
        <v/>
      </c>
    </row>
    <row r="405" spans="1:5">
      <c r="A405" t="s">
        <v>2173</v>
      </c>
      <c r="B405" t="s">
        <v>3878</v>
      </c>
      <c r="C405" t="s">
        <v>1529</v>
      </c>
      <c r="D405" t="s">
        <v>5</v>
      </c>
      <c r="E405">
        <f>HYPERLINK("https://www.britishcycling.org.uk/points?person_id=248698&amp;year=2019&amp;type=national&amp;d=6","Results")</f>
        <v/>
      </c>
    </row>
    <row r="406" spans="1:5">
      <c r="A406" t="s">
        <v>2175</v>
      </c>
      <c r="B406" t="s">
        <v>3879</v>
      </c>
      <c r="C406" t="s">
        <v>1292</v>
      </c>
      <c r="D406" t="s">
        <v>5</v>
      </c>
      <c r="E406">
        <f>HYPERLINK("https://www.britishcycling.org.uk/points?person_id=451612&amp;year=2019&amp;type=national&amp;d=6","Results")</f>
        <v/>
      </c>
    </row>
    <row r="407" spans="1:5">
      <c r="A407" t="s">
        <v>74</v>
      </c>
      <c r="B407" t="s">
        <v>3880</v>
      </c>
      <c r="C407" t="s">
        <v>3881</v>
      </c>
      <c r="D407" t="s">
        <v>5</v>
      </c>
      <c r="E407">
        <f>HYPERLINK("https://www.britishcycling.org.uk/points?person_id=48376&amp;year=2019&amp;type=national&amp;d=6","Results")</f>
        <v/>
      </c>
    </row>
    <row r="408" spans="1:5">
      <c r="A408" t="s">
        <v>70</v>
      </c>
      <c r="B408" t="s">
        <v>3882</v>
      </c>
      <c r="C408" t="s"/>
      <c r="D408" t="s">
        <v>5</v>
      </c>
      <c r="E408">
        <f>HYPERLINK("https://www.britishcycling.org.uk/points?person_id=721840&amp;year=2019&amp;type=national&amp;d=6","Results")</f>
        <v/>
      </c>
    </row>
    <row r="409" spans="1:5">
      <c r="A409" t="s">
        <v>1641</v>
      </c>
      <c r="B409" t="s">
        <v>3883</v>
      </c>
      <c r="C409" t="s">
        <v>163</v>
      </c>
      <c r="D409" t="s">
        <v>5</v>
      </c>
      <c r="E409">
        <f>HYPERLINK("https://www.britishcycling.org.uk/points?person_id=51313&amp;year=2019&amp;type=national&amp;d=6","Results")</f>
        <v/>
      </c>
    </row>
    <row r="410" spans="1:5">
      <c r="A410" t="s">
        <v>2180</v>
      </c>
      <c r="B410" t="s">
        <v>3884</v>
      </c>
      <c r="C410" t="s">
        <v>295</v>
      </c>
      <c r="D410" t="s">
        <v>5</v>
      </c>
      <c r="E410">
        <f>HYPERLINK("https://www.britishcycling.org.uk/points?person_id=408191&amp;year=2019&amp;type=national&amp;d=6","Results")</f>
        <v/>
      </c>
    </row>
    <row r="411" spans="1:5">
      <c r="A411" t="s">
        <v>2181</v>
      </c>
      <c r="B411" t="s">
        <v>3885</v>
      </c>
      <c r="C411" t="s">
        <v>3886</v>
      </c>
      <c r="D411" t="s">
        <v>5</v>
      </c>
      <c r="E411">
        <f>HYPERLINK("https://www.britishcycling.org.uk/points?person_id=57136&amp;year=2019&amp;type=national&amp;d=6","Results")</f>
        <v/>
      </c>
    </row>
    <row r="412" spans="1:5">
      <c r="A412" t="s">
        <v>2184</v>
      </c>
      <c r="B412" t="s">
        <v>3887</v>
      </c>
      <c r="C412" t="s">
        <v>3888</v>
      </c>
      <c r="D412" t="s">
        <v>5</v>
      </c>
      <c r="E412">
        <f>HYPERLINK("https://www.britishcycling.org.uk/points?person_id=138053&amp;year=2019&amp;type=national&amp;d=6","Results")</f>
        <v/>
      </c>
    </row>
    <row r="413" spans="1:5">
      <c r="A413" t="s">
        <v>2186</v>
      </c>
      <c r="B413" t="s">
        <v>3889</v>
      </c>
      <c r="C413" t="s">
        <v>531</v>
      </c>
      <c r="D413" t="s">
        <v>5</v>
      </c>
      <c r="E413">
        <f>HYPERLINK("https://www.britishcycling.org.uk/points?person_id=530838&amp;year=2019&amp;type=national&amp;d=6","Results")</f>
        <v/>
      </c>
    </row>
    <row r="414" spans="1:5">
      <c r="A414" t="s">
        <v>936</v>
      </c>
      <c r="B414" t="s">
        <v>3890</v>
      </c>
      <c r="C414" t="s">
        <v>413</v>
      </c>
      <c r="D414" t="s">
        <v>5</v>
      </c>
      <c r="E414">
        <f>HYPERLINK("https://www.britishcycling.org.uk/points?person_id=104715&amp;year=2019&amp;type=national&amp;d=6","Results")</f>
        <v/>
      </c>
    </row>
    <row r="415" spans="1:5">
      <c r="A415" t="s">
        <v>66</v>
      </c>
      <c r="B415" t="s">
        <v>3891</v>
      </c>
      <c r="C415" t="s">
        <v>3892</v>
      </c>
      <c r="D415" t="s">
        <v>5</v>
      </c>
      <c r="E415">
        <f>HYPERLINK("https://www.britishcycling.org.uk/points?person_id=63700&amp;year=2019&amp;type=national&amp;d=6","Results")</f>
        <v/>
      </c>
    </row>
    <row r="416" spans="1:5">
      <c r="A416" t="s">
        <v>2190</v>
      </c>
      <c r="B416" t="s">
        <v>3893</v>
      </c>
      <c r="C416" t="s">
        <v>3894</v>
      </c>
      <c r="D416" t="s">
        <v>5</v>
      </c>
      <c r="E416">
        <f>HYPERLINK("https://www.britishcycling.org.uk/points?person_id=65887&amp;year=2019&amp;type=national&amp;d=6","Results")</f>
        <v/>
      </c>
    </row>
    <row r="417" spans="1:5">
      <c r="A417" t="s">
        <v>2192</v>
      </c>
      <c r="B417" t="s">
        <v>3895</v>
      </c>
      <c r="C417" t="s">
        <v>1354</v>
      </c>
      <c r="D417" t="s">
        <v>5</v>
      </c>
      <c r="E417">
        <f>HYPERLINK("https://www.britishcycling.org.uk/points?person_id=125051&amp;year=2019&amp;type=national&amp;d=6","Results")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6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3896</v>
      </c>
      <c r="C2" t="s">
        <v>392</v>
      </c>
      <c r="D2" t="s">
        <v>2321</v>
      </c>
      <c r="E2">
        <f>HYPERLINK("https://www.britishcycling.org.uk/points?person_id=78823&amp;year=2019&amp;type=national&amp;d=6","Results")</f>
        <v/>
      </c>
    </row>
    <row r="3" spans="1:5">
      <c r="A3" t="s">
        <v>9</v>
      </c>
      <c r="B3" t="s">
        <v>3897</v>
      </c>
      <c r="C3" t="s">
        <v>3898</v>
      </c>
      <c r="D3" t="s">
        <v>2318</v>
      </c>
      <c r="E3">
        <f>HYPERLINK("https://www.britishcycling.org.uk/points?person_id=66894&amp;year=2019&amp;type=national&amp;d=6","Results")</f>
        <v/>
      </c>
    </row>
    <row r="4" spans="1:5">
      <c r="A4" t="s">
        <v>13</v>
      </c>
      <c r="B4" t="s">
        <v>3899</v>
      </c>
      <c r="C4" t="s">
        <v>1936</v>
      </c>
      <c r="D4" t="s">
        <v>2295</v>
      </c>
      <c r="E4">
        <f>HYPERLINK("https://www.britishcycling.org.uk/points?person_id=1814&amp;year=2019&amp;type=national&amp;d=6","Results")</f>
        <v/>
      </c>
    </row>
    <row r="5" spans="1:5">
      <c r="A5" t="s">
        <v>17</v>
      </c>
      <c r="B5" t="s">
        <v>3900</v>
      </c>
      <c r="C5" t="s">
        <v>113</v>
      </c>
      <c r="D5" t="s">
        <v>2246</v>
      </c>
      <c r="E5">
        <f>HYPERLINK("https://www.britishcycling.org.uk/points?person_id=104514&amp;year=2019&amp;type=national&amp;d=6","Results")</f>
        <v/>
      </c>
    </row>
    <row r="6" spans="1:5">
      <c r="A6" t="s">
        <v>21</v>
      </c>
      <c r="B6" t="s">
        <v>3901</v>
      </c>
      <c r="C6" t="s">
        <v>230</v>
      </c>
      <c r="D6" t="s">
        <v>2190</v>
      </c>
      <c r="E6">
        <f>HYPERLINK("https://www.britishcycling.org.uk/points?person_id=33508&amp;year=2019&amp;type=national&amp;d=6","Results")</f>
        <v/>
      </c>
    </row>
    <row r="7" spans="1:5">
      <c r="A7" t="s">
        <v>25</v>
      </c>
      <c r="B7" t="s">
        <v>3902</v>
      </c>
      <c r="C7" t="s">
        <v>3511</v>
      </c>
      <c r="D7" t="s">
        <v>91</v>
      </c>
      <c r="E7">
        <f>HYPERLINK("https://www.britishcycling.org.uk/points?person_id=65029&amp;year=2019&amp;type=national&amp;d=6","Results")</f>
        <v/>
      </c>
    </row>
    <row r="8" spans="1:5">
      <c r="A8" t="s">
        <v>28</v>
      </c>
      <c r="B8" t="s">
        <v>3903</v>
      </c>
      <c r="C8" t="s">
        <v>3904</v>
      </c>
      <c r="D8" t="s">
        <v>877</v>
      </c>
      <c r="E8">
        <f>HYPERLINK("https://www.britishcycling.org.uk/points?person_id=731466&amp;year=2019&amp;type=national&amp;d=6","Results")</f>
        <v/>
      </c>
    </row>
    <row r="9" spans="1:5">
      <c r="A9" t="s">
        <v>31</v>
      </c>
      <c r="B9" t="s">
        <v>3905</v>
      </c>
      <c r="C9" t="s">
        <v>216</v>
      </c>
      <c r="D9" t="s">
        <v>875</v>
      </c>
      <c r="E9">
        <f>HYPERLINK("https://www.britishcycling.org.uk/points?person_id=5898&amp;year=2019&amp;type=national&amp;d=6","Results")</f>
        <v/>
      </c>
    </row>
    <row r="10" spans="1:5">
      <c r="A10" t="s">
        <v>35</v>
      </c>
      <c r="B10" t="s">
        <v>3906</v>
      </c>
      <c r="C10" t="s">
        <v>3421</v>
      </c>
      <c r="D10" t="s">
        <v>106</v>
      </c>
      <c r="E10">
        <f>HYPERLINK("https://www.britishcycling.org.uk/points?person_id=393549&amp;year=2019&amp;type=national&amp;d=6","Results")</f>
        <v/>
      </c>
    </row>
    <row r="11" spans="1:5">
      <c r="A11" t="s">
        <v>39</v>
      </c>
      <c r="B11" t="s">
        <v>3907</v>
      </c>
      <c r="C11" t="s">
        <v>656</v>
      </c>
      <c r="D11" t="s">
        <v>803</v>
      </c>
      <c r="E11">
        <f>HYPERLINK("https://www.britishcycling.org.uk/points?person_id=38272&amp;year=2019&amp;type=national&amp;d=6","Results")</f>
        <v/>
      </c>
    </row>
    <row r="12" spans="1:5">
      <c r="A12" t="s">
        <v>43</v>
      </c>
      <c r="B12" t="s">
        <v>3908</v>
      </c>
      <c r="C12" t="s">
        <v>3909</v>
      </c>
      <c r="D12" t="s">
        <v>114</v>
      </c>
      <c r="E12">
        <f>HYPERLINK("https://www.britishcycling.org.uk/points?person_id=49858&amp;year=2019&amp;type=national&amp;d=6","Results")</f>
        <v/>
      </c>
    </row>
    <row r="13" spans="1:5">
      <c r="A13" t="s">
        <v>47</v>
      </c>
      <c r="B13" t="s">
        <v>3910</v>
      </c>
      <c r="C13" t="s">
        <v>381</v>
      </c>
      <c r="D13" t="s">
        <v>705</v>
      </c>
      <c r="E13">
        <f>HYPERLINK("https://www.britishcycling.org.uk/points?person_id=27630&amp;year=2019&amp;type=national&amp;d=6","Results")</f>
        <v/>
      </c>
    </row>
    <row r="14" spans="1:5">
      <c r="A14" t="s">
        <v>51</v>
      </c>
      <c r="B14" t="s">
        <v>3911</v>
      </c>
      <c r="C14" t="s">
        <v>198</v>
      </c>
      <c r="D14" t="s">
        <v>674</v>
      </c>
      <c r="E14">
        <f>HYPERLINK("https://www.britishcycling.org.uk/points?person_id=705&amp;year=2019&amp;type=national&amp;d=6","Results")</f>
        <v/>
      </c>
    </row>
    <row r="15" spans="1:5">
      <c r="A15" t="s">
        <v>55</v>
      </c>
      <c r="B15" t="s">
        <v>3044</v>
      </c>
      <c r="C15" t="s">
        <v>827</v>
      </c>
      <c r="D15" t="s">
        <v>659</v>
      </c>
      <c r="E15">
        <f>HYPERLINK("https://www.britishcycling.org.uk/points?person_id=56050&amp;year=2019&amp;type=national&amp;d=6","Results")</f>
        <v/>
      </c>
    </row>
    <row r="16" spans="1:5">
      <c r="A16" t="s">
        <v>59</v>
      </c>
      <c r="B16" t="s">
        <v>3912</v>
      </c>
      <c r="C16" t="s">
        <v>3913</v>
      </c>
      <c r="D16" t="s">
        <v>585</v>
      </c>
      <c r="E16">
        <f>HYPERLINK("https://www.britishcycling.org.uk/points?person_id=70403&amp;year=2019&amp;type=national&amp;d=6","Results")</f>
        <v/>
      </c>
    </row>
    <row r="17" spans="1:5">
      <c r="A17" t="s">
        <v>63</v>
      </c>
      <c r="B17" t="s">
        <v>3914</v>
      </c>
      <c r="C17" t="s">
        <v>3915</v>
      </c>
      <c r="D17" t="s">
        <v>542</v>
      </c>
      <c r="E17">
        <f>HYPERLINK("https://www.britishcycling.org.uk/points?person_id=175244&amp;year=2019&amp;type=national&amp;d=6","Results")</f>
        <v/>
      </c>
    </row>
    <row r="18" spans="1:5">
      <c r="A18" t="s">
        <v>67</v>
      </c>
      <c r="B18" t="s">
        <v>3916</v>
      </c>
      <c r="C18" t="s">
        <v>1734</v>
      </c>
      <c r="D18" t="s">
        <v>499</v>
      </c>
      <c r="E18">
        <f>HYPERLINK("https://www.britishcycling.org.uk/points?person_id=17860&amp;year=2019&amp;type=national&amp;d=6","Results")</f>
        <v/>
      </c>
    </row>
    <row r="19" spans="1:5">
      <c r="A19" t="s">
        <v>71</v>
      </c>
      <c r="B19" t="s">
        <v>3917</v>
      </c>
      <c r="C19" t="s"/>
      <c r="D19" t="s">
        <v>235</v>
      </c>
      <c r="E19">
        <f>HYPERLINK("https://www.britishcycling.org.uk/points?person_id=21227&amp;year=2019&amp;type=national&amp;d=6","Results")</f>
        <v/>
      </c>
    </row>
    <row r="20" spans="1:5">
      <c r="A20" t="s">
        <v>75</v>
      </c>
      <c r="B20" t="s">
        <v>3918</v>
      </c>
      <c r="C20" t="s">
        <v>3421</v>
      </c>
      <c r="D20" t="s">
        <v>482</v>
      </c>
      <c r="E20">
        <f>HYPERLINK("https://www.britishcycling.org.uk/points?person_id=531361&amp;year=2019&amp;type=national&amp;d=6","Results")</f>
        <v/>
      </c>
    </row>
    <row r="21" spans="1:5">
      <c r="A21" t="s">
        <v>78</v>
      </c>
      <c r="B21" t="s">
        <v>3919</v>
      </c>
      <c r="C21" t="s">
        <v>1091</v>
      </c>
      <c r="D21" t="s">
        <v>473</v>
      </c>
      <c r="E21">
        <f>HYPERLINK("https://www.britishcycling.org.uk/points?person_id=46172&amp;year=2019&amp;type=national&amp;d=6","Results")</f>
        <v/>
      </c>
    </row>
    <row r="22" spans="1:5">
      <c r="A22" t="s">
        <v>82</v>
      </c>
      <c r="B22" t="s">
        <v>1862</v>
      </c>
      <c r="C22" t="s">
        <v>383</v>
      </c>
      <c r="D22" t="s">
        <v>253</v>
      </c>
      <c r="E22">
        <f>HYPERLINK("https://www.britishcycling.org.uk/points?person_id=72648&amp;year=2019&amp;type=national&amp;d=6","Results")</f>
        <v/>
      </c>
    </row>
    <row r="23" spans="1:5">
      <c r="A23" t="s">
        <v>85</v>
      </c>
      <c r="B23" t="s">
        <v>3920</v>
      </c>
      <c r="C23" t="s">
        <v>381</v>
      </c>
      <c r="D23" t="s">
        <v>448</v>
      </c>
      <c r="E23">
        <f>HYPERLINK("https://www.britishcycling.org.uk/points?person_id=34157&amp;year=2019&amp;type=national&amp;d=6","Results")</f>
        <v/>
      </c>
    </row>
    <row r="24" spans="1:5">
      <c r="A24" t="s">
        <v>89</v>
      </c>
      <c r="B24" t="s">
        <v>3921</v>
      </c>
      <c r="C24" t="s">
        <v>312</v>
      </c>
      <c r="D24" t="s">
        <v>432</v>
      </c>
      <c r="E24">
        <f>HYPERLINK("https://www.britishcycling.org.uk/points?person_id=197613&amp;year=2019&amp;type=national&amp;d=6","Results")</f>
        <v/>
      </c>
    </row>
    <row r="25" spans="1:5">
      <c r="A25" t="s">
        <v>92</v>
      </c>
      <c r="B25" t="s">
        <v>3922</v>
      </c>
      <c r="C25" t="s">
        <v>3923</v>
      </c>
      <c r="D25" t="s">
        <v>425</v>
      </c>
      <c r="E25">
        <f>HYPERLINK("https://www.britishcycling.org.uk/points?person_id=53402&amp;year=2019&amp;type=national&amp;d=6","Results")</f>
        <v/>
      </c>
    </row>
    <row r="26" spans="1:5">
      <c r="A26" t="s">
        <v>96</v>
      </c>
      <c r="B26" t="s">
        <v>3924</v>
      </c>
      <c r="C26" t="s">
        <v>1494</v>
      </c>
      <c r="D26" t="s">
        <v>296</v>
      </c>
      <c r="E26">
        <f>HYPERLINK("https://www.britishcycling.org.uk/points?person_id=75963&amp;year=2019&amp;type=national&amp;d=6","Results")</f>
        <v/>
      </c>
    </row>
    <row r="27" spans="1:5">
      <c r="A27" t="s">
        <v>99</v>
      </c>
      <c r="B27" t="s">
        <v>3925</v>
      </c>
      <c r="C27" t="s">
        <v>3926</v>
      </c>
      <c r="D27" t="s">
        <v>408</v>
      </c>
      <c r="E27">
        <f>HYPERLINK("https://www.britishcycling.org.uk/points?person_id=68429&amp;year=2019&amp;type=national&amp;d=6","Results")</f>
        <v/>
      </c>
    </row>
    <row r="28" spans="1:5">
      <c r="A28" t="s">
        <v>103</v>
      </c>
      <c r="B28" t="s">
        <v>3927</v>
      </c>
      <c r="C28" t="s">
        <v>3928</v>
      </c>
      <c r="D28" t="s">
        <v>399</v>
      </c>
      <c r="E28">
        <f>HYPERLINK("https://www.britishcycling.org.uk/points?person_id=19597&amp;year=2019&amp;type=national&amp;d=6","Results")</f>
        <v/>
      </c>
    </row>
    <row r="29" spans="1:5">
      <c r="A29" t="s">
        <v>107</v>
      </c>
      <c r="B29" t="s">
        <v>3929</v>
      </c>
      <c r="C29" t="s">
        <v>771</v>
      </c>
      <c r="D29" t="s">
        <v>374</v>
      </c>
      <c r="E29">
        <f>HYPERLINK("https://www.britishcycling.org.uk/points?person_id=270570&amp;year=2019&amp;type=national&amp;d=6","Results")</f>
        <v/>
      </c>
    </row>
    <row r="30" spans="1:5">
      <c r="A30" t="s">
        <v>111</v>
      </c>
      <c r="B30" t="s">
        <v>3930</v>
      </c>
      <c r="C30" t="s">
        <v>23</v>
      </c>
      <c r="D30" t="s">
        <v>359</v>
      </c>
      <c r="E30">
        <f>HYPERLINK("https://www.britishcycling.org.uk/points?person_id=189099&amp;year=2019&amp;type=national&amp;d=6","Results")</f>
        <v/>
      </c>
    </row>
    <row r="31" spans="1:5">
      <c r="A31" t="s">
        <v>115</v>
      </c>
      <c r="B31" t="s">
        <v>3931</v>
      </c>
      <c r="C31" t="s">
        <v>3932</v>
      </c>
      <c r="D31" t="s">
        <v>356</v>
      </c>
      <c r="E31">
        <f>HYPERLINK("https://www.britishcycling.org.uk/points?person_id=72585&amp;year=2019&amp;type=national&amp;d=6","Results")</f>
        <v/>
      </c>
    </row>
    <row r="32" spans="1:5">
      <c r="A32" t="s">
        <v>119</v>
      </c>
      <c r="B32" t="s">
        <v>3933</v>
      </c>
      <c r="C32" t="s">
        <v>3934</v>
      </c>
      <c r="D32" t="s">
        <v>349</v>
      </c>
      <c r="E32">
        <f>HYPERLINK("https://www.britishcycling.org.uk/points?person_id=277083&amp;year=2019&amp;type=national&amp;d=6","Results")</f>
        <v/>
      </c>
    </row>
    <row r="33" spans="1:5">
      <c r="A33" t="s">
        <v>123</v>
      </c>
      <c r="B33" t="s">
        <v>3935</v>
      </c>
      <c r="C33" t="s">
        <v>361</v>
      </c>
      <c r="D33" t="s">
        <v>349</v>
      </c>
      <c r="E33">
        <f>HYPERLINK("https://www.britishcycling.org.uk/points?person_id=206346&amp;year=2019&amp;type=national&amp;d=6","Results")</f>
        <v/>
      </c>
    </row>
    <row r="34" spans="1:5">
      <c r="A34" t="s">
        <v>127</v>
      </c>
      <c r="B34" t="s">
        <v>3936</v>
      </c>
      <c r="C34" t="s">
        <v>3937</v>
      </c>
      <c r="D34" t="s">
        <v>329</v>
      </c>
      <c r="E34">
        <f>HYPERLINK("https://www.britishcycling.org.uk/points?person_id=630807&amp;year=2019&amp;type=national&amp;d=6","Results")</f>
        <v/>
      </c>
    </row>
    <row r="35" spans="1:5">
      <c r="A35" t="s">
        <v>130</v>
      </c>
      <c r="B35" t="s">
        <v>3938</v>
      </c>
      <c r="C35" t="s">
        <v>3939</v>
      </c>
      <c r="D35" t="s">
        <v>297</v>
      </c>
      <c r="E35">
        <f>HYPERLINK("https://www.britishcycling.org.uk/points?person_id=63327&amp;year=2019&amp;type=national&amp;d=6","Results")</f>
        <v/>
      </c>
    </row>
    <row r="36" spans="1:5">
      <c r="A36" t="s">
        <v>133</v>
      </c>
      <c r="B36" t="s">
        <v>3940</v>
      </c>
      <c r="C36" t="s">
        <v>3941</v>
      </c>
      <c r="D36" t="s">
        <v>293</v>
      </c>
      <c r="E36">
        <f>HYPERLINK("https://www.britishcycling.org.uk/points?person_id=8720&amp;year=2019&amp;type=national&amp;d=6","Results")</f>
        <v/>
      </c>
    </row>
    <row r="37" spans="1:5">
      <c r="A37" t="s">
        <v>137</v>
      </c>
      <c r="B37" t="s">
        <v>3942</v>
      </c>
      <c r="C37" t="s">
        <v>299</v>
      </c>
      <c r="D37" t="s">
        <v>289</v>
      </c>
      <c r="E37">
        <f>HYPERLINK("https://www.britishcycling.org.uk/points?person_id=31091&amp;year=2019&amp;type=national&amp;d=6","Results")</f>
        <v/>
      </c>
    </row>
    <row r="38" spans="1:5">
      <c r="A38" t="s">
        <v>141</v>
      </c>
      <c r="B38" t="s">
        <v>3943</v>
      </c>
      <c r="C38" t="s">
        <v>3944</v>
      </c>
      <c r="D38" t="s">
        <v>267</v>
      </c>
      <c r="E38">
        <f>HYPERLINK("https://www.britishcycling.org.uk/points?person_id=274&amp;year=2019&amp;type=national&amp;d=6","Results")</f>
        <v/>
      </c>
    </row>
    <row r="39" spans="1:5">
      <c r="A39" t="s">
        <v>145</v>
      </c>
      <c r="B39" t="s">
        <v>3945</v>
      </c>
      <c r="C39" t="s">
        <v>94</v>
      </c>
      <c r="D39" t="s">
        <v>267</v>
      </c>
      <c r="E39">
        <f>HYPERLINK("https://www.britishcycling.org.uk/points?person_id=293971&amp;year=2019&amp;type=national&amp;d=6","Results")</f>
        <v/>
      </c>
    </row>
    <row r="40" spans="1:5">
      <c r="A40" t="s">
        <v>148</v>
      </c>
      <c r="B40" t="s">
        <v>3946</v>
      </c>
      <c r="C40" t="s">
        <v>1736</v>
      </c>
      <c r="D40" t="s">
        <v>250</v>
      </c>
      <c r="E40">
        <f>HYPERLINK("https://www.britishcycling.org.uk/points?person_id=45752&amp;year=2019&amp;type=national&amp;d=6","Results")</f>
        <v/>
      </c>
    </row>
    <row r="41" spans="1:5">
      <c r="A41" t="s">
        <v>151</v>
      </c>
      <c r="B41" t="s">
        <v>3947</v>
      </c>
      <c r="C41" t="s"/>
      <c r="D41" t="s">
        <v>239</v>
      </c>
      <c r="E41">
        <f>HYPERLINK("https://www.britishcycling.org.uk/points?person_id=611216&amp;year=2019&amp;type=national&amp;d=6","Results")</f>
        <v/>
      </c>
    </row>
    <row r="42" spans="1:5">
      <c r="A42" t="s">
        <v>155</v>
      </c>
      <c r="B42" t="s">
        <v>3948</v>
      </c>
      <c r="C42" t="s">
        <v>3671</v>
      </c>
      <c r="D42" t="s">
        <v>236</v>
      </c>
      <c r="E42">
        <f>HYPERLINK("https://www.britishcycling.org.uk/points?person_id=65180&amp;year=2019&amp;type=national&amp;d=6","Results")</f>
        <v/>
      </c>
    </row>
    <row r="43" spans="1:5">
      <c r="A43" t="s">
        <v>158</v>
      </c>
      <c r="B43" t="s">
        <v>3949</v>
      </c>
      <c r="C43" t="s">
        <v>312</v>
      </c>
      <c r="D43" t="s">
        <v>236</v>
      </c>
      <c r="E43">
        <f>HYPERLINK("https://www.britishcycling.org.uk/points?person_id=516298&amp;year=2019&amp;type=national&amp;d=6","Results")</f>
        <v/>
      </c>
    </row>
    <row r="44" spans="1:5">
      <c r="A44" t="s">
        <v>161</v>
      </c>
      <c r="B44" t="s">
        <v>3950</v>
      </c>
      <c r="C44" t="s"/>
      <c r="D44" t="s">
        <v>232</v>
      </c>
      <c r="E44">
        <f>HYPERLINK("https://www.britishcycling.org.uk/points?person_id=34417&amp;year=2019&amp;type=national&amp;d=6","Results")</f>
        <v/>
      </c>
    </row>
    <row r="45" spans="1:5">
      <c r="A45" t="s">
        <v>165</v>
      </c>
      <c r="B45" t="s">
        <v>3951</v>
      </c>
      <c r="C45" t="s">
        <v>2488</v>
      </c>
      <c r="D45" t="s">
        <v>218</v>
      </c>
      <c r="E45">
        <f>HYPERLINK("https://www.britishcycling.org.uk/points?person_id=74927&amp;year=2019&amp;type=national&amp;d=6","Results")</f>
        <v/>
      </c>
    </row>
    <row r="46" spans="1:5">
      <c r="A46" t="s">
        <v>168</v>
      </c>
      <c r="B46" t="s">
        <v>3816</v>
      </c>
      <c r="C46" t="s">
        <v>223</v>
      </c>
      <c r="D46" t="s">
        <v>207</v>
      </c>
      <c r="E46">
        <f>HYPERLINK("https://www.britishcycling.org.uk/points?person_id=299364&amp;year=2019&amp;type=national&amp;d=6","Results")</f>
        <v/>
      </c>
    </row>
    <row r="47" spans="1:5">
      <c r="A47" t="s">
        <v>172</v>
      </c>
      <c r="B47" t="s">
        <v>3952</v>
      </c>
      <c r="C47" t="s">
        <v>23</v>
      </c>
      <c r="D47" t="s">
        <v>196</v>
      </c>
      <c r="E47">
        <f>HYPERLINK("https://www.britishcycling.org.uk/points?person_id=844833&amp;year=2019&amp;type=national&amp;d=6","Results")</f>
        <v/>
      </c>
    </row>
    <row r="48" spans="1:5">
      <c r="A48" t="s">
        <v>176</v>
      </c>
      <c r="B48" t="s">
        <v>3953</v>
      </c>
      <c r="C48" t="s">
        <v>198</v>
      </c>
      <c r="D48" t="s">
        <v>196</v>
      </c>
      <c r="E48">
        <f>HYPERLINK("https://www.britishcycling.org.uk/points?person_id=48664&amp;year=2019&amp;type=national&amp;d=6","Results")</f>
        <v/>
      </c>
    </row>
    <row r="49" spans="1:5">
      <c r="A49" t="s">
        <v>180</v>
      </c>
      <c r="B49" t="s">
        <v>3954</v>
      </c>
      <c r="C49" t="s">
        <v>1354</v>
      </c>
      <c r="D49" t="s">
        <v>192</v>
      </c>
      <c r="E49">
        <f>HYPERLINK("https://www.britishcycling.org.uk/points?person_id=48750&amp;year=2019&amp;type=national&amp;d=6","Results")</f>
        <v/>
      </c>
    </row>
    <row r="50" spans="1:5">
      <c r="A50" t="s">
        <v>184</v>
      </c>
      <c r="B50" t="s">
        <v>3955</v>
      </c>
      <c r="C50" t="s">
        <v>1494</v>
      </c>
      <c r="D50" t="s">
        <v>188</v>
      </c>
      <c r="E50">
        <f>HYPERLINK("https://www.britishcycling.org.uk/points?person_id=57505&amp;year=2019&amp;type=national&amp;d=6","Results")</f>
        <v/>
      </c>
    </row>
    <row r="51" spans="1:5">
      <c r="A51" t="s">
        <v>188</v>
      </c>
      <c r="B51" t="s">
        <v>3956</v>
      </c>
      <c r="C51" t="s">
        <v>1865</v>
      </c>
      <c r="D51" t="s">
        <v>184</v>
      </c>
      <c r="E51">
        <f>HYPERLINK("https://www.britishcycling.org.uk/points?person_id=48237&amp;year=2019&amp;type=national&amp;d=6","Results")</f>
        <v/>
      </c>
    </row>
    <row r="52" spans="1:5">
      <c r="A52" t="s">
        <v>192</v>
      </c>
      <c r="B52" t="s">
        <v>3957</v>
      </c>
      <c r="C52" t="s">
        <v>3818</v>
      </c>
      <c r="D52" t="s">
        <v>180</v>
      </c>
      <c r="E52">
        <f>HYPERLINK("https://www.britishcycling.org.uk/points?person_id=449719&amp;year=2019&amp;type=national&amp;d=6","Results")</f>
        <v/>
      </c>
    </row>
    <row r="53" spans="1:5">
      <c r="A53" t="s">
        <v>196</v>
      </c>
      <c r="B53" t="s">
        <v>3958</v>
      </c>
      <c r="C53" t="s">
        <v>2899</v>
      </c>
      <c r="D53" t="s">
        <v>180</v>
      </c>
      <c r="E53">
        <f>HYPERLINK("https://www.britishcycling.org.uk/points?person_id=64749&amp;year=2019&amp;type=national&amp;d=6","Results")</f>
        <v/>
      </c>
    </row>
    <row r="54" spans="1:5">
      <c r="A54" t="s">
        <v>199</v>
      </c>
      <c r="B54" t="s">
        <v>3959</v>
      </c>
      <c r="C54" t="s">
        <v>1841</v>
      </c>
      <c r="D54" t="s">
        <v>180</v>
      </c>
      <c r="E54">
        <f>HYPERLINK("https://www.britishcycling.org.uk/points?person_id=71400&amp;year=2019&amp;type=national&amp;d=6","Results")</f>
        <v/>
      </c>
    </row>
    <row r="55" spans="1:5">
      <c r="A55" t="s">
        <v>203</v>
      </c>
      <c r="B55" t="s">
        <v>3960</v>
      </c>
      <c r="C55" t="s">
        <v>1478</v>
      </c>
      <c r="D55" t="s">
        <v>176</v>
      </c>
      <c r="E55">
        <f>HYPERLINK("https://www.britishcycling.org.uk/points?person_id=178322&amp;year=2019&amp;type=national&amp;d=6","Results")</f>
        <v/>
      </c>
    </row>
    <row r="56" spans="1:5">
      <c r="A56" t="s">
        <v>207</v>
      </c>
      <c r="B56" t="s">
        <v>3961</v>
      </c>
      <c r="C56" t="s">
        <v>3613</v>
      </c>
      <c r="D56" t="s">
        <v>172</v>
      </c>
      <c r="E56">
        <f>HYPERLINK("https://www.britishcycling.org.uk/points?person_id=13275&amp;year=2019&amp;type=national&amp;d=6","Results")</f>
        <v/>
      </c>
    </row>
    <row r="57" spans="1:5">
      <c r="A57" t="s">
        <v>210</v>
      </c>
      <c r="B57" t="s">
        <v>3962</v>
      </c>
      <c r="C57" t="s">
        <v>3193</v>
      </c>
      <c r="D57" t="s">
        <v>158</v>
      </c>
      <c r="E57">
        <f>HYPERLINK("https://www.britishcycling.org.uk/points?person_id=32896&amp;year=2019&amp;type=national&amp;d=6","Results")</f>
        <v/>
      </c>
    </row>
    <row r="58" spans="1:5">
      <c r="A58" t="s">
        <v>214</v>
      </c>
      <c r="B58" t="s">
        <v>3963</v>
      </c>
      <c r="C58" t="s">
        <v>3427</v>
      </c>
      <c r="D58" t="s">
        <v>158</v>
      </c>
      <c r="E58">
        <f>HYPERLINK("https://www.britishcycling.org.uk/points?person_id=61651&amp;year=2019&amp;type=national&amp;d=6","Results")</f>
        <v/>
      </c>
    </row>
    <row r="59" spans="1:5">
      <c r="A59" t="s">
        <v>218</v>
      </c>
      <c r="B59" t="s">
        <v>3964</v>
      </c>
      <c r="C59" t="s">
        <v>1961</v>
      </c>
      <c r="D59" t="s">
        <v>158</v>
      </c>
      <c r="E59">
        <f>HYPERLINK("https://www.britishcycling.org.uk/points?person_id=72723&amp;year=2019&amp;type=national&amp;d=6","Results")</f>
        <v/>
      </c>
    </row>
    <row r="60" spans="1:5">
      <c r="A60" t="s">
        <v>221</v>
      </c>
      <c r="B60" t="s">
        <v>3965</v>
      </c>
      <c r="C60" t="s">
        <v>1456</v>
      </c>
      <c r="D60" t="s">
        <v>155</v>
      </c>
      <c r="E60">
        <f>HYPERLINK("https://www.britishcycling.org.uk/points?person_id=541591&amp;year=2019&amp;type=national&amp;d=6","Results")</f>
        <v/>
      </c>
    </row>
    <row r="61" spans="1:5">
      <c r="A61" t="s">
        <v>225</v>
      </c>
      <c r="B61" t="s">
        <v>3966</v>
      </c>
      <c r="C61" t="s">
        <v>1502</v>
      </c>
      <c r="D61" t="s">
        <v>155</v>
      </c>
      <c r="E61">
        <f>HYPERLINK("https://www.britishcycling.org.uk/points?person_id=36901&amp;year=2019&amp;type=national&amp;d=6","Results")</f>
        <v/>
      </c>
    </row>
    <row r="62" spans="1:5">
      <c r="A62" t="s">
        <v>228</v>
      </c>
      <c r="B62" t="s">
        <v>3967</v>
      </c>
      <c r="C62" t="s">
        <v>33</v>
      </c>
      <c r="D62" t="s">
        <v>145</v>
      </c>
      <c r="E62">
        <f>HYPERLINK("https://www.britishcycling.org.uk/points?person_id=517897&amp;year=2019&amp;type=national&amp;d=6","Results")</f>
        <v/>
      </c>
    </row>
    <row r="63" spans="1:5">
      <c r="A63" t="s">
        <v>232</v>
      </c>
      <c r="B63" t="s">
        <v>3968</v>
      </c>
      <c r="C63" t="s">
        <v>3019</v>
      </c>
      <c r="D63" t="s">
        <v>141</v>
      </c>
      <c r="E63">
        <f>HYPERLINK("https://www.britishcycling.org.uk/points?person_id=62474&amp;year=2019&amp;type=national&amp;d=6","Results")</f>
        <v/>
      </c>
    </row>
    <row r="64" spans="1:5">
      <c r="A64" t="s">
        <v>236</v>
      </c>
      <c r="B64" t="s">
        <v>3969</v>
      </c>
      <c r="C64" t="s">
        <v>2655</v>
      </c>
      <c r="D64" t="s">
        <v>127</v>
      </c>
      <c r="E64">
        <f>HYPERLINK("https://www.britishcycling.org.uk/points?person_id=524200&amp;year=2019&amp;type=national&amp;d=6","Results")</f>
        <v/>
      </c>
    </row>
    <row r="65" spans="1:5">
      <c r="A65" t="s">
        <v>239</v>
      </c>
      <c r="B65" t="s">
        <v>3970</v>
      </c>
      <c r="C65" t="s">
        <v>1467</v>
      </c>
      <c r="D65" t="s">
        <v>123</v>
      </c>
      <c r="E65">
        <f>HYPERLINK("https://www.britishcycling.org.uk/points?person_id=31707&amp;year=2019&amp;type=national&amp;d=6","Results")</f>
        <v/>
      </c>
    </row>
    <row r="66" spans="1:5">
      <c r="A66" t="s">
        <v>241</v>
      </c>
      <c r="B66" t="s">
        <v>3971</v>
      </c>
      <c r="C66" t="s">
        <v>299</v>
      </c>
      <c r="D66" t="s">
        <v>115</v>
      </c>
      <c r="E66">
        <f>HYPERLINK("https://www.britishcycling.org.uk/points?person_id=183467&amp;year=2019&amp;type=national&amp;d=6","Results")</f>
        <v/>
      </c>
    </row>
    <row r="67" spans="1:5">
      <c r="A67" t="s">
        <v>244</v>
      </c>
      <c r="B67" t="s">
        <v>3972</v>
      </c>
      <c r="C67" t="s">
        <v>879</v>
      </c>
      <c r="D67" t="s">
        <v>107</v>
      </c>
      <c r="E67">
        <f>HYPERLINK("https://www.britishcycling.org.uk/points?person_id=22866&amp;year=2019&amp;type=national&amp;d=6","Results")</f>
        <v/>
      </c>
    </row>
    <row r="68" spans="1:5">
      <c r="A68" t="s">
        <v>247</v>
      </c>
      <c r="B68" t="s">
        <v>3973</v>
      </c>
      <c r="C68" t="s">
        <v>283</v>
      </c>
      <c r="D68" t="s">
        <v>107</v>
      </c>
      <c r="E68">
        <f>HYPERLINK("https://www.britishcycling.org.uk/points?person_id=48926&amp;year=2019&amp;type=national&amp;d=6","Results")</f>
        <v/>
      </c>
    </row>
    <row r="69" spans="1:5">
      <c r="A69" t="s">
        <v>250</v>
      </c>
      <c r="B69" t="s">
        <v>3974</v>
      </c>
      <c r="C69" t="s">
        <v>3975</v>
      </c>
      <c r="D69" t="s">
        <v>103</v>
      </c>
      <c r="E69">
        <f>HYPERLINK("https://www.britishcycling.org.uk/points?person_id=224&amp;year=2019&amp;type=national&amp;d=6","Results")</f>
        <v/>
      </c>
    </row>
    <row r="70" spans="1:5">
      <c r="A70" t="s">
        <v>254</v>
      </c>
      <c r="B70" t="s">
        <v>3976</v>
      </c>
      <c r="C70" t="s">
        <v>3932</v>
      </c>
      <c r="D70" t="s">
        <v>103</v>
      </c>
      <c r="E70">
        <f>HYPERLINK("https://www.britishcycling.org.uk/points?person_id=106324&amp;year=2019&amp;type=national&amp;d=6","Results")</f>
        <v/>
      </c>
    </row>
    <row r="71" spans="1:5">
      <c r="A71" t="s">
        <v>257</v>
      </c>
      <c r="B71" t="s">
        <v>3977</v>
      </c>
      <c r="C71" t="s">
        <v>3978</v>
      </c>
      <c r="D71" t="s">
        <v>96</v>
      </c>
      <c r="E71">
        <f>HYPERLINK("https://www.britishcycling.org.uk/points?person_id=525761&amp;year=2019&amp;type=national&amp;d=6","Results")</f>
        <v/>
      </c>
    </row>
    <row r="72" spans="1:5">
      <c r="A72" t="s">
        <v>260</v>
      </c>
      <c r="B72" t="s">
        <v>3979</v>
      </c>
      <c r="C72" t="s">
        <v>1648</v>
      </c>
      <c r="D72" t="s">
        <v>92</v>
      </c>
      <c r="E72">
        <f>HYPERLINK("https://www.britishcycling.org.uk/points?person_id=296633&amp;year=2019&amp;type=national&amp;d=6","Results")</f>
        <v/>
      </c>
    </row>
    <row r="73" spans="1:5">
      <c r="A73" t="s">
        <v>264</v>
      </c>
      <c r="B73" t="s">
        <v>3980</v>
      </c>
      <c r="C73" t="s">
        <v>2723</v>
      </c>
      <c r="D73" t="s">
        <v>92</v>
      </c>
      <c r="E73">
        <f>HYPERLINK("https://www.britishcycling.org.uk/points?person_id=12998&amp;year=2019&amp;type=national&amp;d=6","Results")</f>
        <v/>
      </c>
    </row>
    <row r="74" spans="1:5">
      <c r="A74" t="s">
        <v>267</v>
      </c>
      <c r="B74" t="s">
        <v>3981</v>
      </c>
      <c r="C74" t="s">
        <v>1726</v>
      </c>
      <c r="D74" t="s">
        <v>92</v>
      </c>
      <c r="E74">
        <f>HYPERLINK("https://www.britishcycling.org.uk/points?person_id=102716&amp;year=2019&amp;type=national&amp;d=6","Results")</f>
        <v/>
      </c>
    </row>
    <row r="75" spans="1:5">
      <c r="A75" t="s">
        <v>270</v>
      </c>
      <c r="B75" t="s">
        <v>3982</v>
      </c>
      <c r="C75" t="s">
        <v>3421</v>
      </c>
      <c r="D75" t="s">
        <v>89</v>
      </c>
      <c r="E75">
        <f>HYPERLINK("https://www.britishcycling.org.uk/points?person_id=33520&amp;year=2019&amp;type=national&amp;d=6","Results")</f>
        <v/>
      </c>
    </row>
    <row r="76" spans="1:5">
      <c r="A76" t="s">
        <v>274</v>
      </c>
      <c r="B76" t="s">
        <v>3983</v>
      </c>
      <c r="C76" t="s">
        <v>643</v>
      </c>
      <c r="D76" t="s">
        <v>85</v>
      </c>
      <c r="E76">
        <f>HYPERLINK("https://www.britishcycling.org.uk/points?person_id=32688&amp;year=2019&amp;type=national&amp;d=6","Results")</f>
        <v/>
      </c>
    </row>
    <row r="77" spans="1:5">
      <c r="A77" t="s">
        <v>277</v>
      </c>
      <c r="B77" t="s">
        <v>3984</v>
      </c>
      <c r="C77" t="s">
        <v>3985</v>
      </c>
      <c r="D77" t="s">
        <v>82</v>
      </c>
      <c r="E77">
        <f>HYPERLINK("https://www.britishcycling.org.uk/points?person_id=40175&amp;year=2019&amp;type=national&amp;d=6","Results")</f>
        <v/>
      </c>
    </row>
    <row r="78" spans="1:5">
      <c r="A78" t="s">
        <v>281</v>
      </c>
      <c r="B78" t="s">
        <v>3986</v>
      </c>
      <c r="C78" t="s">
        <v>3796</v>
      </c>
      <c r="D78" t="s">
        <v>78</v>
      </c>
      <c r="E78">
        <f>HYPERLINK("https://www.britishcycling.org.uk/points?person_id=100770&amp;year=2019&amp;type=national&amp;d=6","Results")</f>
        <v/>
      </c>
    </row>
    <row r="79" spans="1:5">
      <c r="A79" t="s">
        <v>285</v>
      </c>
      <c r="B79" t="s">
        <v>3987</v>
      </c>
      <c r="C79" t="s">
        <v>879</v>
      </c>
      <c r="D79" t="s">
        <v>78</v>
      </c>
      <c r="E79">
        <f>HYPERLINK("https://www.britishcycling.org.uk/points?person_id=60966&amp;year=2019&amp;type=national&amp;d=6","Results")</f>
        <v/>
      </c>
    </row>
    <row r="80" spans="1:5">
      <c r="A80" t="s">
        <v>289</v>
      </c>
      <c r="B80" t="s">
        <v>3988</v>
      </c>
      <c r="C80" t="s">
        <v>3989</v>
      </c>
      <c r="D80" t="s">
        <v>78</v>
      </c>
      <c r="E80">
        <f>HYPERLINK("https://www.britishcycling.org.uk/points?person_id=560760&amp;year=2019&amp;type=national&amp;d=6","Results")</f>
        <v/>
      </c>
    </row>
    <row r="81" spans="1:5">
      <c r="A81" t="s">
        <v>293</v>
      </c>
      <c r="B81" t="s">
        <v>3990</v>
      </c>
      <c r="C81" t="s"/>
      <c r="D81" t="s">
        <v>75</v>
      </c>
      <c r="E81">
        <f>HYPERLINK("https://www.britishcycling.org.uk/points?person_id=52235&amp;year=2019&amp;type=national&amp;d=6","Results")</f>
        <v/>
      </c>
    </row>
    <row r="82" spans="1:5">
      <c r="A82" t="s">
        <v>297</v>
      </c>
      <c r="B82" t="s">
        <v>3991</v>
      </c>
      <c r="C82" t="s">
        <v>363</v>
      </c>
      <c r="D82" t="s">
        <v>71</v>
      </c>
      <c r="E82">
        <f>HYPERLINK("https://www.britishcycling.org.uk/points?person_id=60740&amp;year=2019&amp;type=national&amp;d=6","Results")</f>
        <v/>
      </c>
    </row>
    <row r="83" spans="1:5">
      <c r="A83" t="s">
        <v>301</v>
      </c>
      <c r="B83" t="s">
        <v>3992</v>
      </c>
      <c r="C83" t="s">
        <v>3993</v>
      </c>
      <c r="D83" t="s">
        <v>67</v>
      </c>
      <c r="E83">
        <f>HYPERLINK("https://www.britishcycling.org.uk/points?person_id=70052&amp;year=2019&amp;type=national&amp;d=6","Results")</f>
        <v/>
      </c>
    </row>
    <row r="84" spans="1:5">
      <c r="A84" t="s">
        <v>304</v>
      </c>
      <c r="B84" t="s">
        <v>3994</v>
      </c>
      <c r="C84" t="s">
        <v>2323</v>
      </c>
      <c r="D84" t="s">
        <v>67</v>
      </c>
      <c r="E84">
        <f>HYPERLINK("https://www.britishcycling.org.uk/points?person_id=20026&amp;year=2019&amp;type=national&amp;d=6","Results")</f>
        <v/>
      </c>
    </row>
    <row r="85" spans="1:5">
      <c r="A85" t="s">
        <v>307</v>
      </c>
      <c r="B85" t="s">
        <v>3995</v>
      </c>
      <c r="C85" t="s">
        <v>2723</v>
      </c>
      <c r="D85" t="s">
        <v>63</v>
      </c>
      <c r="E85">
        <f>HYPERLINK("https://www.britishcycling.org.uk/points?person_id=63230&amp;year=2019&amp;type=national&amp;d=6","Results")</f>
        <v/>
      </c>
    </row>
    <row r="86" spans="1:5">
      <c r="A86" t="s">
        <v>310</v>
      </c>
      <c r="B86" t="s">
        <v>3996</v>
      </c>
      <c r="C86" t="s">
        <v>3997</v>
      </c>
      <c r="D86" t="s">
        <v>63</v>
      </c>
      <c r="E86">
        <f>HYPERLINK("https://www.britishcycling.org.uk/points?person_id=45331&amp;year=2019&amp;type=national&amp;d=6","Results")</f>
        <v/>
      </c>
    </row>
    <row r="87" spans="1:5">
      <c r="A87" t="s">
        <v>313</v>
      </c>
      <c r="B87" t="s">
        <v>3998</v>
      </c>
      <c r="C87" t="s">
        <v>1461</v>
      </c>
      <c r="D87" t="s">
        <v>63</v>
      </c>
      <c r="E87">
        <f>HYPERLINK("https://www.britishcycling.org.uk/points?person_id=137262&amp;year=2019&amp;type=national&amp;d=6","Results")</f>
        <v/>
      </c>
    </row>
    <row r="88" spans="1:5">
      <c r="A88" t="s">
        <v>317</v>
      </c>
      <c r="B88" t="s">
        <v>3999</v>
      </c>
      <c r="C88" t="s">
        <v>1768</v>
      </c>
      <c r="D88" t="s">
        <v>59</v>
      </c>
      <c r="E88">
        <f>HYPERLINK("https://www.britishcycling.org.uk/points?person_id=59585&amp;year=2019&amp;type=national&amp;d=6","Results")</f>
        <v/>
      </c>
    </row>
    <row r="89" spans="1:5">
      <c r="A89" t="s">
        <v>319</v>
      </c>
      <c r="B89" t="s">
        <v>4000</v>
      </c>
      <c r="C89" t="s"/>
      <c r="D89" t="s">
        <v>55</v>
      </c>
      <c r="E89">
        <f>HYPERLINK("https://www.britishcycling.org.uk/points?person_id=75512&amp;year=2019&amp;type=national&amp;d=6","Results")</f>
        <v/>
      </c>
    </row>
    <row r="90" spans="1:5">
      <c r="A90" t="s">
        <v>322</v>
      </c>
      <c r="B90" t="s">
        <v>4001</v>
      </c>
      <c r="C90" t="s">
        <v>2466</v>
      </c>
      <c r="D90" t="s">
        <v>55</v>
      </c>
      <c r="E90">
        <f>HYPERLINK("https://www.britishcycling.org.uk/points?person_id=4812&amp;year=2019&amp;type=national&amp;d=6","Results")</f>
        <v/>
      </c>
    </row>
    <row r="91" spans="1:5">
      <c r="A91" t="s">
        <v>326</v>
      </c>
      <c r="B91" t="s">
        <v>4002</v>
      </c>
      <c r="C91" t="s">
        <v>3679</v>
      </c>
      <c r="D91" t="s">
        <v>55</v>
      </c>
      <c r="E91">
        <f>HYPERLINK("https://www.britishcycling.org.uk/points?person_id=36165&amp;year=2019&amp;type=national&amp;d=6","Results")</f>
        <v/>
      </c>
    </row>
    <row r="92" spans="1:5">
      <c r="A92" t="s">
        <v>329</v>
      </c>
      <c r="B92" t="s">
        <v>4003</v>
      </c>
      <c r="C92" t="s">
        <v>4004</v>
      </c>
      <c r="D92" t="s">
        <v>51</v>
      </c>
      <c r="E92">
        <f>HYPERLINK("https://www.britishcycling.org.uk/points?person_id=222734&amp;year=2019&amp;type=national&amp;d=6","Results")</f>
        <v/>
      </c>
    </row>
    <row r="93" spans="1:5">
      <c r="A93" t="s">
        <v>333</v>
      </c>
      <c r="B93" t="s">
        <v>4005</v>
      </c>
      <c r="C93" t="s">
        <v>1391</v>
      </c>
      <c r="D93" t="s">
        <v>51</v>
      </c>
      <c r="E93">
        <f>HYPERLINK("https://www.britishcycling.org.uk/points?person_id=350269&amp;year=2019&amp;type=national&amp;d=6","Results")</f>
        <v/>
      </c>
    </row>
    <row r="94" spans="1:5">
      <c r="A94" t="s">
        <v>337</v>
      </c>
      <c r="B94" t="s">
        <v>4006</v>
      </c>
      <c r="C94" t="s">
        <v>1391</v>
      </c>
      <c r="D94" t="s">
        <v>47</v>
      </c>
      <c r="E94">
        <f>HYPERLINK("https://www.britishcycling.org.uk/points?person_id=405673&amp;year=2019&amp;type=national&amp;d=6","Results")</f>
        <v/>
      </c>
    </row>
    <row r="95" spans="1:5">
      <c r="A95" t="s">
        <v>341</v>
      </c>
      <c r="B95" t="s">
        <v>4007</v>
      </c>
      <c r="C95" t="s">
        <v>3379</v>
      </c>
      <c r="D95" t="s">
        <v>47</v>
      </c>
      <c r="E95">
        <f>HYPERLINK("https://www.britishcycling.org.uk/points?person_id=100179&amp;year=2019&amp;type=national&amp;d=6","Results")</f>
        <v/>
      </c>
    </row>
    <row r="96" spans="1:5">
      <c r="A96" t="s">
        <v>344</v>
      </c>
      <c r="B96" t="s">
        <v>4008</v>
      </c>
      <c r="C96" t="s">
        <v>879</v>
      </c>
      <c r="D96" t="s">
        <v>47</v>
      </c>
      <c r="E96">
        <f>HYPERLINK("https://www.britishcycling.org.uk/points?person_id=87362&amp;year=2019&amp;type=national&amp;d=6","Results")</f>
        <v/>
      </c>
    </row>
    <row r="97" spans="1:5">
      <c r="A97" t="s">
        <v>347</v>
      </c>
      <c r="B97" t="s">
        <v>4009</v>
      </c>
      <c r="C97" t="s">
        <v>3003</v>
      </c>
      <c r="D97" t="s">
        <v>43</v>
      </c>
      <c r="E97">
        <f>HYPERLINK("https://www.britishcycling.org.uk/points?person_id=49637&amp;year=2019&amp;type=national&amp;d=6","Results")</f>
        <v/>
      </c>
    </row>
    <row r="98" spans="1:5">
      <c r="A98" t="s">
        <v>350</v>
      </c>
      <c r="B98" t="s">
        <v>4010</v>
      </c>
      <c r="C98" t="s">
        <v>1621</v>
      </c>
      <c r="D98" t="s">
        <v>39</v>
      </c>
      <c r="E98">
        <f>HYPERLINK("https://www.britishcycling.org.uk/points?person_id=32988&amp;year=2019&amp;type=national&amp;d=6","Results")</f>
        <v/>
      </c>
    </row>
    <row r="99" spans="1:5">
      <c r="A99" t="s">
        <v>352</v>
      </c>
      <c r="B99" t="s">
        <v>4011</v>
      </c>
      <c r="C99" t="s"/>
      <c r="D99" t="s">
        <v>31</v>
      </c>
      <c r="E99">
        <f>HYPERLINK("https://www.britishcycling.org.uk/points?person_id=867886&amp;year=2019&amp;type=national&amp;d=6","Results")</f>
        <v/>
      </c>
    </row>
    <row r="100" spans="1:5">
      <c r="A100" t="s">
        <v>349</v>
      </c>
      <c r="B100" t="s">
        <v>4012</v>
      </c>
      <c r="C100" t="s">
        <v>1648</v>
      </c>
      <c r="D100" t="s">
        <v>28</v>
      </c>
      <c r="E100">
        <f>HYPERLINK("https://www.britishcycling.org.uk/points?person_id=937760&amp;year=2019&amp;type=national&amp;d=6","Results")</f>
        <v/>
      </c>
    </row>
    <row r="101" spans="1:5">
      <c r="A101" t="s">
        <v>356</v>
      </c>
      <c r="B101" t="s">
        <v>4013</v>
      </c>
      <c r="C101" t="s">
        <v>929</v>
      </c>
      <c r="D101" t="s">
        <v>28</v>
      </c>
      <c r="E101">
        <f>HYPERLINK("https://www.britishcycling.org.uk/points?person_id=192201&amp;year=2019&amp;type=national&amp;d=6","Results")</f>
        <v/>
      </c>
    </row>
    <row r="102" spans="1:5">
      <c r="A102" t="s">
        <v>359</v>
      </c>
      <c r="B102" t="s">
        <v>4014</v>
      </c>
      <c r="C102" t="s">
        <v>2675</v>
      </c>
      <c r="D102" t="s">
        <v>28</v>
      </c>
      <c r="E102">
        <f>HYPERLINK("https://www.britishcycling.org.uk/points?person_id=688931&amp;year=2019&amp;type=national&amp;d=6","Results")</f>
        <v/>
      </c>
    </row>
    <row r="103" spans="1:5">
      <c r="A103" t="s">
        <v>343</v>
      </c>
      <c r="B103" t="s">
        <v>4015</v>
      </c>
      <c r="C103" t="s">
        <v>4016</v>
      </c>
      <c r="D103" t="s">
        <v>28</v>
      </c>
      <c r="E103">
        <f>HYPERLINK("https://www.britishcycling.org.uk/points?person_id=35670&amp;year=2019&amp;type=national&amp;d=6","Results")</f>
        <v/>
      </c>
    </row>
    <row r="104" spans="1:5">
      <c r="A104" t="s">
        <v>364</v>
      </c>
      <c r="B104" t="s">
        <v>4017</v>
      </c>
      <c r="C104" t="s">
        <v>1292</v>
      </c>
      <c r="D104" t="s">
        <v>25</v>
      </c>
      <c r="E104">
        <f>HYPERLINK("https://www.britishcycling.org.uk/points?person_id=383763&amp;year=2019&amp;type=national&amp;d=6","Results")</f>
        <v/>
      </c>
    </row>
    <row r="105" spans="1:5">
      <c r="A105" t="s">
        <v>340</v>
      </c>
      <c r="B105" t="s">
        <v>4018</v>
      </c>
      <c r="C105" t="s">
        <v>4019</v>
      </c>
      <c r="D105" t="s">
        <v>25</v>
      </c>
      <c r="E105">
        <f>HYPERLINK("https://www.britishcycling.org.uk/points?person_id=135317&amp;year=2019&amp;type=national&amp;d=6","Results")</f>
        <v/>
      </c>
    </row>
    <row r="106" spans="1:5">
      <c r="A106" t="s">
        <v>368</v>
      </c>
      <c r="B106" t="s">
        <v>4020</v>
      </c>
      <c r="C106" t="s">
        <v>814</v>
      </c>
      <c r="D106" t="s">
        <v>25</v>
      </c>
      <c r="E106">
        <f>HYPERLINK("https://www.britishcycling.org.uk/points?person_id=35576&amp;year=2019&amp;type=national&amp;d=6","Results")</f>
        <v/>
      </c>
    </row>
    <row r="107" spans="1:5">
      <c r="A107" t="s">
        <v>370</v>
      </c>
      <c r="B107" t="s">
        <v>4021</v>
      </c>
      <c r="C107" t="s">
        <v>49</v>
      </c>
      <c r="D107" t="s">
        <v>21</v>
      </c>
      <c r="E107">
        <f>HYPERLINK("https://www.britishcycling.org.uk/points?person_id=77469&amp;year=2019&amp;type=national&amp;d=6","Results")</f>
        <v/>
      </c>
    </row>
    <row r="108" spans="1:5">
      <c r="A108" t="s">
        <v>372</v>
      </c>
      <c r="B108" t="s">
        <v>4022</v>
      </c>
      <c r="C108" t="s">
        <v>3753</v>
      </c>
      <c r="D108" t="s">
        <v>21</v>
      </c>
      <c r="E108">
        <f>HYPERLINK("https://www.britishcycling.org.uk/points?person_id=34419&amp;year=2019&amp;type=national&amp;d=6","Results")</f>
        <v/>
      </c>
    </row>
    <row r="109" spans="1:5">
      <c r="A109" t="s">
        <v>374</v>
      </c>
      <c r="B109" t="s">
        <v>4023</v>
      </c>
      <c r="C109" t="s">
        <v>3183</v>
      </c>
      <c r="D109" t="s">
        <v>21</v>
      </c>
      <c r="E109">
        <f>HYPERLINK("https://www.britishcycling.org.uk/points?person_id=27395&amp;year=2019&amp;type=national&amp;d=6","Results")</f>
        <v/>
      </c>
    </row>
    <row r="110" spans="1:5">
      <c r="A110" t="s">
        <v>377</v>
      </c>
      <c r="B110" t="s">
        <v>3632</v>
      </c>
      <c r="C110" t="s">
        <v>1354</v>
      </c>
      <c r="D110" t="s">
        <v>21</v>
      </c>
      <c r="E110">
        <f>HYPERLINK("https://www.britishcycling.org.uk/points?person_id=56455&amp;year=2019&amp;type=national&amp;d=6","Results")</f>
        <v/>
      </c>
    </row>
    <row r="111" spans="1:5">
      <c r="A111" t="s">
        <v>336</v>
      </c>
      <c r="B111" t="s">
        <v>4024</v>
      </c>
      <c r="C111" t="s">
        <v>4025</v>
      </c>
      <c r="D111" t="s">
        <v>13</v>
      </c>
      <c r="E111">
        <f>HYPERLINK("https://www.britishcycling.org.uk/points?person_id=1901&amp;year=2019&amp;type=national&amp;d=6","Results")</f>
        <v/>
      </c>
    </row>
    <row r="112" spans="1:5">
      <c r="A112" t="s">
        <v>332</v>
      </c>
      <c r="B112" t="s">
        <v>4026</v>
      </c>
      <c r="C112" t="s">
        <v>584</v>
      </c>
      <c r="D112" t="s">
        <v>13</v>
      </c>
      <c r="E112">
        <f>HYPERLINK("https://www.britishcycling.org.uk/points?person_id=63246&amp;year=2019&amp;type=national&amp;d=6","Results")</f>
        <v/>
      </c>
    </row>
    <row r="113" spans="1:5">
      <c r="A113" t="s">
        <v>384</v>
      </c>
      <c r="B113" t="s">
        <v>4027</v>
      </c>
      <c r="C113" t="s">
        <v>1538</v>
      </c>
      <c r="D113" t="s">
        <v>9</v>
      </c>
      <c r="E113">
        <f>HYPERLINK("https://www.britishcycling.org.uk/points?person_id=103755&amp;year=2019&amp;type=national&amp;d=6","Results")</f>
        <v/>
      </c>
    </row>
    <row r="114" spans="1:5">
      <c r="A114" t="s">
        <v>387</v>
      </c>
      <c r="B114" t="s">
        <v>4028</v>
      </c>
      <c r="C114" t="s">
        <v>1863</v>
      </c>
      <c r="D114" t="s">
        <v>5</v>
      </c>
      <c r="E114">
        <f>HYPERLINK("https://www.britishcycling.org.uk/points?person_id=45250&amp;year=2019&amp;type=national&amp;d=6","Results")</f>
        <v/>
      </c>
    </row>
    <row r="115" spans="1:5">
      <c r="A115" t="s">
        <v>389</v>
      </c>
      <c r="B115" t="s">
        <v>4029</v>
      </c>
      <c r="C115" t="s">
        <v>143</v>
      </c>
      <c r="D115" t="s">
        <v>5</v>
      </c>
      <c r="E115">
        <f>HYPERLINK("https://www.britishcycling.org.uk/points?person_id=18040&amp;year=2019&amp;type=national&amp;d=6","Results")</f>
        <v/>
      </c>
    </row>
    <row r="116" spans="1:5">
      <c r="A116" t="s">
        <v>325</v>
      </c>
      <c r="B116" t="s">
        <v>4030</v>
      </c>
      <c r="C116" t="s"/>
      <c r="D116" t="s">
        <v>5</v>
      </c>
      <c r="E116">
        <f>HYPERLINK("https://www.britishcycling.org.uk/points?person_id=37180&amp;year=2019&amp;type=national&amp;d=6","Results")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44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4031</v>
      </c>
      <c r="C2" t="s">
        <v>940</v>
      </c>
      <c r="D2" t="s">
        <v>2432</v>
      </c>
      <c r="E2">
        <f>HYPERLINK("https://www.britishcycling.org.uk/points?person_id=339045&amp;year=2019&amp;type=national&amp;d=6","Results")</f>
        <v/>
      </c>
    </row>
    <row r="3" spans="1:5">
      <c r="A3" t="s">
        <v>9</v>
      </c>
      <c r="B3" t="s">
        <v>4032</v>
      </c>
      <c r="C3" t="s">
        <v>961</v>
      </c>
      <c r="D3" t="s">
        <v>2383</v>
      </c>
      <c r="E3">
        <f>HYPERLINK("https://www.britishcycling.org.uk/points?person_id=261152&amp;year=2019&amp;type=national&amp;d=6","Results")</f>
        <v/>
      </c>
    </row>
    <row r="4" spans="1:5">
      <c r="A4" t="s">
        <v>13</v>
      </c>
      <c r="B4" t="s">
        <v>4033</v>
      </c>
      <c r="C4" t="s">
        <v>961</v>
      </c>
      <c r="D4" t="s">
        <v>2364</v>
      </c>
      <c r="E4">
        <f>HYPERLINK("https://www.britishcycling.org.uk/points?person_id=554055&amp;year=2019&amp;type=national&amp;d=6","Results")</f>
        <v/>
      </c>
    </row>
    <row r="5" spans="1:5">
      <c r="A5" t="s">
        <v>17</v>
      </c>
      <c r="B5" t="s">
        <v>4034</v>
      </c>
      <c r="C5" t="s">
        <v>80</v>
      </c>
      <c r="D5" t="s">
        <v>2275</v>
      </c>
      <c r="E5">
        <f>HYPERLINK("https://www.britishcycling.org.uk/points?person_id=499635&amp;year=2019&amp;type=national&amp;d=6","Results")</f>
        <v/>
      </c>
    </row>
    <row r="6" spans="1:5">
      <c r="A6" t="s">
        <v>21</v>
      </c>
      <c r="B6" t="s">
        <v>4035</v>
      </c>
      <c r="C6" t="s">
        <v>413</v>
      </c>
      <c r="D6" t="s">
        <v>2267</v>
      </c>
      <c r="E6">
        <f>HYPERLINK("https://www.britishcycling.org.uk/points?person_id=757738&amp;year=2019&amp;type=national&amp;d=6","Results")</f>
        <v/>
      </c>
    </row>
    <row r="7" spans="1:5">
      <c r="A7" t="s">
        <v>25</v>
      </c>
      <c r="B7" t="s">
        <v>4036</v>
      </c>
      <c r="C7" t="s">
        <v>4037</v>
      </c>
      <c r="D7" t="s">
        <v>2225</v>
      </c>
      <c r="E7">
        <f>HYPERLINK("https://www.britishcycling.org.uk/points?person_id=390279&amp;year=2019&amp;type=national&amp;d=6","Results")</f>
        <v/>
      </c>
    </row>
    <row r="8" spans="1:5">
      <c r="A8" t="s">
        <v>28</v>
      </c>
      <c r="B8" t="s">
        <v>4038</v>
      </c>
      <c r="C8" t="s">
        <v>194</v>
      </c>
      <c r="D8" t="s">
        <v>1333</v>
      </c>
      <c r="E8">
        <f>HYPERLINK("https://www.britishcycling.org.uk/points?person_id=173176&amp;year=2019&amp;type=national&amp;d=6","Results")</f>
        <v/>
      </c>
    </row>
    <row r="9" spans="1:5">
      <c r="A9" t="s">
        <v>31</v>
      </c>
      <c r="B9" t="s">
        <v>4039</v>
      </c>
      <c r="C9" t="s">
        <v>312</v>
      </c>
      <c r="D9" t="s">
        <v>810</v>
      </c>
      <c r="E9">
        <f>HYPERLINK("https://www.britishcycling.org.uk/points?person_id=521404&amp;year=2019&amp;type=national&amp;d=6","Results")</f>
        <v/>
      </c>
    </row>
    <row r="10" spans="1:5">
      <c r="A10" t="s">
        <v>35</v>
      </c>
      <c r="B10" t="s">
        <v>4040</v>
      </c>
      <c r="C10" t="s">
        <v>837</v>
      </c>
      <c r="D10" t="s">
        <v>682</v>
      </c>
      <c r="E10">
        <f>HYPERLINK("https://www.britishcycling.org.uk/points?person_id=830236&amp;year=2019&amp;type=national&amp;d=6","Results")</f>
        <v/>
      </c>
    </row>
    <row r="11" spans="1:5">
      <c r="A11" t="s">
        <v>39</v>
      </c>
      <c r="B11" t="s">
        <v>4041</v>
      </c>
      <c r="C11" t="s">
        <v>554</v>
      </c>
      <c r="D11" t="s">
        <v>661</v>
      </c>
      <c r="E11">
        <f>HYPERLINK("https://www.britishcycling.org.uk/points?person_id=330995&amp;year=2019&amp;type=national&amp;d=6","Results")</f>
        <v/>
      </c>
    </row>
    <row r="12" spans="1:5">
      <c r="A12" t="s">
        <v>43</v>
      </c>
      <c r="B12" t="s">
        <v>4042</v>
      </c>
      <c r="C12" t="s">
        <v>45</v>
      </c>
      <c r="D12" t="s">
        <v>654</v>
      </c>
      <c r="E12">
        <f>HYPERLINK("https://www.britishcycling.org.uk/points?person_id=223115&amp;year=2019&amp;type=national&amp;d=6","Results")</f>
        <v/>
      </c>
    </row>
    <row r="13" spans="1:5">
      <c r="A13" t="s">
        <v>47</v>
      </c>
      <c r="B13" t="s">
        <v>4043</v>
      </c>
      <c r="C13" t="s">
        <v>45</v>
      </c>
      <c r="D13" t="s">
        <v>587</v>
      </c>
      <c r="E13">
        <f>HYPERLINK("https://www.britishcycling.org.uk/points?person_id=463519&amp;year=2019&amp;type=national&amp;d=6","Results")</f>
        <v/>
      </c>
    </row>
    <row r="14" spans="1:5">
      <c r="A14" t="s">
        <v>51</v>
      </c>
      <c r="B14" t="s">
        <v>4044</v>
      </c>
      <c r="C14" t="s">
        <v>856</v>
      </c>
      <c r="D14" t="s">
        <v>546</v>
      </c>
      <c r="E14">
        <f>HYPERLINK("https://www.britishcycling.org.uk/points?person_id=297674&amp;year=2019&amp;type=national&amp;d=6","Results")</f>
        <v/>
      </c>
    </row>
    <row r="15" spans="1:5">
      <c r="A15" t="s">
        <v>55</v>
      </c>
      <c r="B15" t="s">
        <v>4045</v>
      </c>
      <c r="C15" t="s">
        <v>45</v>
      </c>
      <c r="D15" t="s">
        <v>512</v>
      </c>
      <c r="E15">
        <f>HYPERLINK("https://www.britishcycling.org.uk/points?person_id=28777&amp;year=2019&amp;type=national&amp;d=6","Results")</f>
        <v/>
      </c>
    </row>
    <row r="16" spans="1:5">
      <c r="A16" t="s">
        <v>59</v>
      </c>
      <c r="B16" t="s">
        <v>4046</v>
      </c>
      <c r="C16" t="s">
        <v>194</v>
      </c>
      <c r="D16" t="s">
        <v>509</v>
      </c>
      <c r="E16">
        <f>HYPERLINK("https://www.britishcycling.org.uk/points?person_id=533626&amp;year=2019&amp;type=national&amp;d=6","Results")</f>
        <v/>
      </c>
    </row>
    <row r="17" spans="1:5">
      <c r="A17" t="s">
        <v>63</v>
      </c>
      <c r="B17" t="s">
        <v>4047</v>
      </c>
      <c r="C17" t="s">
        <v>443</v>
      </c>
      <c r="D17" t="s">
        <v>470</v>
      </c>
      <c r="E17">
        <f>HYPERLINK("https://www.britishcycling.org.uk/points?person_id=204322&amp;year=2019&amp;type=national&amp;d=6","Results")</f>
        <v/>
      </c>
    </row>
    <row r="18" spans="1:5">
      <c r="A18" t="s">
        <v>67</v>
      </c>
      <c r="B18" t="s">
        <v>4048</v>
      </c>
      <c r="C18" t="s">
        <v>1526</v>
      </c>
      <c r="D18" t="s">
        <v>450</v>
      </c>
      <c r="E18">
        <f>HYPERLINK("https://www.britishcycling.org.uk/points?person_id=255794&amp;year=2019&amp;type=national&amp;d=6","Results")</f>
        <v/>
      </c>
    </row>
    <row r="19" spans="1:5">
      <c r="A19" t="s">
        <v>71</v>
      </c>
      <c r="B19" t="s">
        <v>4049</v>
      </c>
      <c r="C19" t="s">
        <v>1364</v>
      </c>
      <c r="D19" t="s">
        <v>276</v>
      </c>
      <c r="E19">
        <f>HYPERLINK("https://www.britishcycling.org.uk/points?person_id=381051&amp;year=2019&amp;type=national&amp;d=6","Results")</f>
        <v/>
      </c>
    </row>
    <row r="20" spans="1:5">
      <c r="A20" t="s">
        <v>75</v>
      </c>
      <c r="B20" t="s">
        <v>4050</v>
      </c>
      <c r="C20" t="s">
        <v>223</v>
      </c>
      <c r="D20" t="s">
        <v>436</v>
      </c>
      <c r="E20">
        <f>HYPERLINK("https://www.britishcycling.org.uk/points?person_id=649820&amp;year=2019&amp;type=national&amp;d=6","Results")</f>
        <v/>
      </c>
    </row>
    <row r="21" spans="1:5">
      <c r="A21" t="s">
        <v>78</v>
      </c>
      <c r="B21" t="s">
        <v>4051</v>
      </c>
      <c r="C21" t="s">
        <v>139</v>
      </c>
      <c r="D21" t="s">
        <v>292</v>
      </c>
      <c r="E21">
        <f>HYPERLINK("https://www.britishcycling.org.uk/points?person_id=454300&amp;year=2019&amp;type=national&amp;d=6","Results")</f>
        <v/>
      </c>
    </row>
    <row r="22" spans="1:5">
      <c r="A22" t="s">
        <v>82</v>
      </c>
      <c r="B22" t="s">
        <v>4052</v>
      </c>
      <c r="C22" t="s">
        <v>7</v>
      </c>
      <c r="D22" t="s">
        <v>296</v>
      </c>
      <c r="E22">
        <f>HYPERLINK("https://www.britishcycling.org.uk/points?person_id=204853&amp;year=2019&amp;type=national&amp;d=6","Results")</f>
        <v/>
      </c>
    </row>
    <row r="23" spans="1:5">
      <c r="A23" t="s">
        <v>85</v>
      </c>
      <c r="B23" t="s">
        <v>4053</v>
      </c>
      <c r="C23" t="s">
        <v>676</v>
      </c>
      <c r="D23" t="s">
        <v>410</v>
      </c>
      <c r="E23">
        <f>HYPERLINK("https://www.britishcycling.org.uk/points?person_id=232664&amp;year=2019&amp;type=national&amp;d=6","Results")</f>
        <v/>
      </c>
    </row>
    <row r="24" spans="1:5">
      <c r="A24" t="s">
        <v>89</v>
      </c>
      <c r="B24" t="s">
        <v>4054</v>
      </c>
      <c r="C24" t="s">
        <v>4055</v>
      </c>
      <c r="D24" t="s">
        <v>405</v>
      </c>
      <c r="E24">
        <f>HYPERLINK("https://www.britishcycling.org.uk/points?person_id=294742&amp;year=2019&amp;type=national&amp;d=6","Results")</f>
        <v/>
      </c>
    </row>
    <row r="25" spans="1:5">
      <c r="A25" t="s">
        <v>92</v>
      </c>
      <c r="B25" t="s">
        <v>4056</v>
      </c>
      <c r="C25" t="s">
        <v>101</v>
      </c>
      <c r="D25" t="s">
        <v>306</v>
      </c>
      <c r="E25">
        <f>HYPERLINK("https://www.britishcycling.org.uk/points?person_id=421375&amp;year=2019&amp;type=national&amp;d=6","Results")</f>
        <v/>
      </c>
    </row>
    <row r="26" spans="1:5">
      <c r="A26" t="s">
        <v>96</v>
      </c>
      <c r="B26" t="s">
        <v>4057</v>
      </c>
      <c r="C26" t="s">
        <v>615</v>
      </c>
      <c r="D26" t="s">
        <v>368</v>
      </c>
      <c r="E26">
        <f>HYPERLINK("https://www.britishcycling.org.uk/points?person_id=233769&amp;year=2019&amp;type=national&amp;d=6","Results")</f>
        <v/>
      </c>
    </row>
    <row r="27" spans="1:5">
      <c r="A27" t="s">
        <v>99</v>
      </c>
      <c r="B27" t="s">
        <v>4058</v>
      </c>
      <c r="C27" t="s">
        <v>949</v>
      </c>
      <c r="D27" t="s">
        <v>350</v>
      </c>
      <c r="E27">
        <f>HYPERLINK("https://www.britishcycling.org.uk/points?person_id=462817&amp;year=2019&amp;type=national&amp;d=6","Results")</f>
        <v/>
      </c>
    </row>
    <row r="28" spans="1:5">
      <c r="A28" t="s">
        <v>103</v>
      </c>
      <c r="B28" t="s">
        <v>4059</v>
      </c>
      <c r="C28" t="s">
        <v>182</v>
      </c>
      <c r="D28" t="s">
        <v>344</v>
      </c>
      <c r="E28">
        <f>HYPERLINK("https://www.britishcycling.org.uk/points?person_id=177314&amp;year=2019&amp;type=national&amp;d=6","Results")</f>
        <v/>
      </c>
    </row>
    <row r="29" spans="1:5">
      <c r="A29" t="s">
        <v>107</v>
      </c>
      <c r="B29" t="s">
        <v>4060</v>
      </c>
      <c r="C29" t="s">
        <v>135</v>
      </c>
      <c r="D29" t="s">
        <v>337</v>
      </c>
      <c r="E29">
        <f>HYPERLINK("https://www.britishcycling.org.uk/points?person_id=308215&amp;year=2019&amp;type=national&amp;d=6","Results")</f>
        <v/>
      </c>
    </row>
    <row r="30" spans="1:5">
      <c r="A30" t="s">
        <v>111</v>
      </c>
      <c r="B30" t="s">
        <v>4061</v>
      </c>
      <c r="C30" t="s">
        <v>45</v>
      </c>
      <c r="D30" t="s">
        <v>319</v>
      </c>
      <c r="E30">
        <f>HYPERLINK("https://www.britishcycling.org.uk/points?person_id=509415&amp;year=2019&amp;type=national&amp;d=6","Results")</f>
        <v/>
      </c>
    </row>
    <row r="31" spans="1:5">
      <c r="A31" t="s">
        <v>115</v>
      </c>
      <c r="B31" t="s">
        <v>4062</v>
      </c>
      <c r="C31" t="s">
        <v>413</v>
      </c>
      <c r="D31" t="s">
        <v>317</v>
      </c>
      <c r="E31">
        <f>HYPERLINK("https://www.britishcycling.org.uk/points?person_id=173854&amp;year=2019&amp;type=national&amp;d=6","Results")</f>
        <v/>
      </c>
    </row>
    <row r="32" spans="1:5">
      <c r="A32" t="s">
        <v>119</v>
      </c>
      <c r="B32" t="s">
        <v>4063</v>
      </c>
      <c r="C32" t="s">
        <v>4055</v>
      </c>
      <c r="D32" t="s">
        <v>310</v>
      </c>
      <c r="E32">
        <f>HYPERLINK("https://www.britishcycling.org.uk/points?person_id=613006&amp;year=2019&amp;type=national&amp;d=6","Results")</f>
        <v/>
      </c>
    </row>
    <row r="33" spans="1:5">
      <c r="A33" t="s">
        <v>123</v>
      </c>
      <c r="B33" t="s">
        <v>4064</v>
      </c>
      <c r="C33" t="s">
        <v>167</v>
      </c>
      <c r="D33" t="s">
        <v>304</v>
      </c>
      <c r="E33">
        <f>HYPERLINK("https://www.britishcycling.org.uk/points?person_id=296647&amp;year=2019&amp;type=national&amp;d=6","Results")</f>
        <v/>
      </c>
    </row>
    <row r="34" spans="1:5">
      <c r="A34" t="s">
        <v>127</v>
      </c>
      <c r="B34" t="s">
        <v>4065</v>
      </c>
      <c r="C34" t="s">
        <v>395</v>
      </c>
      <c r="D34" t="s">
        <v>301</v>
      </c>
      <c r="E34">
        <f>HYPERLINK("https://www.britishcycling.org.uk/points?person_id=190563&amp;year=2019&amp;type=national&amp;d=6","Results")</f>
        <v/>
      </c>
    </row>
    <row r="35" spans="1:5">
      <c r="A35" t="s">
        <v>130</v>
      </c>
      <c r="B35" t="s">
        <v>4066</v>
      </c>
      <c r="C35" t="s">
        <v>139</v>
      </c>
      <c r="D35" t="s">
        <v>297</v>
      </c>
      <c r="E35">
        <f>HYPERLINK("https://www.britishcycling.org.uk/points?person_id=678401&amp;year=2019&amp;type=national&amp;d=6","Results")</f>
        <v/>
      </c>
    </row>
    <row r="36" spans="1:5">
      <c r="A36" t="s">
        <v>133</v>
      </c>
      <c r="B36" t="s">
        <v>4067</v>
      </c>
      <c r="C36" t="s">
        <v>615</v>
      </c>
      <c r="D36" t="s">
        <v>277</v>
      </c>
      <c r="E36">
        <f>HYPERLINK("https://www.britishcycling.org.uk/points?person_id=441525&amp;year=2019&amp;type=national&amp;d=6","Results")</f>
        <v/>
      </c>
    </row>
    <row r="37" spans="1:5">
      <c r="A37" t="s">
        <v>137</v>
      </c>
      <c r="B37" t="s">
        <v>4068</v>
      </c>
      <c r="C37" t="s">
        <v>691</v>
      </c>
      <c r="D37" t="s">
        <v>270</v>
      </c>
      <c r="E37">
        <f>HYPERLINK("https://www.britishcycling.org.uk/points?person_id=351824&amp;year=2019&amp;type=national&amp;d=6","Results")</f>
        <v/>
      </c>
    </row>
    <row r="38" spans="1:5">
      <c r="A38" t="s">
        <v>141</v>
      </c>
      <c r="B38" t="s">
        <v>4069</v>
      </c>
      <c r="C38" t="s">
        <v>4070</v>
      </c>
      <c r="D38" t="s">
        <v>257</v>
      </c>
      <c r="E38">
        <f>HYPERLINK("https://www.britishcycling.org.uk/points?person_id=375804&amp;year=2019&amp;type=national&amp;d=6","Results")</f>
        <v/>
      </c>
    </row>
    <row r="39" spans="1:5">
      <c r="A39" t="s">
        <v>145</v>
      </c>
      <c r="B39" t="s">
        <v>4071</v>
      </c>
      <c r="C39" t="s">
        <v>4072</v>
      </c>
      <c r="D39" t="s">
        <v>232</v>
      </c>
      <c r="E39">
        <f>HYPERLINK("https://www.britishcycling.org.uk/points?person_id=540520&amp;year=2019&amp;type=national&amp;d=6","Results")</f>
        <v/>
      </c>
    </row>
    <row r="40" spans="1:5">
      <c r="A40" t="s">
        <v>148</v>
      </c>
      <c r="B40" t="s">
        <v>4073</v>
      </c>
      <c r="C40" t="s">
        <v>7</v>
      </c>
      <c r="D40" t="s">
        <v>218</v>
      </c>
      <c r="E40">
        <f>HYPERLINK("https://www.britishcycling.org.uk/points?person_id=832706&amp;year=2019&amp;type=national&amp;d=6","Results")</f>
        <v/>
      </c>
    </row>
    <row r="41" spans="1:5">
      <c r="A41" t="s">
        <v>151</v>
      </c>
      <c r="B41" t="s">
        <v>4074</v>
      </c>
      <c r="C41" t="s">
        <v>1289</v>
      </c>
      <c r="D41" t="s">
        <v>199</v>
      </c>
      <c r="E41">
        <f>HYPERLINK("https://www.britishcycling.org.uk/points?person_id=521460&amp;year=2019&amp;type=national&amp;d=6","Results")</f>
        <v/>
      </c>
    </row>
    <row r="42" spans="1:5">
      <c r="A42" t="s">
        <v>155</v>
      </c>
      <c r="B42" t="s">
        <v>4075</v>
      </c>
      <c r="C42" t="s">
        <v>198</v>
      </c>
      <c r="D42" t="s">
        <v>180</v>
      </c>
      <c r="E42">
        <f>HYPERLINK("https://www.britishcycling.org.uk/points?person_id=615888&amp;year=2019&amp;type=national&amp;d=6","Results")</f>
        <v/>
      </c>
    </row>
    <row r="43" spans="1:5">
      <c r="A43" t="s">
        <v>158</v>
      </c>
      <c r="B43" t="s">
        <v>4076</v>
      </c>
      <c r="C43" t="s">
        <v>198</v>
      </c>
      <c r="D43" t="s">
        <v>180</v>
      </c>
      <c r="E43">
        <f>HYPERLINK("https://www.britishcycling.org.uk/points?person_id=222961&amp;year=2019&amp;type=national&amp;d=6","Results")</f>
        <v/>
      </c>
    </row>
    <row r="44" spans="1:5">
      <c r="A44" t="s">
        <v>161</v>
      </c>
      <c r="B44" t="s">
        <v>4077</v>
      </c>
      <c r="C44" t="s">
        <v>595</v>
      </c>
      <c r="D44" t="s">
        <v>176</v>
      </c>
      <c r="E44">
        <f>HYPERLINK("https://www.britishcycling.org.uk/points?person_id=309981&amp;year=2019&amp;type=national&amp;d=6","Results")</f>
        <v/>
      </c>
    </row>
    <row r="45" spans="1:5">
      <c r="A45" t="s">
        <v>165</v>
      </c>
      <c r="B45" t="s">
        <v>4078</v>
      </c>
      <c r="C45" t="s">
        <v>295</v>
      </c>
      <c r="D45" t="s">
        <v>176</v>
      </c>
      <c r="E45">
        <f>HYPERLINK("https://www.britishcycling.org.uk/points?person_id=420623&amp;year=2019&amp;type=national&amp;d=6","Results")</f>
        <v/>
      </c>
    </row>
    <row r="46" spans="1:5">
      <c r="A46" t="s">
        <v>168</v>
      </c>
      <c r="B46" t="s">
        <v>4079</v>
      </c>
      <c r="C46" t="s">
        <v>429</v>
      </c>
      <c r="D46" t="s">
        <v>168</v>
      </c>
      <c r="E46">
        <f>HYPERLINK("https://www.britishcycling.org.uk/points?person_id=931159&amp;year=2019&amp;type=national&amp;d=6","Results")</f>
        <v/>
      </c>
    </row>
    <row r="47" spans="1:5">
      <c r="A47" t="s">
        <v>172</v>
      </c>
      <c r="B47" t="s">
        <v>4080</v>
      </c>
      <c r="C47" t="s">
        <v>163</v>
      </c>
      <c r="D47" t="s">
        <v>165</v>
      </c>
      <c r="E47">
        <f>HYPERLINK("https://www.britishcycling.org.uk/points?person_id=295396&amp;year=2019&amp;type=national&amp;d=6","Results")</f>
        <v/>
      </c>
    </row>
    <row r="48" spans="1:5">
      <c r="A48" t="s">
        <v>176</v>
      </c>
      <c r="B48" t="s">
        <v>4081</v>
      </c>
      <c r="C48" t="s">
        <v>61</v>
      </c>
      <c r="D48" t="s">
        <v>155</v>
      </c>
      <c r="E48">
        <f>HYPERLINK("https://www.britishcycling.org.uk/points?person_id=661953&amp;year=2019&amp;type=national&amp;d=6","Results")</f>
        <v/>
      </c>
    </row>
    <row r="49" spans="1:5">
      <c r="A49" t="s">
        <v>180</v>
      </c>
      <c r="B49" t="s">
        <v>4082</v>
      </c>
      <c r="C49" t="s">
        <v>201</v>
      </c>
      <c r="D49" t="s">
        <v>145</v>
      </c>
      <c r="E49">
        <f>HYPERLINK("https://www.britishcycling.org.uk/points?person_id=845775&amp;year=2019&amp;type=national&amp;d=6","Results")</f>
        <v/>
      </c>
    </row>
    <row r="50" spans="1:5">
      <c r="A50" t="s">
        <v>184</v>
      </c>
      <c r="B50" t="s">
        <v>4083</v>
      </c>
      <c r="C50" t="s">
        <v>358</v>
      </c>
      <c r="D50" t="s">
        <v>141</v>
      </c>
      <c r="E50">
        <f>HYPERLINK("https://www.britishcycling.org.uk/points?person_id=520439&amp;year=2019&amp;type=national&amp;d=6","Results")</f>
        <v/>
      </c>
    </row>
    <row r="51" spans="1:5">
      <c r="A51" t="s">
        <v>188</v>
      </c>
      <c r="B51" t="s">
        <v>4084</v>
      </c>
      <c r="C51" t="s">
        <v>636</v>
      </c>
      <c r="D51" t="s">
        <v>141</v>
      </c>
      <c r="E51">
        <f>HYPERLINK("https://www.britishcycling.org.uk/points?person_id=613474&amp;year=2019&amp;type=national&amp;d=6","Results")</f>
        <v/>
      </c>
    </row>
    <row r="52" spans="1:5">
      <c r="A52" t="s">
        <v>192</v>
      </c>
      <c r="B52" t="s">
        <v>4085</v>
      </c>
      <c r="C52" t="s">
        <v>249</v>
      </c>
      <c r="D52" t="s">
        <v>137</v>
      </c>
      <c r="E52">
        <f>HYPERLINK("https://www.britishcycling.org.uk/points?person_id=669204&amp;year=2019&amp;type=national&amp;d=6","Results")</f>
        <v/>
      </c>
    </row>
    <row r="53" spans="1:5">
      <c r="A53" t="s">
        <v>196</v>
      </c>
      <c r="B53" t="s">
        <v>4086</v>
      </c>
      <c r="C53" t="s">
        <v>723</v>
      </c>
      <c r="D53" t="s">
        <v>133</v>
      </c>
      <c r="E53">
        <f>HYPERLINK("https://www.britishcycling.org.uk/points?person_id=411793&amp;year=2019&amp;type=national&amp;d=6","Results")</f>
        <v/>
      </c>
    </row>
    <row r="54" spans="1:5">
      <c r="A54" t="s">
        <v>199</v>
      </c>
      <c r="B54" t="s">
        <v>4087</v>
      </c>
      <c r="C54" t="s">
        <v>194</v>
      </c>
      <c r="D54" t="s">
        <v>133</v>
      </c>
      <c r="E54">
        <f>HYPERLINK("https://www.britishcycling.org.uk/points?person_id=740736&amp;year=2019&amp;type=national&amp;d=6","Results")</f>
        <v/>
      </c>
    </row>
    <row r="55" spans="1:5">
      <c r="A55" t="s">
        <v>203</v>
      </c>
      <c r="B55" t="s">
        <v>4088</v>
      </c>
      <c r="C55" t="s">
        <v>919</v>
      </c>
      <c r="D55" t="s">
        <v>130</v>
      </c>
      <c r="E55">
        <f>HYPERLINK("https://www.britishcycling.org.uk/points?person_id=447918&amp;year=2019&amp;type=national&amp;d=6","Results")</f>
        <v/>
      </c>
    </row>
    <row r="56" spans="1:5">
      <c r="A56" t="s">
        <v>207</v>
      </c>
      <c r="B56" t="s">
        <v>4089</v>
      </c>
      <c r="C56" t="s">
        <v>223</v>
      </c>
      <c r="D56" t="s">
        <v>130</v>
      </c>
      <c r="E56">
        <f>HYPERLINK("https://www.britishcycling.org.uk/points?person_id=823846&amp;year=2019&amp;type=national&amp;d=6","Results")</f>
        <v/>
      </c>
    </row>
    <row r="57" spans="1:5">
      <c r="A57" t="s">
        <v>210</v>
      </c>
      <c r="B57" t="s">
        <v>4090</v>
      </c>
      <c r="C57" t="s">
        <v>1186</v>
      </c>
      <c r="D57" t="s">
        <v>127</v>
      </c>
      <c r="E57">
        <f>HYPERLINK("https://www.britishcycling.org.uk/points?person_id=631025&amp;year=2019&amp;type=national&amp;d=6","Results")</f>
        <v/>
      </c>
    </row>
    <row r="58" spans="1:5">
      <c r="A58" t="s">
        <v>214</v>
      </c>
      <c r="B58" t="s">
        <v>4091</v>
      </c>
      <c r="C58" t="s">
        <v>3019</v>
      </c>
      <c r="D58" t="s">
        <v>115</v>
      </c>
      <c r="E58">
        <f>HYPERLINK("https://www.britishcycling.org.uk/points?person_id=770038&amp;year=2019&amp;type=national&amp;d=6","Results")</f>
        <v/>
      </c>
    </row>
    <row r="59" spans="1:5">
      <c r="A59" t="s">
        <v>218</v>
      </c>
      <c r="B59" t="s">
        <v>4092</v>
      </c>
      <c r="C59" t="s">
        <v>2524</v>
      </c>
      <c r="D59" t="s">
        <v>111</v>
      </c>
      <c r="E59">
        <f>HYPERLINK("https://www.britishcycling.org.uk/points?person_id=528370&amp;year=2019&amp;type=national&amp;d=6","Results")</f>
        <v/>
      </c>
    </row>
    <row r="60" spans="1:5">
      <c r="A60" t="s">
        <v>221</v>
      </c>
      <c r="B60" t="s">
        <v>4093</v>
      </c>
      <c r="C60" t="s">
        <v>194</v>
      </c>
      <c r="D60" t="s">
        <v>111</v>
      </c>
      <c r="E60">
        <f>HYPERLINK("https://www.britishcycling.org.uk/points?person_id=616367&amp;year=2019&amp;type=national&amp;d=6","Results")</f>
        <v/>
      </c>
    </row>
    <row r="61" spans="1:5">
      <c r="A61" t="s">
        <v>225</v>
      </c>
      <c r="B61" t="s">
        <v>4094</v>
      </c>
      <c r="C61" t="s">
        <v>615</v>
      </c>
      <c r="D61" t="s">
        <v>111</v>
      </c>
      <c r="E61">
        <f>HYPERLINK("https://www.britishcycling.org.uk/points?person_id=402776&amp;year=2019&amp;type=national&amp;d=6","Results")</f>
        <v/>
      </c>
    </row>
    <row r="62" spans="1:5">
      <c r="A62" t="s">
        <v>228</v>
      </c>
      <c r="B62" t="s">
        <v>4095</v>
      </c>
      <c r="C62" t="s">
        <v>358</v>
      </c>
      <c r="D62" t="s">
        <v>107</v>
      </c>
      <c r="E62">
        <f>HYPERLINK("https://www.britishcycling.org.uk/points?person_id=431415&amp;year=2019&amp;type=national&amp;d=6","Results")</f>
        <v/>
      </c>
    </row>
    <row r="63" spans="1:5">
      <c r="A63" t="s">
        <v>232</v>
      </c>
      <c r="B63" t="s">
        <v>4096</v>
      </c>
      <c r="C63" t="s">
        <v>216</v>
      </c>
      <c r="D63" t="s">
        <v>99</v>
      </c>
      <c r="E63">
        <f>HYPERLINK("https://www.britishcycling.org.uk/points?person_id=674278&amp;year=2019&amp;type=national&amp;d=6","Results")</f>
        <v/>
      </c>
    </row>
    <row r="64" spans="1:5">
      <c r="A64" t="s">
        <v>236</v>
      </c>
      <c r="B64" t="s">
        <v>4097</v>
      </c>
      <c r="C64" t="s">
        <v>328</v>
      </c>
      <c r="D64" t="s">
        <v>99</v>
      </c>
      <c r="E64">
        <f>HYPERLINK("https://www.britishcycling.org.uk/points?person_id=237328&amp;year=2019&amp;type=national&amp;d=6","Results")</f>
        <v/>
      </c>
    </row>
    <row r="65" spans="1:5">
      <c r="A65" t="s">
        <v>239</v>
      </c>
      <c r="B65" t="s">
        <v>4098</v>
      </c>
      <c r="C65" t="s">
        <v>2532</v>
      </c>
      <c r="D65" t="s">
        <v>96</v>
      </c>
      <c r="E65">
        <f>HYPERLINK("https://www.britishcycling.org.uk/points?person_id=708999&amp;year=2019&amp;type=national&amp;d=6","Results")</f>
        <v/>
      </c>
    </row>
    <row r="66" spans="1:5">
      <c r="A66" t="s">
        <v>241</v>
      </c>
      <c r="B66" t="s">
        <v>4099</v>
      </c>
      <c r="C66" t="s">
        <v>170</v>
      </c>
      <c r="D66" t="s">
        <v>96</v>
      </c>
      <c r="E66">
        <f>HYPERLINK("https://www.britishcycling.org.uk/points?person_id=669127&amp;year=2019&amp;type=national&amp;d=6","Results")</f>
        <v/>
      </c>
    </row>
    <row r="67" spans="1:5">
      <c r="A67" t="s">
        <v>244</v>
      </c>
      <c r="B67" t="s">
        <v>4100</v>
      </c>
      <c r="C67" t="s">
        <v>383</v>
      </c>
      <c r="D67" t="s">
        <v>96</v>
      </c>
      <c r="E67">
        <f>HYPERLINK("https://www.britishcycling.org.uk/points?person_id=501632&amp;year=2019&amp;type=national&amp;d=6","Results")</f>
        <v/>
      </c>
    </row>
    <row r="68" spans="1:5">
      <c r="A68" t="s">
        <v>247</v>
      </c>
      <c r="B68" t="s">
        <v>4101</v>
      </c>
      <c r="C68" t="s">
        <v>167</v>
      </c>
      <c r="D68" t="s">
        <v>96</v>
      </c>
      <c r="E68">
        <f>HYPERLINK("https://www.britishcycling.org.uk/points?person_id=509245&amp;year=2019&amp;type=national&amp;d=6","Results")</f>
        <v/>
      </c>
    </row>
    <row r="69" spans="1:5">
      <c r="A69" t="s">
        <v>250</v>
      </c>
      <c r="B69" t="s">
        <v>4102</v>
      </c>
      <c r="C69" t="s">
        <v>723</v>
      </c>
      <c r="D69" t="s">
        <v>96</v>
      </c>
      <c r="E69">
        <f>HYPERLINK("https://www.britishcycling.org.uk/points?person_id=387305&amp;year=2019&amp;type=national&amp;d=6","Results")</f>
        <v/>
      </c>
    </row>
    <row r="70" spans="1:5">
      <c r="A70" t="s">
        <v>254</v>
      </c>
      <c r="B70" t="s">
        <v>4103</v>
      </c>
      <c r="C70" t="s">
        <v>656</v>
      </c>
      <c r="D70" t="s">
        <v>96</v>
      </c>
      <c r="E70">
        <f>HYPERLINK("https://www.britishcycling.org.uk/points?person_id=685779&amp;year=2019&amp;type=national&amp;d=6","Results")</f>
        <v/>
      </c>
    </row>
    <row r="71" spans="1:5">
      <c r="A71" t="s">
        <v>257</v>
      </c>
      <c r="B71" t="s">
        <v>4104</v>
      </c>
      <c r="C71" t="s">
        <v>961</v>
      </c>
      <c r="D71" t="s">
        <v>96</v>
      </c>
      <c r="E71">
        <f>HYPERLINK("https://www.britishcycling.org.uk/points?person_id=226256&amp;year=2019&amp;type=national&amp;d=6","Results")</f>
        <v/>
      </c>
    </row>
    <row r="72" spans="1:5">
      <c r="A72" t="s">
        <v>260</v>
      </c>
      <c r="B72" t="s">
        <v>4105</v>
      </c>
      <c r="C72" t="s">
        <v>429</v>
      </c>
      <c r="D72" t="s">
        <v>92</v>
      </c>
      <c r="E72">
        <f>HYPERLINK("https://www.britishcycling.org.uk/points?person_id=416545&amp;year=2019&amp;type=national&amp;d=6","Results")</f>
        <v/>
      </c>
    </row>
    <row r="73" spans="1:5">
      <c r="A73" t="s">
        <v>264</v>
      </c>
      <c r="B73" t="s">
        <v>4106</v>
      </c>
      <c r="C73" t="s">
        <v>514</v>
      </c>
      <c r="D73" t="s">
        <v>89</v>
      </c>
      <c r="E73">
        <f>HYPERLINK("https://www.britishcycling.org.uk/points?person_id=599183&amp;year=2019&amp;type=national&amp;d=6","Results")</f>
        <v/>
      </c>
    </row>
    <row r="74" spans="1:5">
      <c r="A74" t="s">
        <v>267</v>
      </c>
      <c r="B74" t="s">
        <v>4107</v>
      </c>
      <c r="C74" t="s">
        <v>856</v>
      </c>
      <c r="D74" t="s">
        <v>85</v>
      </c>
      <c r="E74">
        <f>HYPERLINK("https://www.britishcycling.org.uk/points?person_id=424481&amp;year=2019&amp;type=national&amp;d=6","Results")</f>
        <v/>
      </c>
    </row>
    <row r="75" spans="1:5">
      <c r="A75" t="s">
        <v>270</v>
      </c>
      <c r="B75" t="s">
        <v>4108</v>
      </c>
      <c r="C75" t="s">
        <v>113</v>
      </c>
      <c r="D75" t="s">
        <v>85</v>
      </c>
      <c r="E75">
        <f>HYPERLINK("https://www.britishcycling.org.uk/points?person_id=402602&amp;year=2019&amp;type=national&amp;d=6","Results")</f>
        <v/>
      </c>
    </row>
    <row r="76" spans="1:5">
      <c r="A76" t="s">
        <v>274</v>
      </c>
      <c r="B76" t="s">
        <v>4109</v>
      </c>
      <c r="C76" t="s">
        <v>3072</v>
      </c>
      <c r="D76" t="s">
        <v>78</v>
      </c>
      <c r="E76">
        <f>HYPERLINK("https://www.britishcycling.org.uk/points?person_id=863895&amp;year=2019&amp;type=national&amp;d=6","Results")</f>
        <v/>
      </c>
    </row>
    <row r="77" spans="1:5">
      <c r="A77" t="s">
        <v>277</v>
      </c>
      <c r="B77" t="s">
        <v>4110</v>
      </c>
      <c r="C77" t="s">
        <v>121</v>
      </c>
      <c r="D77" t="s">
        <v>78</v>
      </c>
      <c r="E77">
        <f>HYPERLINK("https://www.britishcycling.org.uk/points?person_id=707234&amp;year=2019&amp;type=national&amp;d=6","Results")</f>
        <v/>
      </c>
    </row>
    <row r="78" spans="1:5">
      <c r="A78" t="s">
        <v>281</v>
      </c>
      <c r="B78" t="s">
        <v>4111</v>
      </c>
      <c r="C78" t="s">
        <v>121</v>
      </c>
      <c r="D78" t="s">
        <v>75</v>
      </c>
      <c r="E78">
        <f>HYPERLINK("https://www.britishcycling.org.uk/points?person_id=897700&amp;year=2019&amp;type=national&amp;d=6","Results")</f>
        <v/>
      </c>
    </row>
    <row r="79" spans="1:5">
      <c r="A79" t="s">
        <v>285</v>
      </c>
      <c r="B79" t="s">
        <v>4112</v>
      </c>
      <c r="C79" t="s">
        <v>723</v>
      </c>
      <c r="D79" t="s">
        <v>75</v>
      </c>
      <c r="E79">
        <f>HYPERLINK("https://www.britishcycling.org.uk/points?person_id=229491&amp;year=2019&amp;type=national&amp;d=6","Results")</f>
        <v/>
      </c>
    </row>
    <row r="80" spans="1:5">
      <c r="A80" t="s">
        <v>289</v>
      </c>
      <c r="B80" t="s">
        <v>4113</v>
      </c>
      <c r="C80" t="s">
        <v>1478</v>
      </c>
      <c r="D80" t="s">
        <v>75</v>
      </c>
      <c r="E80">
        <f>HYPERLINK("https://www.britishcycling.org.uk/points?person_id=541628&amp;year=2019&amp;type=national&amp;d=6","Results")</f>
        <v/>
      </c>
    </row>
    <row r="81" spans="1:5">
      <c r="A81" t="s">
        <v>293</v>
      </c>
      <c r="B81" t="s">
        <v>4114</v>
      </c>
      <c r="C81" t="s">
        <v>822</v>
      </c>
      <c r="D81" t="s">
        <v>75</v>
      </c>
      <c r="E81">
        <f>HYPERLINK("https://www.britishcycling.org.uk/points?person_id=532315&amp;year=2019&amp;type=national&amp;d=6","Results")</f>
        <v/>
      </c>
    </row>
    <row r="82" spans="1:5">
      <c r="A82" t="s">
        <v>297</v>
      </c>
      <c r="B82" t="s">
        <v>4115</v>
      </c>
      <c r="C82" t="s">
        <v>201</v>
      </c>
      <c r="D82" t="s">
        <v>75</v>
      </c>
      <c r="E82">
        <f>HYPERLINK("https://www.britishcycling.org.uk/points?person_id=392128&amp;year=2019&amp;type=national&amp;d=6","Results")</f>
        <v/>
      </c>
    </row>
    <row r="83" spans="1:5">
      <c r="A83" t="s">
        <v>301</v>
      </c>
      <c r="B83" t="s">
        <v>4116</v>
      </c>
      <c r="C83" t="s">
        <v>1494</v>
      </c>
      <c r="D83" t="s">
        <v>67</v>
      </c>
      <c r="E83">
        <f>HYPERLINK("https://www.britishcycling.org.uk/points?person_id=734120&amp;year=2019&amp;type=national&amp;d=6","Results")</f>
        <v/>
      </c>
    </row>
    <row r="84" spans="1:5">
      <c r="A84" t="s">
        <v>304</v>
      </c>
      <c r="B84" t="s">
        <v>4117</v>
      </c>
      <c r="C84" t="s">
        <v>379</v>
      </c>
      <c r="D84" t="s">
        <v>67</v>
      </c>
      <c r="E84">
        <f>HYPERLINK("https://www.britishcycling.org.uk/points?person_id=225648&amp;year=2019&amp;type=national&amp;d=6","Results")</f>
        <v/>
      </c>
    </row>
    <row r="85" spans="1:5">
      <c r="A85" t="s">
        <v>307</v>
      </c>
      <c r="B85" t="s">
        <v>4118</v>
      </c>
      <c r="C85" t="s">
        <v>299</v>
      </c>
      <c r="D85" t="s">
        <v>67</v>
      </c>
      <c r="E85">
        <f>HYPERLINK("https://www.britishcycling.org.uk/points?person_id=352725&amp;year=2019&amp;type=national&amp;d=6","Results")</f>
        <v/>
      </c>
    </row>
    <row r="86" spans="1:5">
      <c r="A86" t="s">
        <v>310</v>
      </c>
      <c r="B86" t="s">
        <v>4119</v>
      </c>
      <c r="C86" t="s"/>
      <c r="D86" t="s">
        <v>67</v>
      </c>
      <c r="E86">
        <f>HYPERLINK("https://www.britishcycling.org.uk/points?person_id=676447&amp;year=2019&amp;type=national&amp;d=6","Results")</f>
        <v/>
      </c>
    </row>
    <row r="87" spans="1:5">
      <c r="A87" t="s">
        <v>313</v>
      </c>
      <c r="B87" t="s">
        <v>4120</v>
      </c>
      <c r="C87" t="s">
        <v>45</v>
      </c>
      <c r="D87" t="s">
        <v>59</v>
      </c>
      <c r="E87">
        <f>HYPERLINK("https://www.britishcycling.org.uk/points?person_id=513385&amp;year=2019&amp;type=national&amp;d=6","Results")</f>
        <v/>
      </c>
    </row>
    <row r="88" spans="1:5">
      <c r="A88" t="s">
        <v>317</v>
      </c>
      <c r="B88" t="s">
        <v>4121</v>
      </c>
      <c r="C88" t="s">
        <v>53</v>
      </c>
      <c r="D88" t="s">
        <v>55</v>
      </c>
      <c r="E88">
        <f>HYPERLINK("https://www.britishcycling.org.uk/points?person_id=194434&amp;year=2019&amp;type=national&amp;d=6","Results")</f>
        <v/>
      </c>
    </row>
    <row r="89" spans="1:5">
      <c r="A89" t="s">
        <v>319</v>
      </c>
      <c r="B89" t="s">
        <v>4122</v>
      </c>
      <c r="C89" t="s">
        <v>315</v>
      </c>
      <c r="D89" t="s">
        <v>55</v>
      </c>
      <c r="E89">
        <f>HYPERLINK("https://www.britishcycling.org.uk/points?person_id=448790&amp;year=2019&amp;type=national&amp;d=6","Results")</f>
        <v/>
      </c>
    </row>
    <row r="90" spans="1:5">
      <c r="A90" t="s">
        <v>322</v>
      </c>
      <c r="B90" t="s">
        <v>4123</v>
      </c>
      <c r="C90" t="s">
        <v>1317</v>
      </c>
      <c r="D90" t="s">
        <v>51</v>
      </c>
      <c r="E90">
        <f>HYPERLINK("https://www.britishcycling.org.uk/points?person_id=681680&amp;year=2019&amp;type=national&amp;d=6","Results")</f>
        <v/>
      </c>
    </row>
    <row r="91" spans="1:5">
      <c r="A91" t="s">
        <v>326</v>
      </c>
      <c r="B91" t="s">
        <v>4124</v>
      </c>
      <c r="C91" t="s">
        <v>4125</v>
      </c>
      <c r="D91" t="s">
        <v>51</v>
      </c>
      <c r="E91">
        <f>HYPERLINK("https://www.britishcycling.org.uk/points?person_id=540376&amp;year=2019&amp;type=national&amp;d=6","Results")</f>
        <v/>
      </c>
    </row>
    <row r="92" spans="1:5">
      <c r="A92" t="s">
        <v>329</v>
      </c>
      <c r="B92" t="s">
        <v>4126</v>
      </c>
      <c r="C92" t="s">
        <v>139</v>
      </c>
      <c r="D92" t="s">
        <v>47</v>
      </c>
      <c r="E92">
        <f>HYPERLINK("https://www.britishcycling.org.uk/points?person_id=615453&amp;year=2019&amp;type=national&amp;d=6","Results")</f>
        <v/>
      </c>
    </row>
    <row r="93" spans="1:5">
      <c r="A93" t="s">
        <v>333</v>
      </c>
      <c r="B93" t="s">
        <v>4127</v>
      </c>
      <c r="C93" t="s">
        <v>139</v>
      </c>
      <c r="D93" t="s">
        <v>47</v>
      </c>
      <c r="E93">
        <f>HYPERLINK("https://www.britishcycling.org.uk/points?person_id=456657&amp;year=2019&amp;type=national&amp;d=6","Results")</f>
        <v/>
      </c>
    </row>
    <row r="94" spans="1:5">
      <c r="A94" t="s">
        <v>337</v>
      </c>
      <c r="B94" t="s">
        <v>4128</v>
      </c>
      <c r="C94" t="s">
        <v>194</v>
      </c>
      <c r="D94" t="s">
        <v>47</v>
      </c>
      <c r="E94">
        <f>HYPERLINK("https://www.britishcycling.org.uk/points?person_id=407688&amp;year=2019&amp;type=national&amp;d=6","Results")</f>
        <v/>
      </c>
    </row>
    <row r="95" spans="1:5">
      <c r="A95" t="s">
        <v>341</v>
      </c>
      <c r="B95" t="s">
        <v>4129</v>
      </c>
      <c r="C95" t="s">
        <v>299</v>
      </c>
      <c r="D95" t="s">
        <v>43</v>
      </c>
      <c r="E95">
        <f>HYPERLINK("https://www.britishcycling.org.uk/points?person_id=449109&amp;year=2019&amp;type=national&amp;d=6","Results")</f>
        <v/>
      </c>
    </row>
    <row r="96" spans="1:5">
      <c r="A96" t="s">
        <v>344</v>
      </c>
      <c r="B96" t="s">
        <v>4130</v>
      </c>
      <c r="C96" t="s">
        <v>143</v>
      </c>
      <c r="D96" t="s">
        <v>43</v>
      </c>
      <c r="E96">
        <f>HYPERLINK("https://www.britishcycling.org.uk/points?person_id=646049&amp;year=2019&amp;type=national&amp;d=6","Results")</f>
        <v/>
      </c>
    </row>
    <row r="97" spans="1:5">
      <c r="A97" t="s">
        <v>347</v>
      </c>
      <c r="B97" t="s">
        <v>4131</v>
      </c>
      <c r="C97" t="s">
        <v>272</v>
      </c>
      <c r="D97" t="s">
        <v>43</v>
      </c>
      <c r="E97">
        <f>HYPERLINK("https://www.britishcycling.org.uk/points?person_id=725038&amp;year=2019&amp;type=national&amp;d=6","Results")</f>
        <v/>
      </c>
    </row>
    <row r="98" spans="1:5">
      <c r="A98" t="s">
        <v>350</v>
      </c>
      <c r="B98" t="s">
        <v>4132</v>
      </c>
      <c r="C98" t="s">
        <v>194</v>
      </c>
      <c r="D98" t="s">
        <v>39</v>
      </c>
      <c r="E98">
        <f>HYPERLINK("https://www.britishcycling.org.uk/points?person_id=296522&amp;year=2019&amp;type=national&amp;d=6","Results")</f>
        <v/>
      </c>
    </row>
    <row r="99" spans="1:5">
      <c r="A99" t="s">
        <v>352</v>
      </c>
      <c r="B99" t="s">
        <v>4133</v>
      </c>
      <c r="C99" t="s">
        <v>548</v>
      </c>
      <c r="D99" t="s">
        <v>39</v>
      </c>
      <c r="E99">
        <f>HYPERLINK("https://www.britishcycling.org.uk/points?person_id=794782&amp;year=2019&amp;type=national&amp;d=6","Results")</f>
        <v/>
      </c>
    </row>
    <row r="100" spans="1:5">
      <c r="A100" t="s">
        <v>349</v>
      </c>
      <c r="B100" t="s">
        <v>4134</v>
      </c>
      <c r="C100" t="s">
        <v>157</v>
      </c>
      <c r="D100" t="s">
        <v>39</v>
      </c>
      <c r="E100">
        <f>HYPERLINK("https://www.britishcycling.org.uk/points?person_id=824668&amp;year=2019&amp;type=national&amp;d=6","Results")</f>
        <v/>
      </c>
    </row>
    <row r="101" spans="1:5">
      <c r="A101" t="s">
        <v>356</v>
      </c>
      <c r="B101" t="s">
        <v>4135</v>
      </c>
      <c r="C101" t="s">
        <v>167</v>
      </c>
      <c r="D101" t="s">
        <v>35</v>
      </c>
      <c r="E101">
        <f>HYPERLINK("https://www.britishcycling.org.uk/points?person_id=426388&amp;year=2019&amp;type=national&amp;d=6","Results")</f>
        <v/>
      </c>
    </row>
    <row r="102" spans="1:5">
      <c r="A102" t="s">
        <v>359</v>
      </c>
      <c r="B102" t="s">
        <v>4136</v>
      </c>
      <c r="C102" t="s">
        <v>167</v>
      </c>
      <c r="D102" t="s">
        <v>35</v>
      </c>
      <c r="E102">
        <f>HYPERLINK("https://www.britishcycling.org.uk/points?person_id=295354&amp;year=2019&amp;type=national&amp;d=6","Results")</f>
        <v/>
      </c>
    </row>
    <row r="103" spans="1:5">
      <c r="A103" t="s">
        <v>343</v>
      </c>
      <c r="B103" t="s">
        <v>4137</v>
      </c>
      <c r="C103" t="s">
        <v>61</v>
      </c>
      <c r="D103" t="s">
        <v>35</v>
      </c>
      <c r="E103">
        <f>HYPERLINK("https://www.britishcycling.org.uk/points?person_id=499483&amp;year=2019&amp;type=national&amp;d=6","Results")</f>
        <v/>
      </c>
    </row>
    <row r="104" spans="1:5">
      <c r="A104" t="s">
        <v>364</v>
      </c>
      <c r="B104" t="s">
        <v>4138</v>
      </c>
      <c r="C104" t="s">
        <v>420</v>
      </c>
      <c r="D104" t="s">
        <v>35</v>
      </c>
      <c r="E104">
        <f>HYPERLINK("https://www.britishcycling.org.uk/points?person_id=222818&amp;year=2019&amp;type=national&amp;d=6","Results")</f>
        <v/>
      </c>
    </row>
    <row r="105" spans="1:5">
      <c r="A105" t="s">
        <v>340</v>
      </c>
      <c r="B105" t="s">
        <v>4139</v>
      </c>
      <c r="C105" t="s">
        <v>504</v>
      </c>
      <c r="D105" t="s">
        <v>35</v>
      </c>
      <c r="E105">
        <f>HYPERLINK("https://www.britishcycling.org.uk/points?person_id=553395&amp;year=2019&amp;type=national&amp;d=6","Results")</f>
        <v/>
      </c>
    </row>
    <row r="106" spans="1:5">
      <c r="A106" t="s">
        <v>368</v>
      </c>
      <c r="B106" t="s">
        <v>4140</v>
      </c>
      <c r="C106" t="s">
        <v>167</v>
      </c>
      <c r="D106" t="s">
        <v>31</v>
      </c>
      <c r="E106">
        <f>HYPERLINK("https://www.britishcycling.org.uk/points?person_id=338772&amp;year=2019&amp;type=national&amp;d=6","Results")</f>
        <v/>
      </c>
    </row>
    <row r="107" spans="1:5">
      <c r="A107" t="s">
        <v>370</v>
      </c>
      <c r="B107" t="s">
        <v>4141</v>
      </c>
      <c r="C107" t="s">
        <v>194</v>
      </c>
      <c r="D107" t="s">
        <v>31</v>
      </c>
      <c r="E107">
        <f>HYPERLINK("https://www.britishcycling.org.uk/points?person_id=629813&amp;year=2019&amp;type=national&amp;d=6","Results")</f>
        <v/>
      </c>
    </row>
    <row r="108" spans="1:5">
      <c r="A108" t="s">
        <v>372</v>
      </c>
      <c r="B108" t="s">
        <v>4142</v>
      </c>
      <c r="C108" t="s">
        <v>125</v>
      </c>
      <c r="D108" t="s">
        <v>28</v>
      </c>
      <c r="E108">
        <f>HYPERLINK("https://www.britishcycling.org.uk/points?person_id=589929&amp;year=2019&amp;type=national&amp;d=6","Results")</f>
        <v/>
      </c>
    </row>
    <row r="109" spans="1:5">
      <c r="A109" t="s">
        <v>374</v>
      </c>
      <c r="B109" t="s">
        <v>4143</v>
      </c>
      <c r="C109" t="s">
        <v>312</v>
      </c>
      <c r="D109" t="s">
        <v>28</v>
      </c>
      <c r="E109">
        <f>HYPERLINK("https://www.britishcycling.org.uk/points?person_id=384287&amp;year=2019&amp;type=national&amp;d=6","Results")</f>
        <v/>
      </c>
    </row>
    <row r="110" spans="1:5">
      <c r="A110" t="s">
        <v>377</v>
      </c>
      <c r="B110" t="s">
        <v>4144</v>
      </c>
      <c r="C110" t="s">
        <v>366</v>
      </c>
      <c r="D110" t="s">
        <v>28</v>
      </c>
      <c r="E110">
        <f>HYPERLINK("https://www.britishcycling.org.uk/points?person_id=766472&amp;year=2019&amp;type=national&amp;d=6","Results")</f>
        <v/>
      </c>
    </row>
    <row r="111" spans="1:5">
      <c r="A111" t="s">
        <v>336</v>
      </c>
      <c r="B111" t="s">
        <v>4145</v>
      </c>
      <c r="C111" t="s">
        <v>87</v>
      </c>
      <c r="D111" t="s">
        <v>25</v>
      </c>
      <c r="E111">
        <f>HYPERLINK("https://www.britishcycling.org.uk/points?person_id=942830&amp;year=2019&amp;type=national&amp;d=6","Results")</f>
        <v/>
      </c>
    </row>
    <row r="112" spans="1:5">
      <c r="A112" t="s">
        <v>332</v>
      </c>
      <c r="B112" t="s">
        <v>4146</v>
      </c>
      <c r="C112" t="s">
        <v>358</v>
      </c>
      <c r="D112" t="s">
        <v>25</v>
      </c>
      <c r="E112">
        <f>HYPERLINK("https://www.britishcycling.org.uk/points?person_id=675400&amp;year=2019&amp;type=national&amp;d=6","Results")</f>
        <v/>
      </c>
    </row>
    <row r="113" spans="1:5">
      <c r="A113" t="s">
        <v>384</v>
      </c>
      <c r="B113" t="s">
        <v>4147</v>
      </c>
      <c r="C113" t="s">
        <v>299</v>
      </c>
      <c r="D113" t="s">
        <v>25</v>
      </c>
      <c r="E113">
        <f>HYPERLINK("https://www.britishcycling.org.uk/points?person_id=335446&amp;year=2019&amp;type=national&amp;d=6","Results")</f>
        <v/>
      </c>
    </row>
    <row r="114" spans="1:5">
      <c r="A114" t="s">
        <v>387</v>
      </c>
      <c r="B114" t="s">
        <v>4148</v>
      </c>
      <c r="C114" t="s">
        <v>33</v>
      </c>
      <c r="D114" t="s">
        <v>25</v>
      </c>
      <c r="E114">
        <f>HYPERLINK("https://www.britishcycling.org.uk/points?person_id=530876&amp;year=2019&amp;type=national&amp;d=6","Results")</f>
        <v/>
      </c>
    </row>
    <row r="115" spans="1:5">
      <c r="A115" t="s">
        <v>389</v>
      </c>
      <c r="B115" t="s">
        <v>4149</v>
      </c>
      <c r="C115" t="s">
        <v>676</v>
      </c>
      <c r="D115" t="s">
        <v>21</v>
      </c>
      <c r="E115">
        <f>HYPERLINK("https://www.britishcycling.org.uk/points?person_id=735734&amp;year=2019&amp;type=national&amp;d=6","Results")</f>
        <v/>
      </c>
    </row>
    <row r="116" spans="1:5">
      <c r="A116" t="s">
        <v>325</v>
      </c>
      <c r="B116" t="s">
        <v>4150</v>
      </c>
      <c r="C116" t="s">
        <v>837</v>
      </c>
      <c r="D116" t="s">
        <v>21</v>
      </c>
      <c r="E116">
        <f>HYPERLINK("https://www.britishcycling.org.uk/points?person_id=564330&amp;year=2019&amp;type=national&amp;d=6","Results")</f>
        <v/>
      </c>
    </row>
    <row r="117" spans="1:5">
      <c r="A117" t="s">
        <v>393</v>
      </c>
      <c r="B117" t="s">
        <v>4151</v>
      </c>
      <c r="C117" t="s">
        <v>376</v>
      </c>
      <c r="D117" t="s">
        <v>21</v>
      </c>
      <c r="E117">
        <f>HYPERLINK("https://www.britishcycling.org.uk/points?person_id=415883&amp;year=2019&amp;type=national&amp;d=6","Results")</f>
        <v/>
      </c>
    </row>
    <row r="118" spans="1:5">
      <c r="A118" t="s">
        <v>321</v>
      </c>
      <c r="B118" t="s">
        <v>4152</v>
      </c>
      <c r="C118" t="s">
        <v>249</v>
      </c>
      <c r="D118" t="s">
        <v>21</v>
      </c>
      <c r="E118">
        <f>HYPERLINK("https://www.britishcycling.org.uk/points?person_id=381484&amp;year=2019&amp;type=national&amp;d=6","Results")</f>
        <v/>
      </c>
    </row>
    <row r="119" spans="1:5">
      <c r="A119" t="s">
        <v>316</v>
      </c>
      <c r="B119" t="s">
        <v>4153</v>
      </c>
      <c r="C119" t="s">
        <v>139</v>
      </c>
      <c r="D119" t="s">
        <v>17</v>
      </c>
      <c r="E119">
        <f>HYPERLINK("https://www.britishcycling.org.uk/points?person_id=759604&amp;year=2019&amp;type=national&amp;d=6","Results")</f>
        <v/>
      </c>
    </row>
    <row r="120" spans="1:5">
      <c r="A120" t="s">
        <v>399</v>
      </c>
      <c r="B120" t="s">
        <v>4154</v>
      </c>
      <c r="C120" t="s">
        <v>383</v>
      </c>
      <c r="D120" t="s">
        <v>17</v>
      </c>
      <c r="E120">
        <f>HYPERLINK("https://www.britishcycling.org.uk/points?person_id=406427&amp;year=2019&amp;type=national&amp;d=6","Results")</f>
        <v/>
      </c>
    </row>
    <row r="121" spans="1:5">
      <c r="A121" t="s">
        <v>309</v>
      </c>
      <c r="B121" t="s">
        <v>4155</v>
      </c>
      <c r="C121" t="s">
        <v>223</v>
      </c>
      <c r="D121" t="s">
        <v>17</v>
      </c>
      <c r="E121">
        <f>HYPERLINK("https://www.britishcycling.org.uk/points?person_id=804450&amp;year=2019&amp;type=national&amp;d=6","Results")</f>
        <v/>
      </c>
    </row>
    <row r="122" spans="1:5">
      <c r="A122" t="s">
        <v>306</v>
      </c>
      <c r="B122" t="s">
        <v>4156</v>
      </c>
      <c r="C122" t="s">
        <v>4157</v>
      </c>
      <c r="D122" t="s">
        <v>17</v>
      </c>
      <c r="E122">
        <f>HYPERLINK("https://www.britishcycling.org.uk/points?person_id=294236&amp;year=2019&amp;type=national&amp;d=6","Results")</f>
        <v/>
      </c>
    </row>
    <row r="123" spans="1:5">
      <c r="A123" t="s">
        <v>405</v>
      </c>
      <c r="B123" t="s">
        <v>4158</v>
      </c>
      <c r="C123" t="s">
        <v>259</v>
      </c>
      <c r="D123" t="s">
        <v>17</v>
      </c>
      <c r="E123">
        <f>HYPERLINK("https://www.britishcycling.org.uk/points?person_id=338416&amp;year=2019&amp;type=national&amp;d=6","Results")</f>
        <v/>
      </c>
    </row>
    <row r="124" spans="1:5">
      <c r="A124" t="s">
        <v>408</v>
      </c>
      <c r="B124" t="s">
        <v>4159</v>
      </c>
      <c r="C124" t="s">
        <v>331</v>
      </c>
      <c r="D124" t="s">
        <v>17</v>
      </c>
      <c r="E124">
        <f>HYPERLINK("https://www.britishcycling.org.uk/points?person_id=509655&amp;year=2019&amp;type=national&amp;d=6","Results")</f>
        <v/>
      </c>
    </row>
    <row r="125" spans="1:5">
      <c r="A125" t="s">
        <v>410</v>
      </c>
      <c r="B125" t="s">
        <v>4160</v>
      </c>
      <c r="C125" t="s">
        <v>2675</v>
      </c>
      <c r="D125" t="s">
        <v>13</v>
      </c>
      <c r="E125">
        <f>HYPERLINK("https://www.britishcycling.org.uk/points?person_id=229495&amp;year=2019&amp;type=national&amp;d=6","Results")</f>
        <v/>
      </c>
    </row>
    <row r="126" spans="1:5">
      <c r="A126" t="s">
        <v>303</v>
      </c>
      <c r="B126" t="s">
        <v>4161</v>
      </c>
      <c r="C126" t="s">
        <v>121</v>
      </c>
      <c r="D126" t="s">
        <v>13</v>
      </c>
      <c r="E126">
        <f>HYPERLINK("https://www.britishcycling.org.uk/points?person_id=643715&amp;year=2019&amp;type=national&amp;d=6","Results")</f>
        <v/>
      </c>
    </row>
    <row r="127" spans="1:5">
      <c r="A127" t="s">
        <v>414</v>
      </c>
      <c r="B127" t="s">
        <v>4162</v>
      </c>
      <c r="C127" t="s">
        <v>3363</v>
      </c>
      <c r="D127" t="s">
        <v>13</v>
      </c>
      <c r="E127">
        <f>HYPERLINK("https://www.britishcycling.org.uk/points?person_id=948577&amp;year=2019&amp;type=national&amp;d=6","Results")</f>
        <v/>
      </c>
    </row>
    <row r="128" spans="1:5">
      <c r="A128" t="s">
        <v>416</v>
      </c>
      <c r="B128" t="s">
        <v>4163</v>
      </c>
      <c r="C128" t="s">
        <v>427</v>
      </c>
      <c r="D128" t="s">
        <v>13</v>
      </c>
      <c r="E128">
        <f>HYPERLINK("https://www.britishcycling.org.uk/points?person_id=616527&amp;year=2019&amp;type=national&amp;d=6","Results")</f>
        <v/>
      </c>
    </row>
    <row r="129" spans="1:5">
      <c r="A129" t="s">
        <v>418</v>
      </c>
      <c r="B129" t="s">
        <v>4164</v>
      </c>
      <c r="C129" t="s">
        <v>592</v>
      </c>
      <c r="D129" t="s">
        <v>13</v>
      </c>
      <c r="E129">
        <f>HYPERLINK("https://www.britishcycling.org.uk/points?person_id=439637&amp;year=2019&amp;type=national&amp;d=6","Results")</f>
        <v/>
      </c>
    </row>
    <row r="130" spans="1:5">
      <c r="A130" t="s">
        <v>300</v>
      </c>
      <c r="B130" t="s">
        <v>4165</v>
      </c>
      <c r="C130" t="s">
        <v>1217</v>
      </c>
      <c r="D130" t="s">
        <v>13</v>
      </c>
      <c r="E130">
        <f>HYPERLINK("https://www.britishcycling.org.uk/points?person_id=232311&amp;year=2019&amp;type=national&amp;d=6","Results")</f>
        <v/>
      </c>
    </row>
    <row r="131" spans="1:5">
      <c r="A131" t="s">
        <v>296</v>
      </c>
      <c r="B131" t="s">
        <v>4166</v>
      </c>
      <c r="C131" t="s">
        <v>514</v>
      </c>
      <c r="D131" t="s">
        <v>13</v>
      </c>
      <c r="E131">
        <f>HYPERLINK("https://www.britishcycling.org.uk/points?person_id=525919&amp;year=2019&amp;type=national&amp;d=6","Results")</f>
        <v/>
      </c>
    </row>
    <row r="132" spans="1:5">
      <c r="A132" t="s">
        <v>292</v>
      </c>
      <c r="B132" t="s">
        <v>4167</v>
      </c>
      <c r="C132" t="s">
        <v>595</v>
      </c>
      <c r="D132" t="s">
        <v>13</v>
      </c>
      <c r="E132">
        <f>HYPERLINK("https://www.britishcycling.org.uk/points?person_id=404569&amp;year=2019&amp;type=national&amp;d=6","Results")</f>
        <v/>
      </c>
    </row>
    <row r="133" spans="1:5">
      <c r="A133" t="s">
        <v>288</v>
      </c>
      <c r="B133" t="s">
        <v>4168</v>
      </c>
      <c r="C133" t="s">
        <v>4169</v>
      </c>
      <c r="D133" t="s">
        <v>13</v>
      </c>
      <c r="E133">
        <f>HYPERLINK("https://www.britishcycling.org.uk/points?person_id=529747&amp;year=2019&amp;type=national&amp;d=6","Results")</f>
        <v/>
      </c>
    </row>
    <row r="134" spans="1:5">
      <c r="A134" t="s">
        <v>425</v>
      </c>
      <c r="B134" t="s">
        <v>4170</v>
      </c>
      <c r="C134" t="s">
        <v>291</v>
      </c>
      <c r="D134" t="s">
        <v>9</v>
      </c>
      <c r="E134">
        <f>HYPERLINK("https://www.britishcycling.org.uk/points?person_id=219960&amp;year=2019&amp;type=national&amp;d=6","Results")</f>
        <v/>
      </c>
    </row>
    <row r="135" spans="1:5">
      <c r="A135" t="s">
        <v>284</v>
      </c>
      <c r="B135" t="s">
        <v>4171</v>
      </c>
      <c r="C135" t="s">
        <v>407</v>
      </c>
      <c r="D135" t="s">
        <v>9</v>
      </c>
      <c r="E135">
        <f>HYPERLINK("https://www.britishcycling.org.uk/points?person_id=888663&amp;year=2019&amp;type=national&amp;d=6","Results")</f>
        <v/>
      </c>
    </row>
    <row r="136" spans="1:5">
      <c r="A136" t="s">
        <v>430</v>
      </c>
      <c r="B136" t="s">
        <v>4172</v>
      </c>
      <c r="C136" t="s">
        <v>125</v>
      </c>
      <c r="D136" t="s">
        <v>9</v>
      </c>
      <c r="E136">
        <f>HYPERLINK("https://www.britishcycling.org.uk/points?person_id=577684&amp;year=2019&amp;type=national&amp;d=6","Results")</f>
        <v/>
      </c>
    </row>
    <row r="137" spans="1:5">
      <c r="A137" t="s">
        <v>432</v>
      </c>
      <c r="B137" t="s">
        <v>4173</v>
      </c>
      <c r="C137" t="s"/>
      <c r="D137" t="s">
        <v>9</v>
      </c>
      <c r="E137">
        <f>HYPERLINK("https://www.britishcycling.org.uk/points?person_id=611990&amp;year=2019&amp;type=national&amp;d=6","Results")</f>
        <v/>
      </c>
    </row>
    <row r="138" spans="1:5">
      <c r="A138" t="s">
        <v>280</v>
      </c>
      <c r="B138" t="s">
        <v>4174</v>
      </c>
      <c r="C138" t="s">
        <v>4175</v>
      </c>
      <c r="D138" t="s">
        <v>9</v>
      </c>
      <c r="E138">
        <f>HYPERLINK("https://www.britishcycling.org.uk/points?person_id=469656&amp;year=2019&amp;type=national&amp;d=6","Results")</f>
        <v/>
      </c>
    </row>
    <row r="139" spans="1:5">
      <c r="A139" t="s">
        <v>436</v>
      </c>
      <c r="B139" t="s">
        <v>4176</v>
      </c>
      <c r="C139" t="s">
        <v>163</v>
      </c>
      <c r="D139" t="s">
        <v>9</v>
      </c>
      <c r="E139">
        <f>HYPERLINK("https://www.britishcycling.org.uk/points?person_id=761733&amp;year=2019&amp;type=national&amp;d=6","Results")</f>
        <v/>
      </c>
    </row>
    <row r="140" spans="1:5">
      <c r="A140" t="s">
        <v>276</v>
      </c>
      <c r="B140" t="s">
        <v>4177</v>
      </c>
      <c r="C140" t="s">
        <v>143</v>
      </c>
      <c r="D140" t="s">
        <v>9</v>
      </c>
      <c r="E140">
        <f>HYPERLINK("https://www.britishcycling.org.uk/points?person_id=671329&amp;year=2019&amp;type=national&amp;d=6","Results")</f>
        <v/>
      </c>
    </row>
    <row r="141" spans="1:5">
      <c r="A141" t="s">
        <v>439</v>
      </c>
      <c r="B141" t="s">
        <v>4178</v>
      </c>
      <c r="C141" t="s">
        <v>249</v>
      </c>
      <c r="D141" t="s">
        <v>5</v>
      </c>
      <c r="E141">
        <f>HYPERLINK("https://www.britishcycling.org.uk/points?person_id=381485&amp;year=2019&amp;type=national&amp;d=6","Results")</f>
        <v/>
      </c>
    </row>
    <row r="142" spans="1:5">
      <c r="A142" t="s">
        <v>273</v>
      </c>
      <c r="B142" t="s">
        <v>4179</v>
      </c>
      <c r="C142" t="s">
        <v>4180</v>
      </c>
      <c r="D142" t="s">
        <v>5</v>
      </c>
      <c r="E142">
        <f>HYPERLINK("https://www.britishcycling.org.uk/points?person_id=817227&amp;year=2019&amp;type=national&amp;d=6","Results")</f>
        <v/>
      </c>
    </row>
    <row r="143" spans="1:5">
      <c r="A143" t="s">
        <v>269</v>
      </c>
      <c r="B143" t="s">
        <v>4181</v>
      </c>
      <c r="C143" t="s">
        <v>335</v>
      </c>
      <c r="D143" t="s">
        <v>5</v>
      </c>
      <c r="E143">
        <f>HYPERLINK("https://www.britishcycling.org.uk/points?person_id=260743&amp;year=2019&amp;type=national&amp;d=6","Results")</f>
        <v/>
      </c>
    </row>
    <row r="144" spans="1:5">
      <c r="A144" t="s">
        <v>266</v>
      </c>
      <c r="B144" t="s">
        <v>4182</v>
      </c>
      <c r="C144" t="s">
        <v>7</v>
      </c>
      <c r="D144" t="s">
        <v>5</v>
      </c>
      <c r="E144">
        <f>HYPERLINK("https://www.britishcycling.org.uk/points?person_id=881425&amp;year=2019&amp;type=national&amp;d=6","Results")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12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25"/>
    <col customWidth="1" max="3" min="3" width="50"/>
    <col customWidth="1" max="4" min="4" width="7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4183</v>
      </c>
      <c r="C2" t="s">
        <v>4184</v>
      </c>
      <c r="D2" t="s">
        <v>2429</v>
      </c>
      <c r="E2">
        <f>HYPERLINK("https://www.britishcycling.org.uk/points?person_id=59921&amp;year=2019&amp;type=national&amp;d=6","Results")</f>
        <v/>
      </c>
    </row>
    <row r="3" spans="1:5">
      <c r="A3" t="s">
        <v>9</v>
      </c>
      <c r="B3" t="s">
        <v>4185</v>
      </c>
      <c r="C3" t="s">
        <v>615</v>
      </c>
      <c r="D3" t="s">
        <v>2267</v>
      </c>
      <c r="E3">
        <f>HYPERLINK("https://www.britishcycling.org.uk/points?person_id=233843&amp;year=2019&amp;type=national&amp;d=6","Results")</f>
        <v/>
      </c>
    </row>
    <row r="4" spans="1:5">
      <c r="A4" t="s">
        <v>13</v>
      </c>
      <c r="B4" t="s">
        <v>4186</v>
      </c>
      <c r="C4" t="s">
        <v>511</v>
      </c>
      <c r="D4" t="s">
        <v>66</v>
      </c>
      <c r="E4">
        <f>HYPERLINK("https://www.britishcycling.org.uk/points?person_id=343409&amp;year=2019&amp;type=national&amp;d=6","Results")</f>
        <v/>
      </c>
    </row>
    <row r="5" spans="1:5">
      <c r="A5" t="s">
        <v>17</v>
      </c>
      <c r="B5" t="s">
        <v>4187</v>
      </c>
      <c r="C5" t="s">
        <v>554</v>
      </c>
      <c r="D5" t="s">
        <v>2181</v>
      </c>
      <c r="E5">
        <f>HYPERLINK("https://www.britishcycling.org.uk/points?person_id=441969&amp;year=2019&amp;type=national&amp;d=6","Results")</f>
        <v/>
      </c>
    </row>
    <row r="6" spans="1:5">
      <c r="A6" t="s">
        <v>21</v>
      </c>
      <c r="B6" t="s">
        <v>4188</v>
      </c>
      <c r="C6" t="s">
        <v>1160</v>
      </c>
      <c r="D6" t="s">
        <v>892</v>
      </c>
      <c r="E6">
        <f>HYPERLINK("https://www.britishcycling.org.uk/points?person_id=265182&amp;year=2019&amp;type=national&amp;d=6","Results")</f>
        <v/>
      </c>
    </row>
    <row r="7" spans="1:5">
      <c r="A7" t="s">
        <v>25</v>
      </c>
      <c r="B7" t="s">
        <v>4189</v>
      </c>
      <c r="C7" t="s">
        <v>1335</v>
      </c>
      <c r="D7" t="s">
        <v>890</v>
      </c>
      <c r="E7">
        <f>HYPERLINK("https://www.britishcycling.org.uk/points?person_id=254522&amp;year=2019&amp;type=national&amp;d=6","Results")</f>
        <v/>
      </c>
    </row>
    <row r="8" spans="1:5">
      <c r="A8" t="s">
        <v>28</v>
      </c>
      <c r="B8" t="s">
        <v>4190</v>
      </c>
      <c r="C8" t="s">
        <v>940</v>
      </c>
      <c r="D8" t="s">
        <v>815</v>
      </c>
      <c r="E8">
        <f>HYPERLINK("https://www.britishcycling.org.uk/points?person_id=395535&amp;year=2019&amp;type=national&amp;d=6","Results")</f>
        <v/>
      </c>
    </row>
    <row r="9" spans="1:5">
      <c r="A9" t="s">
        <v>31</v>
      </c>
      <c r="B9" t="s">
        <v>4191</v>
      </c>
      <c r="C9" t="s">
        <v>1526</v>
      </c>
      <c r="D9" t="s">
        <v>769</v>
      </c>
      <c r="E9">
        <f>HYPERLINK("https://www.britishcycling.org.uk/points?person_id=229551&amp;year=2019&amp;type=national&amp;d=6","Results")</f>
        <v/>
      </c>
    </row>
    <row r="10" spans="1:5">
      <c r="A10" t="s">
        <v>35</v>
      </c>
      <c r="B10" t="s">
        <v>4192</v>
      </c>
      <c r="C10" t="s">
        <v>135</v>
      </c>
      <c r="D10" t="s">
        <v>147</v>
      </c>
      <c r="E10">
        <f>HYPERLINK("https://www.britishcycling.org.uk/points?person_id=385040&amp;year=2019&amp;type=national&amp;d=6","Results")</f>
        <v/>
      </c>
    </row>
    <row r="11" spans="1:5">
      <c r="A11" t="s">
        <v>39</v>
      </c>
      <c r="B11" t="s">
        <v>4193</v>
      </c>
      <c r="C11" t="s">
        <v>80</v>
      </c>
      <c r="D11" t="s">
        <v>546</v>
      </c>
      <c r="E11">
        <f>HYPERLINK("https://www.britishcycling.org.uk/points?person_id=388144&amp;year=2019&amp;type=national&amp;d=6","Results")</f>
        <v/>
      </c>
    </row>
    <row r="12" spans="1:5">
      <c r="A12" t="s">
        <v>43</v>
      </c>
      <c r="B12" t="s">
        <v>4194</v>
      </c>
      <c r="C12" t="s">
        <v>4037</v>
      </c>
      <c r="D12" t="s">
        <v>220</v>
      </c>
      <c r="E12">
        <f>HYPERLINK("https://www.britishcycling.org.uk/points?person_id=688319&amp;year=2019&amp;type=national&amp;d=6","Results")</f>
        <v/>
      </c>
    </row>
    <row r="13" spans="1:5">
      <c r="A13" t="s">
        <v>47</v>
      </c>
      <c r="B13" t="s">
        <v>4195</v>
      </c>
      <c r="C13" t="s">
        <v>4055</v>
      </c>
      <c r="D13" t="s">
        <v>501</v>
      </c>
      <c r="E13">
        <f>HYPERLINK("https://www.britishcycling.org.uk/points?person_id=574071&amp;year=2019&amp;type=national&amp;d=6","Results")</f>
        <v/>
      </c>
    </row>
    <row r="14" spans="1:5">
      <c r="A14" t="s">
        <v>51</v>
      </c>
      <c r="B14" t="s">
        <v>4196</v>
      </c>
      <c r="C14" t="s">
        <v>61</v>
      </c>
      <c r="D14" t="s">
        <v>484</v>
      </c>
      <c r="E14">
        <f>HYPERLINK("https://www.britishcycling.org.uk/points?person_id=673884&amp;year=2019&amp;type=national&amp;d=6","Results")</f>
        <v/>
      </c>
    </row>
    <row r="15" spans="1:5">
      <c r="A15" t="s">
        <v>55</v>
      </c>
      <c r="B15" t="s">
        <v>4197</v>
      </c>
      <c r="C15" t="s">
        <v>929</v>
      </c>
      <c r="D15" t="s">
        <v>477</v>
      </c>
      <c r="E15">
        <f>HYPERLINK("https://www.britishcycling.org.uk/points?person_id=309238&amp;year=2019&amp;type=national&amp;d=6","Results")</f>
        <v/>
      </c>
    </row>
    <row r="16" spans="1:5">
      <c r="A16" t="s">
        <v>59</v>
      </c>
      <c r="B16" t="s">
        <v>4198</v>
      </c>
      <c r="C16" t="s">
        <v>443</v>
      </c>
      <c r="D16" t="s">
        <v>458</v>
      </c>
      <c r="E16">
        <f>HYPERLINK("https://www.britishcycling.org.uk/points?person_id=190070&amp;year=2019&amp;type=national&amp;d=6","Results")</f>
        <v/>
      </c>
    </row>
    <row r="17" spans="1:5">
      <c r="A17" t="s">
        <v>63</v>
      </c>
      <c r="B17" t="s">
        <v>4199</v>
      </c>
      <c r="C17" t="s">
        <v>4055</v>
      </c>
      <c r="D17" t="s">
        <v>263</v>
      </c>
      <c r="E17">
        <f>HYPERLINK("https://www.britishcycling.org.uk/points?person_id=234445&amp;year=2019&amp;type=national&amp;d=6","Results")</f>
        <v/>
      </c>
    </row>
    <row r="18" spans="1:5">
      <c r="A18" t="s">
        <v>67</v>
      </c>
      <c r="B18" t="s">
        <v>4200</v>
      </c>
      <c r="C18" t="s">
        <v>961</v>
      </c>
      <c r="D18" t="s">
        <v>303</v>
      </c>
      <c r="E18">
        <f>HYPERLINK("https://www.britishcycling.org.uk/points?person_id=170530&amp;year=2019&amp;type=national&amp;d=6","Results")</f>
        <v/>
      </c>
    </row>
    <row r="19" spans="1:5">
      <c r="A19" t="s">
        <v>71</v>
      </c>
      <c r="B19" t="s">
        <v>4201</v>
      </c>
      <c r="C19" t="s">
        <v>959</v>
      </c>
      <c r="D19" t="s">
        <v>389</v>
      </c>
      <c r="E19">
        <f>HYPERLINK("https://www.britishcycling.org.uk/points?person_id=203496&amp;year=2019&amp;type=national&amp;d=6","Results")</f>
        <v/>
      </c>
    </row>
    <row r="20" spans="1:5">
      <c r="A20" t="s">
        <v>75</v>
      </c>
      <c r="B20" t="s">
        <v>4202</v>
      </c>
      <c r="C20" t="s">
        <v>949</v>
      </c>
      <c r="D20" t="s">
        <v>368</v>
      </c>
      <c r="E20">
        <f>HYPERLINK("https://www.britishcycling.org.uk/points?person_id=216288&amp;year=2019&amp;type=national&amp;d=6","Results")</f>
        <v/>
      </c>
    </row>
    <row r="21" spans="1:5">
      <c r="A21" t="s">
        <v>78</v>
      </c>
      <c r="B21" t="s">
        <v>4203</v>
      </c>
      <c r="C21" t="s">
        <v>376</v>
      </c>
      <c r="D21" t="s">
        <v>356</v>
      </c>
      <c r="E21">
        <f>HYPERLINK("https://www.britishcycling.org.uk/points?person_id=130733&amp;year=2019&amp;type=national&amp;d=6","Results")</f>
        <v/>
      </c>
    </row>
    <row r="22" spans="1:5">
      <c r="A22" t="s">
        <v>82</v>
      </c>
      <c r="B22" t="s">
        <v>4137</v>
      </c>
      <c r="C22" t="s">
        <v>4055</v>
      </c>
      <c r="D22" t="s">
        <v>297</v>
      </c>
      <c r="E22">
        <f>HYPERLINK("https://www.britishcycling.org.uk/points?person_id=532038&amp;year=2019&amp;type=national&amp;d=6","Results")</f>
        <v/>
      </c>
    </row>
    <row r="23" spans="1:5">
      <c r="A23" t="s">
        <v>85</v>
      </c>
      <c r="B23" t="s">
        <v>4204</v>
      </c>
      <c r="C23" t="s">
        <v>295</v>
      </c>
      <c r="D23" t="s">
        <v>257</v>
      </c>
      <c r="E23">
        <f>HYPERLINK("https://www.britishcycling.org.uk/points?person_id=307633&amp;year=2019&amp;type=national&amp;d=6","Results")</f>
        <v/>
      </c>
    </row>
    <row r="24" spans="1:5">
      <c r="A24" t="s">
        <v>89</v>
      </c>
      <c r="B24" t="s">
        <v>4205</v>
      </c>
      <c r="C24" t="s">
        <v>113</v>
      </c>
      <c r="D24" t="s">
        <v>239</v>
      </c>
      <c r="E24">
        <f>HYPERLINK("https://www.britishcycling.org.uk/points?person_id=333845&amp;year=2019&amp;type=national&amp;d=6","Results")</f>
        <v/>
      </c>
    </row>
    <row r="25" spans="1:5">
      <c r="A25" t="s">
        <v>92</v>
      </c>
      <c r="B25" t="s">
        <v>4206</v>
      </c>
      <c r="C25" t="s">
        <v>7</v>
      </c>
      <c r="D25" t="s">
        <v>239</v>
      </c>
      <c r="E25">
        <f>HYPERLINK("https://www.britishcycling.org.uk/points?person_id=444152&amp;year=2019&amp;type=national&amp;d=6","Results")</f>
        <v/>
      </c>
    </row>
    <row r="26" spans="1:5">
      <c r="A26" t="s">
        <v>96</v>
      </c>
      <c r="B26" t="s">
        <v>4207</v>
      </c>
      <c r="C26" t="s">
        <v>143</v>
      </c>
      <c r="D26" t="s">
        <v>239</v>
      </c>
      <c r="E26">
        <f>HYPERLINK("https://www.britishcycling.org.uk/points?person_id=402642&amp;year=2019&amp;type=national&amp;d=6","Results")</f>
        <v/>
      </c>
    </row>
    <row r="27" spans="1:5">
      <c r="A27" t="s">
        <v>99</v>
      </c>
      <c r="B27" t="s">
        <v>4208</v>
      </c>
      <c r="C27" t="s">
        <v>205</v>
      </c>
      <c r="D27" t="s">
        <v>210</v>
      </c>
      <c r="E27">
        <f>HYPERLINK("https://www.britishcycling.org.uk/points?person_id=318895&amp;year=2019&amp;type=national&amp;d=6","Results")</f>
        <v/>
      </c>
    </row>
    <row r="28" spans="1:5">
      <c r="A28" t="s">
        <v>103</v>
      </c>
      <c r="B28" t="s">
        <v>4209</v>
      </c>
      <c r="C28" t="s">
        <v>339</v>
      </c>
      <c r="D28" t="s">
        <v>180</v>
      </c>
      <c r="E28">
        <f>HYPERLINK("https://www.britishcycling.org.uk/points?person_id=197073&amp;year=2019&amp;type=national&amp;d=6","Results")</f>
        <v/>
      </c>
    </row>
    <row r="29" spans="1:5">
      <c r="A29" t="s">
        <v>107</v>
      </c>
      <c r="B29" t="s">
        <v>4210</v>
      </c>
      <c r="C29" t="s">
        <v>817</v>
      </c>
      <c r="D29" t="s">
        <v>165</v>
      </c>
      <c r="E29">
        <f>HYPERLINK("https://www.britishcycling.org.uk/points?person_id=848227&amp;year=2019&amp;type=national&amp;d=6","Results")</f>
        <v/>
      </c>
    </row>
    <row r="30" spans="1:5">
      <c r="A30" t="s">
        <v>111</v>
      </c>
      <c r="B30" t="s">
        <v>4211</v>
      </c>
      <c r="C30" t="s">
        <v>272</v>
      </c>
      <c r="D30" t="s">
        <v>158</v>
      </c>
      <c r="E30">
        <f>HYPERLINK("https://www.britishcycling.org.uk/points?person_id=358925&amp;year=2019&amp;type=national&amp;d=6","Results")</f>
        <v/>
      </c>
    </row>
    <row r="31" spans="1:5">
      <c r="A31" t="s">
        <v>115</v>
      </c>
      <c r="B31" t="s">
        <v>4212</v>
      </c>
      <c r="C31" t="s">
        <v>1186</v>
      </c>
      <c r="D31" t="s">
        <v>158</v>
      </c>
      <c r="E31">
        <f>HYPERLINK("https://www.britishcycling.org.uk/points?person_id=227304&amp;year=2019&amp;type=national&amp;d=6","Results")</f>
        <v/>
      </c>
    </row>
    <row r="32" spans="1:5">
      <c r="A32" t="s">
        <v>119</v>
      </c>
      <c r="B32" t="s">
        <v>4213</v>
      </c>
      <c r="C32" t="s">
        <v>4055</v>
      </c>
      <c r="D32" t="s">
        <v>148</v>
      </c>
      <c r="E32">
        <f>HYPERLINK("https://www.britishcycling.org.uk/points?person_id=187036&amp;year=2019&amp;type=national&amp;d=6","Results")</f>
        <v/>
      </c>
    </row>
    <row r="33" spans="1:5">
      <c r="A33" t="s">
        <v>123</v>
      </c>
      <c r="B33" t="s">
        <v>4214</v>
      </c>
      <c r="C33" t="s">
        <v>1317</v>
      </c>
      <c r="D33" t="s">
        <v>145</v>
      </c>
      <c r="E33">
        <f>HYPERLINK("https://www.britishcycling.org.uk/points?person_id=465778&amp;year=2019&amp;type=national&amp;d=6","Results")</f>
        <v/>
      </c>
    </row>
    <row r="34" spans="1:5">
      <c r="A34" t="s">
        <v>127</v>
      </c>
      <c r="B34" t="s">
        <v>4215</v>
      </c>
      <c r="C34" t="s">
        <v>472</v>
      </c>
      <c r="D34" t="s">
        <v>145</v>
      </c>
      <c r="E34">
        <f>HYPERLINK("https://www.britishcycling.org.uk/points?person_id=188973&amp;year=2019&amp;type=national&amp;d=6","Results")</f>
        <v/>
      </c>
    </row>
    <row r="35" spans="1:5">
      <c r="A35" t="s">
        <v>130</v>
      </c>
      <c r="B35" t="s">
        <v>4216</v>
      </c>
      <c r="C35" t="s">
        <v>1354</v>
      </c>
      <c r="D35" t="s">
        <v>137</v>
      </c>
      <c r="E35">
        <f>HYPERLINK("https://www.britishcycling.org.uk/points?person_id=246926&amp;year=2019&amp;type=national&amp;d=6","Results")</f>
        <v/>
      </c>
    </row>
    <row r="36" spans="1:5">
      <c r="A36" t="s">
        <v>133</v>
      </c>
      <c r="B36" t="s">
        <v>4217</v>
      </c>
      <c r="C36" t="s">
        <v>312</v>
      </c>
      <c r="D36" t="s">
        <v>133</v>
      </c>
      <c r="E36">
        <f>HYPERLINK("https://www.britishcycling.org.uk/points?person_id=666529&amp;year=2019&amp;type=national&amp;d=6","Results")</f>
        <v/>
      </c>
    </row>
    <row r="37" spans="1:5">
      <c r="A37" t="s">
        <v>137</v>
      </c>
      <c r="B37" t="s">
        <v>4218</v>
      </c>
      <c r="C37" t="s">
        <v>324</v>
      </c>
      <c r="D37" t="s">
        <v>133</v>
      </c>
      <c r="E37">
        <f>HYPERLINK("https://www.britishcycling.org.uk/points?person_id=323445&amp;year=2019&amp;type=national&amp;d=6","Results")</f>
        <v/>
      </c>
    </row>
    <row r="38" spans="1:5">
      <c r="A38" t="s">
        <v>141</v>
      </c>
      <c r="B38" t="s">
        <v>4219</v>
      </c>
      <c r="C38" t="s">
        <v>113</v>
      </c>
      <c r="D38" t="s">
        <v>127</v>
      </c>
      <c r="E38">
        <f>HYPERLINK("https://www.britishcycling.org.uk/points?person_id=222359&amp;year=2019&amp;type=national&amp;d=6","Results")</f>
        <v/>
      </c>
    </row>
    <row r="39" spans="1:5">
      <c r="A39" t="s">
        <v>145</v>
      </c>
      <c r="B39" t="s">
        <v>4220</v>
      </c>
      <c r="C39" t="s">
        <v>212</v>
      </c>
      <c r="D39" t="s">
        <v>127</v>
      </c>
      <c r="E39">
        <f>HYPERLINK("https://www.britishcycling.org.uk/points?person_id=615932&amp;year=2019&amp;type=national&amp;d=6","Results")</f>
        <v/>
      </c>
    </row>
    <row r="40" spans="1:5">
      <c r="A40" t="s">
        <v>148</v>
      </c>
      <c r="B40" t="s">
        <v>4221</v>
      </c>
      <c r="C40" t="s">
        <v>4222</v>
      </c>
      <c r="D40" t="s">
        <v>127</v>
      </c>
      <c r="E40">
        <f>HYPERLINK("https://www.britishcycling.org.uk/points?person_id=616914&amp;year=2019&amp;type=national&amp;d=6","Results")</f>
        <v/>
      </c>
    </row>
    <row r="41" spans="1:5">
      <c r="A41" t="s">
        <v>151</v>
      </c>
      <c r="B41" t="s">
        <v>4223</v>
      </c>
      <c r="C41" t="s">
        <v>1010</v>
      </c>
      <c r="D41" t="s">
        <v>115</v>
      </c>
      <c r="E41">
        <f>HYPERLINK("https://www.britishcycling.org.uk/points?person_id=858464&amp;year=2019&amp;type=national&amp;d=6","Results")</f>
        <v/>
      </c>
    </row>
    <row r="42" spans="1:5">
      <c r="A42" t="s">
        <v>155</v>
      </c>
      <c r="B42" t="s">
        <v>4224</v>
      </c>
      <c r="C42" t="s">
        <v>33</v>
      </c>
      <c r="D42" t="s">
        <v>107</v>
      </c>
      <c r="E42">
        <f>HYPERLINK("https://www.britishcycling.org.uk/points?person_id=449662&amp;year=2019&amp;type=national&amp;d=6","Results")</f>
        <v/>
      </c>
    </row>
    <row r="43" spans="1:5">
      <c r="A43" t="s">
        <v>158</v>
      </c>
      <c r="B43" t="s">
        <v>4225</v>
      </c>
      <c r="C43" t="s">
        <v>194</v>
      </c>
      <c r="D43" t="s">
        <v>103</v>
      </c>
      <c r="E43">
        <f>HYPERLINK("https://www.britishcycling.org.uk/points?person_id=619987&amp;year=2019&amp;type=national&amp;d=6","Results")</f>
        <v/>
      </c>
    </row>
    <row r="44" spans="1:5">
      <c r="A44" t="s">
        <v>161</v>
      </c>
      <c r="B44" t="s">
        <v>4226</v>
      </c>
      <c r="C44" t="s">
        <v>1923</v>
      </c>
      <c r="D44" t="s">
        <v>99</v>
      </c>
      <c r="E44">
        <f>HYPERLINK("https://www.britishcycling.org.uk/points?person_id=196048&amp;year=2019&amp;type=national&amp;d=6","Results")</f>
        <v/>
      </c>
    </row>
    <row r="45" spans="1:5">
      <c r="A45" t="s">
        <v>165</v>
      </c>
      <c r="B45" t="s">
        <v>4227</v>
      </c>
      <c r="C45" t="s">
        <v>324</v>
      </c>
      <c r="D45" t="s">
        <v>99</v>
      </c>
      <c r="E45">
        <f>HYPERLINK("https://www.britishcycling.org.uk/points?person_id=538529&amp;year=2019&amp;type=national&amp;d=6","Results")</f>
        <v/>
      </c>
    </row>
    <row r="46" spans="1:5">
      <c r="A46" t="s">
        <v>168</v>
      </c>
      <c r="B46" t="s">
        <v>4228</v>
      </c>
      <c r="C46" t="s">
        <v>1524</v>
      </c>
      <c r="D46" t="s">
        <v>96</v>
      </c>
      <c r="E46">
        <f>HYPERLINK("https://www.britishcycling.org.uk/points?person_id=180527&amp;year=2019&amp;type=national&amp;d=6","Results")</f>
        <v/>
      </c>
    </row>
    <row r="47" spans="1:5">
      <c r="A47" t="s">
        <v>172</v>
      </c>
      <c r="B47" t="s">
        <v>4229</v>
      </c>
      <c r="C47" t="s">
        <v>295</v>
      </c>
      <c r="D47" t="s">
        <v>92</v>
      </c>
      <c r="E47">
        <f>HYPERLINK("https://www.britishcycling.org.uk/points?person_id=612433&amp;year=2019&amp;type=national&amp;d=6","Results")</f>
        <v/>
      </c>
    </row>
    <row r="48" spans="1:5">
      <c r="A48" t="s">
        <v>176</v>
      </c>
      <c r="B48" t="s">
        <v>4230</v>
      </c>
      <c r="C48" t="s">
        <v>4231</v>
      </c>
      <c r="D48" t="s">
        <v>82</v>
      </c>
      <c r="E48">
        <f>HYPERLINK("https://www.britishcycling.org.uk/points?person_id=300203&amp;year=2019&amp;type=national&amp;d=6","Results")</f>
        <v/>
      </c>
    </row>
    <row r="49" spans="1:5">
      <c r="A49" t="s">
        <v>180</v>
      </c>
      <c r="B49" t="s">
        <v>4232</v>
      </c>
      <c r="C49" t="s">
        <v>403</v>
      </c>
      <c r="D49" t="s">
        <v>82</v>
      </c>
      <c r="E49">
        <f>HYPERLINK("https://www.britishcycling.org.uk/points?person_id=872205&amp;year=2019&amp;type=national&amp;d=6","Results")</f>
        <v/>
      </c>
    </row>
    <row r="50" spans="1:5">
      <c r="A50" t="s">
        <v>184</v>
      </c>
      <c r="B50" t="s">
        <v>4233</v>
      </c>
      <c r="C50" t="s">
        <v>186</v>
      </c>
      <c r="D50" t="s">
        <v>75</v>
      </c>
      <c r="E50">
        <f>HYPERLINK("https://www.britishcycling.org.uk/points?person_id=300945&amp;year=2019&amp;type=national&amp;d=6","Results")</f>
        <v/>
      </c>
    </row>
    <row r="51" spans="1:5">
      <c r="A51" t="s">
        <v>188</v>
      </c>
      <c r="B51" t="s">
        <v>4234</v>
      </c>
      <c r="C51" t="s">
        <v>959</v>
      </c>
      <c r="D51" t="s">
        <v>71</v>
      </c>
      <c r="E51">
        <f>HYPERLINK("https://www.britishcycling.org.uk/points?person_id=253518&amp;year=2019&amp;type=national&amp;d=6","Results")</f>
        <v/>
      </c>
    </row>
    <row r="52" spans="1:5">
      <c r="A52" t="s">
        <v>192</v>
      </c>
      <c r="B52" t="s">
        <v>4235</v>
      </c>
      <c r="C52" t="s">
        <v>1091</v>
      </c>
      <c r="D52" t="s">
        <v>71</v>
      </c>
      <c r="E52">
        <f>HYPERLINK("https://www.britishcycling.org.uk/points?person_id=171876&amp;year=2019&amp;type=national&amp;d=6","Results")</f>
        <v/>
      </c>
    </row>
    <row r="53" spans="1:5">
      <c r="A53" t="s">
        <v>196</v>
      </c>
      <c r="B53" t="s">
        <v>4236</v>
      </c>
      <c r="C53" t="s">
        <v>163</v>
      </c>
      <c r="D53" t="s">
        <v>67</v>
      </c>
      <c r="E53">
        <f>HYPERLINK("https://www.britishcycling.org.uk/points?person_id=688843&amp;year=2019&amp;type=national&amp;d=6","Results")</f>
        <v/>
      </c>
    </row>
    <row r="54" spans="1:5">
      <c r="A54" t="s">
        <v>199</v>
      </c>
      <c r="B54" t="s">
        <v>4237</v>
      </c>
      <c r="C54" t="s">
        <v>33</v>
      </c>
      <c r="D54" t="s">
        <v>67</v>
      </c>
      <c r="E54">
        <f>HYPERLINK("https://www.britishcycling.org.uk/points?person_id=650641&amp;year=2019&amp;type=national&amp;d=6","Results")</f>
        <v/>
      </c>
    </row>
    <row r="55" spans="1:5">
      <c r="A55" t="s">
        <v>203</v>
      </c>
      <c r="B55" t="s">
        <v>4238</v>
      </c>
      <c r="C55" t="s">
        <v>139</v>
      </c>
      <c r="D55" t="s">
        <v>67</v>
      </c>
      <c r="E55">
        <f>HYPERLINK("https://www.britishcycling.org.uk/points?person_id=391897&amp;year=2019&amp;type=national&amp;d=6","Results")</f>
        <v/>
      </c>
    </row>
    <row r="56" spans="1:5">
      <c r="A56" t="s">
        <v>207</v>
      </c>
      <c r="B56" t="s">
        <v>4239</v>
      </c>
      <c r="C56" t="s">
        <v>376</v>
      </c>
      <c r="D56" t="s">
        <v>63</v>
      </c>
      <c r="E56">
        <f>HYPERLINK("https://www.britishcycling.org.uk/points?person_id=222185&amp;year=2019&amp;type=national&amp;d=6","Results")</f>
        <v/>
      </c>
    </row>
    <row r="57" spans="1:5">
      <c r="A57" t="s">
        <v>210</v>
      </c>
      <c r="B57" t="s">
        <v>4240</v>
      </c>
      <c r="C57" t="s">
        <v>312</v>
      </c>
      <c r="D57" t="s">
        <v>63</v>
      </c>
      <c r="E57">
        <f>HYPERLINK("https://www.britishcycling.org.uk/points?person_id=620836&amp;year=2019&amp;type=national&amp;d=6","Results")</f>
        <v/>
      </c>
    </row>
    <row r="58" spans="1:5">
      <c r="A58" t="s">
        <v>214</v>
      </c>
      <c r="B58" t="s">
        <v>4241</v>
      </c>
      <c r="C58" t="s">
        <v>1409</v>
      </c>
      <c r="D58" t="s">
        <v>63</v>
      </c>
      <c r="E58">
        <f>HYPERLINK("https://www.britishcycling.org.uk/points?person_id=405787&amp;year=2019&amp;type=national&amp;d=6","Results")</f>
        <v/>
      </c>
    </row>
    <row r="59" spans="1:5">
      <c r="A59" t="s">
        <v>218</v>
      </c>
      <c r="B59" t="s">
        <v>4242</v>
      </c>
      <c r="C59" t="s">
        <v>139</v>
      </c>
      <c r="D59" t="s">
        <v>63</v>
      </c>
      <c r="E59">
        <f>HYPERLINK("https://www.britishcycling.org.uk/points?person_id=408026&amp;year=2019&amp;type=national&amp;d=6","Results")</f>
        <v/>
      </c>
    </row>
    <row r="60" spans="1:5">
      <c r="A60" t="s">
        <v>221</v>
      </c>
      <c r="B60" t="s">
        <v>4243</v>
      </c>
      <c r="C60" t="s">
        <v>167</v>
      </c>
      <c r="D60" t="s">
        <v>63</v>
      </c>
      <c r="E60">
        <f>HYPERLINK("https://www.britishcycling.org.uk/points?person_id=303264&amp;year=2019&amp;type=national&amp;d=6","Results")</f>
        <v/>
      </c>
    </row>
    <row r="61" spans="1:5">
      <c r="A61" t="s">
        <v>225</v>
      </c>
      <c r="B61" t="s">
        <v>4244</v>
      </c>
      <c r="C61" t="s">
        <v>80</v>
      </c>
      <c r="D61" t="s">
        <v>63</v>
      </c>
      <c r="E61">
        <f>HYPERLINK("https://www.britishcycling.org.uk/points?person_id=736104&amp;year=2019&amp;type=national&amp;d=6","Results")</f>
        <v/>
      </c>
    </row>
    <row r="62" spans="1:5">
      <c r="A62" t="s">
        <v>228</v>
      </c>
      <c r="B62" t="s">
        <v>4245</v>
      </c>
      <c r="C62" t="s">
        <v>170</v>
      </c>
      <c r="D62" t="s">
        <v>59</v>
      </c>
      <c r="E62">
        <f>HYPERLINK("https://www.britishcycling.org.uk/points?person_id=322897&amp;year=2019&amp;type=national&amp;d=6","Results")</f>
        <v/>
      </c>
    </row>
    <row r="63" spans="1:5">
      <c r="A63" t="s">
        <v>232</v>
      </c>
      <c r="B63" t="s">
        <v>4246</v>
      </c>
      <c r="C63" t="s">
        <v>33</v>
      </c>
      <c r="D63" t="s">
        <v>59</v>
      </c>
      <c r="E63">
        <f>HYPERLINK("https://www.britishcycling.org.uk/points?person_id=313450&amp;year=2019&amp;type=national&amp;d=6","Results")</f>
        <v/>
      </c>
    </row>
    <row r="64" spans="1:5">
      <c r="A64" t="s">
        <v>236</v>
      </c>
      <c r="B64" t="s">
        <v>4247</v>
      </c>
      <c r="C64" t="s">
        <v>514</v>
      </c>
      <c r="D64" t="s">
        <v>51</v>
      </c>
      <c r="E64">
        <f>HYPERLINK("https://www.britishcycling.org.uk/points?person_id=221783&amp;year=2019&amp;type=national&amp;d=6","Results")</f>
        <v/>
      </c>
    </row>
    <row r="65" spans="1:5">
      <c r="A65" t="s">
        <v>239</v>
      </c>
      <c r="B65" t="s">
        <v>4248</v>
      </c>
      <c r="C65" t="s">
        <v>230</v>
      </c>
      <c r="D65" t="s">
        <v>47</v>
      </c>
      <c r="E65">
        <f>HYPERLINK("https://www.britishcycling.org.uk/points?person_id=513127&amp;year=2019&amp;type=national&amp;d=6","Results")</f>
        <v/>
      </c>
    </row>
    <row r="66" spans="1:5">
      <c r="A66" t="s">
        <v>241</v>
      </c>
      <c r="B66" t="s">
        <v>4249</v>
      </c>
      <c r="C66" t="s">
        <v>1082</v>
      </c>
      <c r="D66" t="s">
        <v>47</v>
      </c>
      <c r="E66">
        <f>HYPERLINK("https://www.britishcycling.org.uk/points?person_id=216707&amp;year=2019&amp;type=national&amp;d=6","Results")</f>
        <v/>
      </c>
    </row>
    <row r="67" spans="1:5">
      <c r="A67" t="s">
        <v>244</v>
      </c>
      <c r="B67" t="s">
        <v>4250</v>
      </c>
      <c r="C67" t="s">
        <v>615</v>
      </c>
      <c r="D67" t="s">
        <v>47</v>
      </c>
      <c r="E67">
        <f>HYPERLINK("https://www.britishcycling.org.uk/points?person_id=669661&amp;year=2019&amp;type=national&amp;d=6","Results")</f>
        <v/>
      </c>
    </row>
    <row r="68" spans="1:5">
      <c r="A68" t="s">
        <v>247</v>
      </c>
      <c r="B68" t="s">
        <v>4251</v>
      </c>
      <c r="C68" t="s">
        <v>167</v>
      </c>
      <c r="D68" t="s">
        <v>43</v>
      </c>
      <c r="E68">
        <f>HYPERLINK("https://www.britishcycling.org.uk/points?person_id=383767&amp;year=2019&amp;type=national&amp;d=6","Results")</f>
        <v/>
      </c>
    </row>
    <row r="69" spans="1:5">
      <c r="A69" t="s">
        <v>250</v>
      </c>
      <c r="B69" t="s">
        <v>4252</v>
      </c>
      <c r="C69" t="s">
        <v>592</v>
      </c>
      <c r="D69" t="s">
        <v>43</v>
      </c>
      <c r="E69">
        <f>HYPERLINK("https://www.britishcycling.org.uk/points?person_id=268086&amp;year=2019&amp;type=national&amp;d=6","Results")</f>
        <v/>
      </c>
    </row>
    <row r="70" spans="1:5">
      <c r="A70" t="s">
        <v>254</v>
      </c>
      <c r="B70" t="s">
        <v>4253</v>
      </c>
      <c r="C70" t="s">
        <v>299</v>
      </c>
      <c r="D70" t="s">
        <v>39</v>
      </c>
      <c r="E70">
        <f>HYPERLINK("https://www.britishcycling.org.uk/points?person_id=838175&amp;year=2019&amp;type=national&amp;d=6","Results")</f>
        <v/>
      </c>
    </row>
    <row r="71" spans="1:5">
      <c r="A71" t="s">
        <v>257</v>
      </c>
      <c r="B71" t="s">
        <v>4254</v>
      </c>
      <c r="C71" t="s">
        <v>324</v>
      </c>
      <c r="D71" t="s">
        <v>39</v>
      </c>
      <c r="E71">
        <f>HYPERLINK("https://www.britishcycling.org.uk/points?person_id=941960&amp;year=2019&amp;type=national&amp;d=6","Results")</f>
        <v/>
      </c>
    </row>
    <row r="72" spans="1:5">
      <c r="A72" t="s">
        <v>260</v>
      </c>
      <c r="B72" t="s">
        <v>4255</v>
      </c>
      <c r="C72" t="s">
        <v>636</v>
      </c>
      <c r="D72" t="s">
        <v>39</v>
      </c>
      <c r="E72">
        <f>HYPERLINK("https://www.britishcycling.org.uk/points?person_id=926022&amp;year=2019&amp;type=national&amp;d=6","Results")</f>
        <v/>
      </c>
    </row>
    <row r="73" spans="1:5">
      <c r="A73" t="s">
        <v>264</v>
      </c>
      <c r="B73" t="s">
        <v>4256</v>
      </c>
      <c r="C73" t="s">
        <v>272</v>
      </c>
      <c r="D73" t="s">
        <v>39</v>
      </c>
      <c r="E73">
        <f>HYPERLINK("https://www.britishcycling.org.uk/points?person_id=263990&amp;year=2019&amp;type=national&amp;d=6","Results")</f>
        <v/>
      </c>
    </row>
    <row r="74" spans="1:5">
      <c r="A74" t="s">
        <v>267</v>
      </c>
      <c r="B74" t="s">
        <v>4257</v>
      </c>
      <c r="C74" t="s">
        <v>45</v>
      </c>
      <c r="D74" t="s">
        <v>35</v>
      </c>
      <c r="E74">
        <f>HYPERLINK("https://www.britishcycling.org.uk/points?person_id=416731&amp;year=2019&amp;type=national&amp;d=6","Results")</f>
        <v/>
      </c>
    </row>
    <row r="75" spans="1:5">
      <c r="A75" t="s">
        <v>270</v>
      </c>
      <c r="B75" t="s">
        <v>4258</v>
      </c>
      <c r="C75" t="s">
        <v>57</v>
      </c>
      <c r="D75" t="s">
        <v>35</v>
      </c>
      <c r="E75">
        <f>HYPERLINK("https://www.britishcycling.org.uk/points?person_id=249178&amp;year=2019&amp;type=national&amp;d=6","Results")</f>
        <v/>
      </c>
    </row>
    <row r="76" spans="1:5">
      <c r="A76" t="s">
        <v>274</v>
      </c>
      <c r="B76" t="s">
        <v>4259</v>
      </c>
      <c r="C76" t="s">
        <v>1251</v>
      </c>
      <c r="D76" t="s">
        <v>35</v>
      </c>
      <c r="E76">
        <f>HYPERLINK("https://www.britishcycling.org.uk/points?person_id=655145&amp;year=2019&amp;type=national&amp;d=6","Results")</f>
        <v/>
      </c>
    </row>
    <row r="77" spans="1:5">
      <c r="A77" t="s">
        <v>277</v>
      </c>
      <c r="B77" t="s">
        <v>4260</v>
      </c>
      <c r="C77" t="s">
        <v>2608</v>
      </c>
      <c r="D77" t="s">
        <v>31</v>
      </c>
      <c r="E77">
        <f>HYPERLINK("https://www.britishcycling.org.uk/points?person_id=408345&amp;year=2019&amp;type=national&amp;d=6","Results")</f>
        <v/>
      </c>
    </row>
    <row r="78" spans="1:5">
      <c r="A78" t="s">
        <v>281</v>
      </c>
      <c r="B78" t="s">
        <v>4261</v>
      </c>
      <c r="C78" t="s">
        <v>1160</v>
      </c>
      <c r="D78" t="s">
        <v>31</v>
      </c>
      <c r="E78">
        <f>HYPERLINK("https://www.britishcycling.org.uk/points?person_id=101565&amp;year=2019&amp;type=national&amp;d=6","Results")</f>
        <v/>
      </c>
    </row>
    <row r="79" spans="1:5">
      <c r="A79" t="s">
        <v>285</v>
      </c>
      <c r="B79" t="s">
        <v>4262</v>
      </c>
      <c r="C79" t="s">
        <v>125</v>
      </c>
      <c r="D79" t="s">
        <v>31</v>
      </c>
      <c r="E79">
        <f>HYPERLINK("https://www.britishcycling.org.uk/points?person_id=249761&amp;year=2019&amp;type=national&amp;d=6","Results")</f>
        <v/>
      </c>
    </row>
    <row r="80" spans="1:5">
      <c r="A80" t="s">
        <v>289</v>
      </c>
      <c r="B80" t="s">
        <v>4263</v>
      </c>
      <c r="C80" t="s">
        <v>331</v>
      </c>
      <c r="D80" t="s">
        <v>31</v>
      </c>
      <c r="E80">
        <f>HYPERLINK("https://www.britishcycling.org.uk/points?person_id=222128&amp;year=2019&amp;type=national&amp;d=6","Results")</f>
        <v/>
      </c>
    </row>
    <row r="81" spans="1:5">
      <c r="A81" t="s">
        <v>293</v>
      </c>
      <c r="B81" t="s">
        <v>4264</v>
      </c>
      <c r="C81" t="s">
        <v>2524</v>
      </c>
      <c r="D81" t="s">
        <v>31</v>
      </c>
      <c r="E81">
        <f>HYPERLINK("https://www.britishcycling.org.uk/points?person_id=463061&amp;year=2019&amp;type=national&amp;d=6","Results")</f>
        <v/>
      </c>
    </row>
    <row r="82" spans="1:5">
      <c r="A82" t="s">
        <v>297</v>
      </c>
      <c r="B82" t="s">
        <v>4265</v>
      </c>
      <c r="C82" t="s">
        <v>212</v>
      </c>
      <c r="D82" t="s">
        <v>31</v>
      </c>
      <c r="E82">
        <f>HYPERLINK("https://www.britishcycling.org.uk/points?person_id=804227&amp;year=2019&amp;type=national&amp;d=6","Results")</f>
        <v/>
      </c>
    </row>
    <row r="83" spans="1:5">
      <c r="A83" t="s">
        <v>301</v>
      </c>
      <c r="B83" t="s">
        <v>4266</v>
      </c>
      <c r="C83" t="s">
        <v>1160</v>
      </c>
      <c r="D83" t="s">
        <v>28</v>
      </c>
      <c r="E83">
        <f>HYPERLINK("https://www.britishcycling.org.uk/points?person_id=539187&amp;year=2019&amp;type=national&amp;d=6","Results")</f>
        <v/>
      </c>
    </row>
    <row r="84" spans="1:5">
      <c r="A84" t="s">
        <v>304</v>
      </c>
      <c r="B84" t="s">
        <v>4267</v>
      </c>
      <c r="C84" t="s"/>
      <c r="D84" t="s">
        <v>28</v>
      </c>
      <c r="E84">
        <f>HYPERLINK("https://www.britishcycling.org.uk/points?person_id=611989&amp;year=2019&amp;type=national&amp;d=6","Results")</f>
        <v/>
      </c>
    </row>
    <row r="85" spans="1:5">
      <c r="A85" t="s">
        <v>307</v>
      </c>
      <c r="B85" t="s">
        <v>4268</v>
      </c>
      <c r="C85" t="s">
        <v>45</v>
      </c>
      <c r="D85" t="s">
        <v>25</v>
      </c>
      <c r="E85">
        <f>HYPERLINK("https://www.britishcycling.org.uk/points?person_id=425577&amp;year=2019&amp;type=national&amp;d=6","Results")</f>
        <v/>
      </c>
    </row>
    <row r="86" spans="1:5">
      <c r="A86" t="s">
        <v>310</v>
      </c>
      <c r="B86" t="s">
        <v>4269</v>
      </c>
      <c r="C86" t="s">
        <v>186</v>
      </c>
      <c r="D86" t="s">
        <v>25</v>
      </c>
      <c r="E86">
        <f>HYPERLINK("https://www.britishcycling.org.uk/points?person_id=601044&amp;year=2019&amp;type=national&amp;d=6","Results")</f>
        <v/>
      </c>
    </row>
    <row r="87" spans="1:5">
      <c r="A87" t="s">
        <v>313</v>
      </c>
      <c r="B87" t="s">
        <v>4270</v>
      </c>
      <c r="C87" t="s">
        <v>174</v>
      </c>
      <c r="D87" t="s">
        <v>25</v>
      </c>
      <c r="E87">
        <f>HYPERLINK("https://www.britishcycling.org.uk/points?person_id=381048&amp;year=2019&amp;type=national&amp;d=6","Results")</f>
        <v/>
      </c>
    </row>
    <row r="88" spans="1:5">
      <c r="A88" t="s">
        <v>317</v>
      </c>
      <c r="B88" t="s">
        <v>4271</v>
      </c>
      <c r="C88" t="s">
        <v>961</v>
      </c>
      <c r="D88" t="s">
        <v>25</v>
      </c>
      <c r="E88">
        <f>HYPERLINK("https://www.britishcycling.org.uk/points?person_id=746782&amp;year=2019&amp;type=national&amp;d=6","Results")</f>
        <v/>
      </c>
    </row>
    <row r="89" spans="1:5">
      <c r="A89" t="s">
        <v>319</v>
      </c>
      <c r="B89" t="s">
        <v>4272</v>
      </c>
      <c r="C89" t="s">
        <v>287</v>
      </c>
      <c r="D89" t="s">
        <v>25</v>
      </c>
      <c r="E89">
        <f>HYPERLINK("https://www.britishcycling.org.uk/points?person_id=336712&amp;year=2019&amp;type=national&amp;d=6","Results")</f>
        <v/>
      </c>
    </row>
    <row r="90" spans="1:5">
      <c r="A90" t="s">
        <v>322</v>
      </c>
      <c r="B90" t="s">
        <v>4273</v>
      </c>
      <c r="C90" t="s">
        <v>559</v>
      </c>
      <c r="D90" t="s">
        <v>21</v>
      </c>
      <c r="E90">
        <f>HYPERLINK("https://www.britishcycling.org.uk/points?person_id=396705&amp;year=2019&amp;type=national&amp;d=6","Results")</f>
        <v/>
      </c>
    </row>
    <row r="91" spans="1:5">
      <c r="A91" t="s">
        <v>326</v>
      </c>
      <c r="B91" t="s">
        <v>4274</v>
      </c>
      <c r="C91" t="s">
        <v>575</v>
      </c>
      <c r="D91" t="s">
        <v>21</v>
      </c>
      <c r="E91">
        <f>HYPERLINK("https://www.britishcycling.org.uk/points?person_id=753388&amp;year=2019&amp;type=national&amp;d=6","Results")</f>
        <v/>
      </c>
    </row>
    <row r="92" spans="1:5">
      <c r="A92" t="s">
        <v>329</v>
      </c>
      <c r="B92" t="s">
        <v>4275</v>
      </c>
      <c r="C92" t="s">
        <v>101</v>
      </c>
      <c r="D92" t="s">
        <v>17</v>
      </c>
      <c r="E92">
        <f>HYPERLINK("https://www.britishcycling.org.uk/points?person_id=287578&amp;year=2019&amp;type=national&amp;d=6","Results")</f>
        <v/>
      </c>
    </row>
    <row r="93" spans="1:5">
      <c r="A93" t="s">
        <v>333</v>
      </c>
      <c r="B93" t="s">
        <v>4276</v>
      </c>
      <c r="C93" t="s">
        <v>358</v>
      </c>
      <c r="D93" t="s">
        <v>17</v>
      </c>
      <c r="E93">
        <f>HYPERLINK("https://www.britishcycling.org.uk/points?person_id=520438&amp;year=2019&amp;type=national&amp;d=6","Results")</f>
        <v/>
      </c>
    </row>
    <row r="94" spans="1:5">
      <c r="A94" t="s">
        <v>337</v>
      </c>
      <c r="B94" t="s">
        <v>4277</v>
      </c>
      <c r="C94" t="s">
        <v>1082</v>
      </c>
      <c r="D94" t="s">
        <v>13</v>
      </c>
      <c r="E94">
        <f>HYPERLINK("https://www.britishcycling.org.uk/points?person_id=235211&amp;year=2019&amp;type=national&amp;d=6","Results")</f>
        <v/>
      </c>
    </row>
    <row r="95" spans="1:5">
      <c r="A95" t="s">
        <v>341</v>
      </c>
      <c r="B95" t="s">
        <v>4278</v>
      </c>
      <c r="C95" t="s">
        <v>817</v>
      </c>
      <c r="D95" t="s">
        <v>13</v>
      </c>
      <c r="E95">
        <f>HYPERLINK("https://www.britishcycling.org.uk/points?person_id=522391&amp;year=2019&amp;type=national&amp;d=6","Results")</f>
        <v/>
      </c>
    </row>
    <row r="96" spans="1:5">
      <c r="A96" t="s">
        <v>344</v>
      </c>
      <c r="B96" t="s">
        <v>4279</v>
      </c>
      <c r="C96" t="s">
        <v>796</v>
      </c>
      <c r="D96" t="s">
        <v>13</v>
      </c>
      <c r="E96">
        <f>HYPERLINK("https://www.britishcycling.org.uk/points?person_id=249496&amp;year=2019&amp;type=national&amp;d=6","Results")</f>
        <v/>
      </c>
    </row>
    <row r="97" spans="1:5">
      <c r="A97" t="s">
        <v>347</v>
      </c>
      <c r="B97" t="s">
        <v>4280</v>
      </c>
      <c r="C97" t="s">
        <v>33</v>
      </c>
      <c r="D97" t="s">
        <v>13</v>
      </c>
      <c r="E97">
        <f>HYPERLINK("https://www.britishcycling.org.uk/points?person_id=451453&amp;year=2019&amp;type=national&amp;d=6","Results")</f>
        <v/>
      </c>
    </row>
    <row r="98" spans="1:5">
      <c r="A98" t="s">
        <v>350</v>
      </c>
      <c r="B98" t="s">
        <v>4281</v>
      </c>
      <c r="C98" t="s">
        <v>113</v>
      </c>
      <c r="D98" t="s">
        <v>13</v>
      </c>
      <c r="E98">
        <f>HYPERLINK("https://www.britishcycling.org.uk/points?person_id=548540&amp;year=2019&amp;type=national&amp;d=6","Results")</f>
        <v/>
      </c>
    </row>
    <row r="99" spans="1:5">
      <c r="A99" t="s">
        <v>352</v>
      </c>
      <c r="B99" t="s">
        <v>4282</v>
      </c>
      <c r="C99" t="s">
        <v>324</v>
      </c>
      <c r="D99" t="s">
        <v>13</v>
      </c>
      <c r="E99">
        <f>HYPERLINK("https://www.britishcycling.org.uk/points?person_id=707605&amp;year=2019&amp;type=national&amp;d=6","Results")</f>
        <v/>
      </c>
    </row>
    <row r="100" spans="1:5">
      <c r="A100" t="s">
        <v>349</v>
      </c>
      <c r="B100" t="s">
        <v>4283</v>
      </c>
      <c r="C100" t="s">
        <v>4284</v>
      </c>
      <c r="D100" t="s">
        <v>9</v>
      </c>
      <c r="E100">
        <f>HYPERLINK("https://www.britishcycling.org.uk/points?person_id=727915&amp;year=2019&amp;type=national&amp;d=6","Results")</f>
        <v/>
      </c>
    </row>
    <row r="101" spans="1:5">
      <c r="A101" t="s">
        <v>356</v>
      </c>
      <c r="B101" t="s">
        <v>4285</v>
      </c>
      <c r="C101" t="s">
        <v>139</v>
      </c>
      <c r="D101" t="s">
        <v>9</v>
      </c>
      <c r="E101">
        <f>HYPERLINK("https://www.britishcycling.org.uk/points?person_id=408027&amp;year=2019&amp;type=national&amp;d=6","Results")</f>
        <v/>
      </c>
    </row>
    <row r="102" spans="1:5">
      <c r="A102" t="s">
        <v>359</v>
      </c>
      <c r="B102" t="s">
        <v>4286</v>
      </c>
      <c r="C102" t="s">
        <v>551</v>
      </c>
      <c r="D102" t="s">
        <v>9</v>
      </c>
      <c r="E102">
        <f>HYPERLINK("https://www.britishcycling.org.uk/points?person_id=296851&amp;year=2019&amp;type=national&amp;d=6","Results")</f>
        <v/>
      </c>
    </row>
    <row r="103" spans="1:5">
      <c r="A103" t="s">
        <v>343</v>
      </c>
      <c r="B103" t="s">
        <v>4287</v>
      </c>
      <c r="C103" t="s">
        <v>194</v>
      </c>
      <c r="D103" t="s">
        <v>9</v>
      </c>
      <c r="E103">
        <f>HYPERLINK("https://www.britishcycling.org.uk/points?person_id=757308&amp;year=2019&amp;type=national&amp;d=6","Results")</f>
        <v/>
      </c>
    </row>
    <row r="104" spans="1:5">
      <c r="A104" t="s">
        <v>364</v>
      </c>
      <c r="B104" t="s">
        <v>4288</v>
      </c>
      <c r="C104" t="s">
        <v>53</v>
      </c>
      <c r="D104" t="s">
        <v>9</v>
      </c>
      <c r="E104">
        <f>HYPERLINK("https://www.britishcycling.org.uk/points?person_id=250324&amp;year=2019&amp;type=national&amp;d=6","Results")</f>
        <v/>
      </c>
    </row>
    <row r="105" spans="1:5">
      <c r="A105" t="s">
        <v>340</v>
      </c>
      <c r="B105" t="s">
        <v>4289</v>
      </c>
      <c r="C105" t="s">
        <v>856</v>
      </c>
      <c r="D105" t="s">
        <v>9</v>
      </c>
      <c r="E105">
        <f>HYPERLINK("https://www.britishcycling.org.uk/points?person_id=880674&amp;year=2019&amp;type=national&amp;d=6","Results")</f>
        <v/>
      </c>
    </row>
    <row r="106" spans="1:5">
      <c r="A106" t="s">
        <v>368</v>
      </c>
      <c r="B106" t="s">
        <v>4290</v>
      </c>
      <c r="C106" t="s">
        <v>1825</v>
      </c>
      <c r="D106" t="s">
        <v>9</v>
      </c>
      <c r="E106">
        <f>HYPERLINK("https://www.britishcycling.org.uk/points?person_id=942672&amp;year=2019&amp;type=national&amp;d=6","Results")</f>
        <v/>
      </c>
    </row>
    <row r="107" spans="1:5">
      <c r="A107" t="s">
        <v>370</v>
      </c>
      <c r="B107" t="s">
        <v>4291</v>
      </c>
      <c r="C107" t="s">
        <v>272</v>
      </c>
      <c r="D107" t="s">
        <v>9</v>
      </c>
      <c r="E107">
        <f>HYPERLINK("https://www.britishcycling.org.uk/points?person_id=173872&amp;year=2019&amp;type=national&amp;d=6","Results")</f>
        <v/>
      </c>
    </row>
    <row r="108" spans="1:5">
      <c r="A108" t="s">
        <v>372</v>
      </c>
      <c r="B108" t="s">
        <v>4292</v>
      </c>
      <c r="C108" t="s">
        <v>139</v>
      </c>
      <c r="D108" t="s">
        <v>5</v>
      </c>
      <c r="E108">
        <f>HYPERLINK("https://www.britishcycling.org.uk/points?person_id=870667&amp;year=2019&amp;type=national&amp;d=6","Results")</f>
        <v/>
      </c>
    </row>
    <row r="109" spans="1:5">
      <c r="A109" t="s">
        <v>374</v>
      </c>
      <c r="B109" t="s">
        <v>4293</v>
      </c>
      <c r="C109" t="s">
        <v>167</v>
      </c>
      <c r="D109" t="s">
        <v>5</v>
      </c>
      <c r="E109">
        <f>HYPERLINK("https://www.britishcycling.org.uk/points?person_id=396292&amp;year=2019&amp;type=national&amp;d=6","Results")</f>
        <v/>
      </c>
    </row>
    <row r="110" spans="1:5">
      <c r="A110" t="s">
        <v>377</v>
      </c>
      <c r="B110" t="s">
        <v>4294</v>
      </c>
      <c r="C110" t="s">
        <v>1056</v>
      </c>
      <c r="D110" t="s">
        <v>5</v>
      </c>
      <c r="E110">
        <f>HYPERLINK("https://www.britishcycling.org.uk/points?person_id=753811&amp;year=2019&amp;type=national&amp;d=6","Results")</f>
        <v/>
      </c>
    </row>
    <row r="111" spans="1:5">
      <c r="A111" t="s">
        <v>336</v>
      </c>
      <c r="B111" t="s">
        <v>4295</v>
      </c>
      <c r="C111" t="s"/>
      <c r="D111" t="s">
        <v>5</v>
      </c>
      <c r="E111">
        <f>HYPERLINK("https://www.britishcycling.org.uk/points?person_id=943251&amp;year=2019&amp;type=national&amp;d=6","Results")</f>
        <v/>
      </c>
    </row>
    <row r="112" spans="1:5">
      <c r="A112" t="s">
        <v>332</v>
      </c>
      <c r="B112" t="s">
        <v>4296</v>
      </c>
      <c r="C112" t="s">
        <v>3415</v>
      </c>
      <c r="D112" t="s">
        <v>5</v>
      </c>
      <c r="E112">
        <f>HYPERLINK("https://www.britishcycling.org.uk/points?person_id=824266&amp;year=2019&amp;type=national&amp;d=6","Results")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2020-02-28T17:00:45Z</dcterms:created>
  <dcterms:modified xsi:type="dcterms:W3CDTF">2020-02-28T17:00:45Z</dcterms:modified>
</cp:coreProperties>
</file>