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-Youth U14" sheetId="1" state="visible" r:id="rId1"/>
    <sheet name="M-Youth U16" sheetId="2" state="visible" r:id="rId2"/>
    <sheet name="M-Junior" sheetId="3" state="visible" r:id="rId3"/>
    <sheet name="M-Senior" sheetId="4" state="visible" r:id="rId4"/>
    <sheet name="M-Vet 40-49" sheetId="5" state="visible" r:id="rId5"/>
    <sheet name="M-Vet 50-59" sheetId="6" state="visible" r:id="rId6"/>
    <sheet name="M-Vet 60+" sheetId="7" state="visible" r:id="rId7"/>
    <sheet name="F-Youth U14" sheetId="8" state="visible" r:id="rId8"/>
    <sheet name="F-Youth U16" sheetId="9" state="visible" r:id="rId9"/>
    <sheet name="F-Junior" sheetId="10" state="visible" r:id="rId10"/>
    <sheet name="F-Senior" sheetId="11" state="visible" r:id="rId11"/>
    <sheet name="F-Vet 40-49" sheetId="12" state="visible" r:id="rId12"/>
    <sheet name="F-Vet 50-59" sheetId="13" state="visible" r:id="rId13"/>
    <sheet name="F-Vet 60+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9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Leon Atkins</t>
        </is>
      </c>
      <c r="C2" t="inlineStr">
        <is>
          <t>Welwyn Wheelers CC</t>
        </is>
      </c>
      <c r="D2" t="inlineStr">
        <is>
          <t>840</t>
        </is>
      </c>
      <c r="E2">
        <f>HYPERLINK("https://www.britishcycling.org.uk/points?person_id=585004&amp;year=2021&amp;type=national&amp;d=6","Results")</f>
        <v/>
      </c>
    </row>
    <row r="3">
      <c r="A3" t="inlineStr">
        <is>
          <t>2</t>
        </is>
      </c>
      <c r="B3" t="inlineStr">
        <is>
          <t>Albie Jones</t>
        </is>
      </c>
      <c r="C3" t="inlineStr">
        <is>
          <t>North Cheshire Clarion</t>
        </is>
      </c>
      <c r="D3" t="inlineStr">
        <is>
          <t>690</t>
        </is>
      </c>
      <c r="E3">
        <f>HYPERLINK("https://www.britishcycling.org.uk/points?person_id=669527&amp;year=2021&amp;type=national&amp;d=6","Results")</f>
        <v/>
      </c>
    </row>
    <row r="4">
      <c r="A4" t="inlineStr">
        <is>
          <t>3</t>
        </is>
      </c>
      <c r="B4" t="inlineStr">
        <is>
          <t>Jody Mills</t>
        </is>
      </c>
      <c r="C4" t="inlineStr">
        <is>
          <t>East Bradford Race Team</t>
        </is>
      </c>
      <c r="D4" t="inlineStr">
        <is>
          <t>670</t>
        </is>
      </c>
      <c r="E4">
        <f>HYPERLINK("https://www.britishcycling.org.uk/points?person_id=391866&amp;year=2021&amp;type=national&amp;d=6","Results")</f>
        <v/>
      </c>
    </row>
    <row r="5">
      <c r="A5" t="inlineStr">
        <is>
          <t>4</t>
        </is>
      </c>
      <c r="B5" t="inlineStr">
        <is>
          <t>Jacob Steed</t>
        </is>
      </c>
      <c r="C5" t="inlineStr">
        <is>
          <t>Sherwood Pines Cycles Forme</t>
        </is>
      </c>
      <c r="D5" t="inlineStr">
        <is>
          <t>645</t>
        </is>
      </c>
      <c r="E5">
        <f>HYPERLINK("https://www.britishcycling.org.uk/points?person_id=309236&amp;year=2021&amp;type=national&amp;d=6","Results")</f>
        <v/>
      </c>
    </row>
    <row r="6">
      <c r="A6" t="inlineStr">
        <is>
          <t>5</t>
        </is>
      </c>
      <c r="B6" t="inlineStr">
        <is>
          <t>Dillon Preece</t>
        </is>
      </c>
      <c r="C6" t="inlineStr">
        <is>
          <t>Clancy Briggs Cycling Academy</t>
        </is>
      </c>
      <c r="D6" t="inlineStr">
        <is>
          <t>584</t>
        </is>
      </c>
      <c r="E6">
        <f>HYPERLINK("https://www.britishcycling.org.uk/points?person_id=292890&amp;year=2021&amp;type=national&amp;d=6","Results")</f>
        <v/>
      </c>
    </row>
    <row r="7">
      <c r="A7" t="inlineStr">
        <is>
          <t>6</t>
        </is>
      </c>
      <c r="B7" t="inlineStr">
        <is>
          <t>Oliver Beale</t>
        </is>
      </c>
      <c r="C7" t="inlineStr">
        <is>
          <t>Welwyn Wheelers CC</t>
        </is>
      </c>
      <c r="D7" t="inlineStr">
        <is>
          <t>561</t>
        </is>
      </c>
      <c r="E7">
        <f>HYPERLINK("https://www.britishcycling.org.uk/points?person_id=618946&amp;year=2021&amp;type=national&amp;d=6","Results")</f>
        <v/>
      </c>
    </row>
    <row r="8">
      <c r="A8" t="inlineStr">
        <is>
          <t>7</t>
        </is>
      </c>
      <c r="B8" t="inlineStr">
        <is>
          <t>George Cooper</t>
        </is>
      </c>
      <c r="C8" t="inlineStr">
        <is>
          <t>Sherwood Pines Cycles Forme</t>
        </is>
      </c>
      <c r="D8" t="inlineStr">
        <is>
          <t>482</t>
        </is>
      </c>
      <c r="E8">
        <f>HYPERLINK("https://www.britishcycling.org.uk/points?person_id=294832&amp;year=2021&amp;type=national&amp;d=6","Results")</f>
        <v/>
      </c>
    </row>
    <row r="9">
      <c r="A9" t="inlineStr">
        <is>
          <t>8</t>
        </is>
      </c>
      <c r="B9" t="inlineStr">
        <is>
          <t>Finley Wilkinson</t>
        </is>
      </c>
      <c r="C9" t="inlineStr">
        <is>
          <t>East Bradford Race Team</t>
        </is>
      </c>
      <c r="D9" t="inlineStr">
        <is>
          <t>372</t>
        </is>
      </c>
      <c r="E9">
        <f>HYPERLINK("https://www.britishcycling.org.uk/points?person_id=330261&amp;year=2021&amp;type=national&amp;d=6","Results")</f>
        <v/>
      </c>
    </row>
    <row r="10">
      <c r="A10" t="inlineStr">
        <is>
          <t>9</t>
        </is>
      </c>
      <c r="B10" t="inlineStr">
        <is>
          <t>Arthur Limb</t>
        </is>
      </c>
      <c r="C10" t="inlineStr">
        <is>
          <t>Matlock CC</t>
        </is>
      </c>
      <c r="D10" t="inlineStr">
        <is>
          <t>371</t>
        </is>
      </c>
      <c r="E10">
        <f>HYPERLINK("https://www.britishcycling.org.uk/points?person_id=613155&amp;year=2021&amp;type=national&amp;d=6","Results")</f>
        <v/>
      </c>
    </row>
    <row r="11">
      <c r="A11" t="inlineStr">
        <is>
          <t>10</t>
        </is>
      </c>
      <c r="B11" t="inlineStr">
        <is>
          <t>Noah White</t>
        </is>
      </c>
      <c r="C11" t="inlineStr">
        <is>
          <t>Mid Shropshire Wheelers</t>
        </is>
      </c>
      <c r="D11" t="inlineStr">
        <is>
          <t>360</t>
        </is>
      </c>
      <c r="E11">
        <f>HYPERLINK("https://www.britishcycling.org.uk/points?person_id=456449&amp;year=2021&amp;type=national&amp;d=6","Results")</f>
        <v/>
      </c>
    </row>
    <row r="12">
      <c r="A12" t="inlineStr">
        <is>
          <t>11</t>
        </is>
      </c>
      <c r="B12" t="inlineStr">
        <is>
          <t>Harrison Evans</t>
        </is>
      </c>
      <c r="C12" t="inlineStr">
        <is>
          <t>Sleaford Wheelers Cycling Club</t>
        </is>
      </c>
      <c r="D12" t="inlineStr">
        <is>
          <t>338</t>
        </is>
      </c>
      <c r="E12">
        <f>HYPERLINK("https://www.britishcycling.org.uk/points?person_id=735594&amp;year=2021&amp;type=national&amp;d=6","Results")</f>
        <v/>
      </c>
    </row>
    <row r="13">
      <c r="A13" t="inlineStr">
        <is>
          <t>12</t>
        </is>
      </c>
      <c r="B13" t="inlineStr">
        <is>
          <t>Finn Davies</t>
        </is>
      </c>
      <c r="C13" t="inlineStr">
        <is>
          <t>The Bulls</t>
        </is>
      </c>
      <c r="D13" t="inlineStr">
        <is>
          <t>335</t>
        </is>
      </c>
      <c r="E13">
        <f>HYPERLINK("https://www.britishcycling.org.uk/points?person_id=383907&amp;year=2021&amp;type=national&amp;d=6","Results")</f>
        <v/>
      </c>
    </row>
    <row r="14">
      <c r="A14" t="inlineStr">
        <is>
          <t>13</t>
        </is>
      </c>
      <c r="B14" t="inlineStr">
        <is>
          <t>Daniel Thompson</t>
        </is>
      </c>
      <c r="C14" t="inlineStr">
        <is>
          <t>Cleveland Wheelers CC</t>
        </is>
      </c>
      <c r="D14" t="inlineStr">
        <is>
          <t>328</t>
        </is>
      </c>
      <c r="E14">
        <f>HYPERLINK("https://www.britishcycling.org.uk/points?person_id=381833&amp;year=2021&amp;type=national&amp;d=6","Results")</f>
        <v/>
      </c>
    </row>
    <row r="15">
      <c r="A15" t="inlineStr">
        <is>
          <t>14</t>
        </is>
      </c>
      <c r="B15" t="inlineStr">
        <is>
          <t>Aaron Cocker</t>
        </is>
      </c>
      <c r="C15" t="inlineStr">
        <is>
          <t>Clancy Briggs Cycling Academy</t>
        </is>
      </c>
      <c r="D15" t="inlineStr">
        <is>
          <t>319</t>
        </is>
      </c>
      <c r="E15">
        <f>HYPERLINK("https://www.britishcycling.org.uk/points?person_id=562007&amp;year=2021&amp;type=national&amp;d=6","Results")</f>
        <v/>
      </c>
    </row>
    <row r="16">
      <c r="A16" t="inlineStr">
        <is>
          <t>15</t>
        </is>
      </c>
      <c r="B16" t="inlineStr">
        <is>
          <t>Xander Graham</t>
        </is>
      </c>
      <c r="C16" t="inlineStr">
        <is>
          <t>Team HUP</t>
        </is>
      </c>
      <c r="D16" t="inlineStr">
        <is>
          <t>316</t>
        </is>
      </c>
      <c r="E16">
        <f>HYPERLINK("https://www.britishcycling.org.uk/points?person_id=735787&amp;year=2021&amp;type=national&amp;d=6","Results")</f>
        <v/>
      </c>
    </row>
    <row r="17">
      <c r="A17" t="inlineStr">
        <is>
          <t>16</t>
        </is>
      </c>
      <c r="B17" t="inlineStr">
        <is>
          <t>Harrison Hendy</t>
        </is>
      </c>
      <c r="C17" t="inlineStr">
        <is>
          <t>Team HUP</t>
        </is>
      </c>
      <c r="D17" t="inlineStr">
        <is>
          <t>299</t>
        </is>
      </c>
      <c r="E17">
        <f>HYPERLINK("https://www.britishcycling.org.uk/points?person_id=537409&amp;year=2021&amp;type=national&amp;d=6","Results")</f>
        <v/>
      </c>
    </row>
    <row r="18">
      <c r="A18" t="inlineStr">
        <is>
          <t>17</t>
        </is>
      </c>
      <c r="B18" t="inlineStr">
        <is>
          <t>Daniel Davies</t>
        </is>
      </c>
      <c r="C18" t="inlineStr">
        <is>
          <t>Maindy Flyers CC</t>
        </is>
      </c>
      <c r="D18" t="inlineStr">
        <is>
          <t>292</t>
        </is>
      </c>
      <c r="E18">
        <f>HYPERLINK("https://www.britishcycling.org.uk/points?person_id=580723&amp;year=2021&amp;type=national&amp;d=6","Results")</f>
        <v/>
      </c>
    </row>
    <row r="19">
      <c r="A19" t="inlineStr">
        <is>
          <t>18</t>
        </is>
      </c>
      <c r="B19" t="inlineStr">
        <is>
          <t>Mark Ketteringham</t>
        </is>
      </c>
      <c r="C19" t="inlineStr">
        <is>
          <t>Harrogate Nova CC</t>
        </is>
      </c>
      <c r="D19" t="inlineStr">
        <is>
          <t>288</t>
        </is>
      </c>
      <c r="E19">
        <f>HYPERLINK("https://www.britishcycling.org.uk/points?person_id=557724&amp;year=2021&amp;type=national&amp;d=6","Results")</f>
        <v/>
      </c>
    </row>
    <row r="20">
      <c r="A20" t="inlineStr">
        <is>
          <t>19</t>
        </is>
      </c>
      <c r="B20" t="inlineStr">
        <is>
          <t>Cameron Annable</t>
        </is>
      </c>
      <c r="C20" t="inlineStr">
        <is>
          <t>Derwentside CC</t>
        </is>
      </c>
      <c r="D20" t="inlineStr">
        <is>
          <t>286</t>
        </is>
      </c>
      <c r="E20">
        <f>HYPERLINK("https://www.britishcycling.org.uk/points?person_id=512582&amp;year=2021&amp;type=national&amp;d=6","Results")</f>
        <v/>
      </c>
    </row>
    <row r="21">
      <c r="A21" t="inlineStr">
        <is>
          <t>20</t>
        </is>
      </c>
      <c r="B21" t="inlineStr">
        <is>
          <t>Thomas Styles</t>
        </is>
      </c>
      <c r="C21" t="inlineStr">
        <is>
          <t>Team Milton Keynes</t>
        </is>
      </c>
      <c r="D21" t="inlineStr">
        <is>
          <t>275</t>
        </is>
      </c>
      <c r="E21">
        <f>HYPERLINK("https://www.britishcycling.org.uk/points?person_id=840530&amp;year=2021&amp;type=national&amp;d=6","Results")</f>
        <v/>
      </c>
    </row>
    <row r="22">
      <c r="A22" t="inlineStr">
        <is>
          <t>21</t>
        </is>
      </c>
      <c r="B22" t="inlineStr">
        <is>
          <t>Cormac Denwood</t>
        </is>
      </c>
      <c r="C22" t="inlineStr">
        <is>
          <t>Harrogate Nova CC</t>
        </is>
      </c>
      <c r="D22" t="inlineStr">
        <is>
          <t>270</t>
        </is>
      </c>
      <c r="E22">
        <f>HYPERLINK("https://www.britishcycling.org.uk/points?person_id=781445&amp;year=2021&amp;type=national&amp;d=6","Results")</f>
        <v/>
      </c>
    </row>
    <row r="23">
      <c r="A23" t="inlineStr">
        <is>
          <t>22</t>
        </is>
      </c>
      <c r="B23" t="inlineStr">
        <is>
          <t>Teddy Taylor</t>
        </is>
      </c>
      <c r="C23" t="inlineStr">
        <is>
          <t>Newport Shropshire CC</t>
        </is>
      </c>
      <c r="D23" t="inlineStr">
        <is>
          <t>268</t>
        </is>
      </c>
      <c r="E23">
        <f>HYPERLINK("https://www.britishcycling.org.uk/points?person_id=686840&amp;year=2021&amp;type=national&amp;d=6","Results")</f>
        <v/>
      </c>
    </row>
    <row r="24">
      <c r="A24" t="inlineStr">
        <is>
          <t>23</t>
        </is>
      </c>
      <c r="B24" t="inlineStr">
        <is>
          <t>Sam Genazzini</t>
        </is>
      </c>
      <c r="C24" t="inlineStr">
        <is>
          <t>Solent Pirates</t>
        </is>
      </c>
      <c r="D24" t="inlineStr">
        <is>
          <t>267</t>
        </is>
      </c>
      <c r="E24">
        <f>HYPERLINK("https://www.britishcycling.org.uk/points?person_id=542708&amp;year=2021&amp;type=national&amp;d=6","Results")</f>
        <v/>
      </c>
    </row>
    <row r="25">
      <c r="A25" t="inlineStr">
        <is>
          <t>24</t>
        </is>
      </c>
      <c r="B25" t="inlineStr">
        <is>
          <t>Luke Trafford</t>
        </is>
      </c>
      <c r="C25" t="inlineStr">
        <is>
          <t>Shibden Cycling Club</t>
        </is>
      </c>
      <c r="D25" t="inlineStr">
        <is>
          <t>267</t>
        </is>
      </c>
      <c r="E25">
        <f>HYPERLINK("https://www.britishcycling.org.uk/points?person_id=754707&amp;year=2021&amp;type=national&amp;d=6","Results")</f>
        <v/>
      </c>
    </row>
    <row r="26">
      <c r="A26" t="inlineStr">
        <is>
          <t>25</t>
        </is>
      </c>
      <c r="B26" t="inlineStr">
        <is>
          <t>Jem Henderson</t>
        </is>
      </c>
      <c r="C26" t="inlineStr">
        <is>
          <t>Hetton Hawks Cycling Club</t>
        </is>
      </c>
      <c r="D26" t="inlineStr">
        <is>
          <t>262</t>
        </is>
      </c>
      <c r="E26">
        <f>HYPERLINK("https://www.britishcycling.org.uk/points?person_id=241827&amp;year=2021&amp;type=national&amp;d=6","Results")</f>
        <v/>
      </c>
    </row>
    <row r="27">
      <c r="A27" t="inlineStr">
        <is>
          <t>26</t>
        </is>
      </c>
      <c r="B27" t="inlineStr">
        <is>
          <t>Charlie Shepherd</t>
        </is>
      </c>
      <c r="C27" t="inlineStr">
        <is>
          <t>Solent Pirates</t>
        </is>
      </c>
      <c r="D27" t="inlineStr">
        <is>
          <t>256</t>
        </is>
      </c>
      <c r="E27">
        <f>HYPERLINK("https://www.britishcycling.org.uk/points?person_id=752651&amp;year=2021&amp;type=national&amp;d=6","Results")</f>
        <v/>
      </c>
    </row>
    <row r="28">
      <c r="A28" t="inlineStr">
        <is>
          <t>27</t>
        </is>
      </c>
      <c r="B28" t="inlineStr">
        <is>
          <t>Murphy Hamilton</t>
        </is>
      </c>
      <c r="C28" t="inlineStr">
        <is>
          <t>Lichfield City CC</t>
        </is>
      </c>
      <c r="D28" t="inlineStr">
        <is>
          <t>249</t>
        </is>
      </c>
      <c r="E28">
        <f>HYPERLINK("https://www.britishcycling.org.uk/points?person_id=535443&amp;year=2021&amp;type=national&amp;d=6","Results")</f>
        <v/>
      </c>
    </row>
    <row r="29">
      <c r="A29" t="inlineStr">
        <is>
          <t>28</t>
        </is>
      </c>
      <c r="B29" t="inlineStr">
        <is>
          <t>Freddie Winkley</t>
        </is>
      </c>
      <c r="C29" t="inlineStr">
        <is>
          <t>Shibden Cycling Club</t>
        </is>
      </c>
      <c r="D29" t="inlineStr">
        <is>
          <t>247</t>
        </is>
      </c>
      <c r="E29">
        <f>HYPERLINK("https://www.britishcycling.org.uk/points?person_id=414838&amp;year=2021&amp;type=national&amp;d=6","Results")</f>
        <v/>
      </c>
    </row>
    <row r="30">
      <c r="A30" t="inlineStr">
        <is>
          <t>29</t>
        </is>
      </c>
      <c r="B30" t="inlineStr">
        <is>
          <t>Alfie Steed</t>
        </is>
      </c>
      <c r="C30" t="inlineStr">
        <is>
          <t>Sherwood Pines Cycles Forme</t>
        </is>
      </c>
      <c r="D30" t="inlineStr">
        <is>
          <t>244</t>
        </is>
      </c>
      <c r="E30">
        <f>HYPERLINK("https://www.britishcycling.org.uk/points?person_id=758440&amp;year=2021&amp;type=national&amp;d=6","Results")</f>
        <v/>
      </c>
    </row>
    <row r="31">
      <c r="A31" t="inlineStr">
        <is>
          <t>30</t>
        </is>
      </c>
      <c r="B31" t="inlineStr">
        <is>
          <t>Daniel Ward</t>
        </is>
      </c>
      <c r="C31" t="inlineStr">
        <is>
          <t>Cero - Cycle Division Racing Team</t>
        </is>
      </c>
      <c r="D31" t="inlineStr">
        <is>
          <t>244</t>
        </is>
      </c>
      <c r="E31">
        <f>HYPERLINK("https://www.britishcycling.org.uk/points?person_id=630361&amp;year=2021&amp;type=national&amp;d=6","Results")</f>
        <v/>
      </c>
    </row>
    <row r="32">
      <c r="A32" t="inlineStr">
        <is>
          <t>31</t>
        </is>
      </c>
      <c r="B32" t="inlineStr">
        <is>
          <t>Noah Smith</t>
        </is>
      </c>
      <c r="C32" t="inlineStr">
        <is>
          <t>Southborough &amp; District Whls</t>
        </is>
      </c>
      <c r="D32" t="inlineStr">
        <is>
          <t>240</t>
        </is>
      </c>
      <c r="E32">
        <f>HYPERLINK("https://www.britishcycling.org.uk/points?person_id=615983&amp;year=2021&amp;type=national&amp;d=6","Results")</f>
        <v/>
      </c>
    </row>
    <row r="33">
      <c r="A33" t="inlineStr">
        <is>
          <t>32</t>
        </is>
      </c>
      <c r="B33" t="inlineStr">
        <is>
          <t>Jack Morgan</t>
        </is>
      </c>
      <c r="C33" t="inlineStr">
        <is>
          <t>Solent Pirates</t>
        </is>
      </c>
      <c r="D33" t="inlineStr">
        <is>
          <t>236</t>
        </is>
      </c>
      <c r="E33">
        <f>HYPERLINK("https://www.britishcycling.org.uk/points?person_id=454209&amp;year=2021&amp;type=national&amp;d=6","Results")</f>
        <v/>
      </c>
    </row>
    <row r="34">
      <c r="A34" t="inlineStr">
        <is>
          <t>33</t>
        </is>
      </c>
      <c r="B34" t="inlineStr">
        <is>
          <t>Thomas Allen</t>
        </is>
      </c>
      <c r="C34" t="inlineStr">
        <is>
          <t>Sotonia CC</t>
        </is>
      </c>
      <c r="D34" t="inlineStr">
        <is>
          <t>231</t>
        </is>
      </c>
      <c r="E34">
        <f>HYPERLINK("https://www.britishcycling.org.uk/points?person_id=856844&amp;year=2021&amp;type=national&amp;d=6","Results")</f>
        <v/>
      </c>
    </row>
    <row r="35">
      <c r="A35" t="inlineStr">
        <is>
          <t>34</t>
        </is>
      </c>
      <c r="B35" t="inlineStr">
        <is>
          <t>Evander Wishart</t>
        </is>
      </c>
      <c r="C35" t="inlineStr">
        <is>
          <t>Fenland Clarion CC</t>
        </is>
      </c>
      <c r="D35" t="inlineStr">
        <is>
          <t>229</t>
        </is>
      </c>
      <c r="E35">
        <f>HYPERLINK("https://www.britishcycling.org.uk/points?person_id=439982&amp;year=2021&amp;type=national&amp;d=6","Results")</f>
        <v/>
      </c>
    </row>
    <row r="36">
      <c r="A36" t="inlineStr">
        <is>
          <t>35</t>
        </is>
      </c>
      <c r="B36" t="inlineStr">
        <is>
          <t>Niclas Olley</t>
        </is>
      </c>
      <c r="C36" t="inlineStr">
        <is>
          <t>Sotonia CC</t>
        </is>
      </c>
      <c r="D36" t="inlineStr">
        <is>
          <t>216</t>
        </is>
      </c>
      <c r="E36">
        <f>HYPERLINK("https://www.britishcycling.org.uk/points?person_id=947466&amp;year=2021&amp;type=national&amp;d=6","Results")</f>
        <v/>
      </c>
    </row>
    <row r="37">
      <c r="A37" t="inlineStr">
        <is>
          <t>36</t>
        </is>
      </c>
      <c r="B37" t="inlineStr">
        <is>
          <t>Jefferson Tear-Verweij</t>
        </is>
      </c>
      <c r="C37" t="inlineStr">
        <is>
          <t>Team Jewson-M.I.Racing</t>
        </is>
      </c>
      <c r="D37" t="inlineStr">
        <is>
          <t>205</t>
        </is>
      </c>
      <c r="E37">
        <f>HYPERLINK("https://www.britishcycling.org.uk/points?person_id=499810&amp;year=2021&amp;type=national&amp;d=6","Results")</f>
        <v/>
      </c>
    </row>
    <row r="38">
      <c r="A38" t="inlineStr">
        <is>
          <t>37</t>
        </is>
      </c>
      <c r="B38" t="inlineStr">
        <is>
          <t>Oscar Shaw</t>
        </is>
      </c>
      <c r="C38" t="inlineStr">
        <is>
          <t>Ellmore Factory Racing</t>
        </is>
      </c>
      <c r="D38" t="inlineStr">
        <is>
          <t>195</t>
        </is>
      </c>
      <c r="E38">
        <f>HYPERLINK("https://www.britishcycling.org.uk/points?person_id=390796&amp;year=2021&amp;type=national&amp;d=6","Results")</f>
        <v/>
      </c>
    </row>
    <row r="39">
      <c r="A39" t="inlineStr">
        <is>
          <t>38</t>
        </is>
      </c>
      <c r="B39" t="inlineStr">
        <is>
          <t>Isaac Allaway</t>
        </is>
      </c>
      <c r="C39" t="inlineStr">
        <is>
          <t>Pedalon.co.uk</t>
        </is>
      </c>
      <c r="D39" t="inlineStr">
        <is>
          <t>194</t>
        </is>
      </c>
      <c r="E39">
        <f>HYPERLINK("https://www.britishcycling.org.uk/points?person_id=653648&amp;year=2021&amp;type=national&amp;d=6","Results")</f>
        <v/>
      </c>
    </row>
    <row r="40">
      <c r="A40" t="inlineStr">
        <is>
          <t>39</t>
        </is>
      </c>
      <c r="B40" t="inlineStr">
        <is>
          <t>Fraser Cummings</t>
        </is>
      </c>
      <c r="C40" t="inlineStr">
        <is>
          <t>Matlock CC</t>
        </is>
      </c>
      <c r="D40" t="inlineStr">
        <is>
          <t>191</t>
        </is>
      </c>
      <c r="E40">
        <f>HYPERLINK("https://www.britishcycling.org.uk/points?person_id=534722&amp;year=2021&amp;type=national&amp;d=6","Results")</f>
        <v/>
      </c>
    </row>
    <row r="41">
      <c r="A41" t="inlineStr">
        <is>
          <t>40</t>
        </is>
      </c>
      <c r="B41" t="inlineStr">
        <is>
          <t>Xander Brandon-Higgs</t>
        </is>
      </c>
      <c r="C41" t="inlineStr">
        <is>
          <t>Hafren CC</t>
        </is>
      </c>
      <c r="D41" t="inlineStr">
        <is>
          <t>189</t>
        </is>
      </c>
      <c r="E41">
        <f>HYPERLINK("https://www.britishcycling.org.uk/points?person_id=775750&amp;year=2021&amp;type=national&amp;d=6","Results")</f>
        <v/>
      </c>
    </row>
    <row r="42">
      <c r="A42" t="inlineStr">
        <is>
          <t>41</t>
        </is>
      </c>
      <c r="B42" t="inlineStr">
        <is>
          <t>Max Holmes</t>
        </is>
      </c>
      <c r="C42" t="inlineStr">
        <is>
          <t>Southborough &amp; District Whls</t>
        </is>
      </c>
      <c r="D42" t="inlineStr">
        <is>
          <t>185</t>
        </is>
      </c>
      <c r="E42">
        <f>HYPERLINK("https://www.britishcycling.org.uk/points?person_id=343148&amp;year=2021&amp;type=national&amp;d=6","Results")</f>
        <v/>
      </c>
    </row>
    <row r="43">
      <c r="A43" t="inlineStr">
        <is>
          <t>42</t>
        </is>
      </c>
      <c r="B43" t="inlineStr">
        <is>
          <t>Gus Lawson</t>
        </is>
      </c>
      <c r="C43" t="inlineStr">
        <is>
          <t>Edinburgh RC</t>
        </is>
      </c>
      <c r="D43" t="inlineStr">
        <is>
          <t>164</t>
        </is>
      </c>
      <c r="E43">
        <f>HYPERLINK("https://www.britishcycling.org.uk/points?person_id=857074&amp;year=2021&amp;type=national&amp;d=6","Results")</f>
        <v/>
      </c>
    </row>
    <row r="44">
      <c r="A44" t="inlineStr">
        <is>
          <t>43</t>
        </is>
      </c>
      <c r="B44" t="inlineStr">
        <is>
          <t>Alex Coles</t>
        </is>
      </c>
      <c r="C44" t="inlineStr">
        <is>
          <t>Velo Myrddin CC powered by Y Beic</t>
        </is>
      </c>
      <c r="D44" t="inlineStr">
        <is>
          <t>160</t>
        </is>
      </c>
      <c r="E44">
        <f>HYPERLINK("https://www.britishcycling.org.uk/points?person_id=842595&amp;year=2021&amp;type=national&amp;d=6","Results")</f>
        <v/>
      </c>
    </row>
    <row r="45">
      <c r="A45" t="inlineStr">
        <is>
          <t>44</t>
        </is>
      </c>
      <c r="B45" t="inlineStr">
        <is>
          <t>Billy Tomlinson</t>
        </is>
      </c>
      <c r="C45" t="inlineStr">
        <is>
          <t>Lee Valley Youth Cycling Club</t>
        </is>
      </c>
      <c r="D45" t="inlineStr">
        <is>
          <t>159</t>
        </is>
      </c>
      <c r="E45">
        <f>HYPERLINK("https://www.britishcycling.org.uk/points?person_id=567159&amp;year=2021&amp;type=national&amp;d=6","Results")</f>
        <v/>
      </c>
    </row>
    <row r="46">
      <c r="A46" t="inlineStr">
        <is>
          <t>45</t>
        </is>
      </c>
      <c r="B46" t="inlineStr">
        <is>
          <t>Samuel Stewart-Ball</t>
        </is>
      </c>
      <c r="C46" t="inlineStr">
        <is>
          <t>Eastlands Velo</t>
        </is>
      </c>
      <c r="D46" t="inlineStr">
        <is>
          <t>154</t>
        </is>
      </c>
      <c r="E46">
        <f>HYPERLINK("https://www.britishcycling.org.uk/points?person_id=687258&amp;year=2021&amp;type=national&amp;d=6","Results")</f>
        <v/>
      </c>
    </row>
    <row r="47">
      <c r="A47" t="inlineStr">
        <is>
          <t>46</t>
        </is>
      </c>
      <c r="B47" t="inlineStr">
        <is>
          <t>Finlay Storrie</t>
        </is>
      </c>
      <c r="C47" t="inlineStr">
        <is>
          <t>Team HUP</t>
        </is>
      </c>
      <c r="D47" t="inlineStr">
        <is>
          <t>146</t>
        </is>
      </c>
      <c r="E47">
        <f>HYPERLINK("https://www.britishcycling.org.uk/points?person_id=574053&amp;year=2021&amp;type=national&amp;d=6","Results")</f>
        <v/>
      </c>
    </row>
    <row r="48">
      <c r="A48" t="inlineStr">
        <is>
          <t>47</t>
        </is>
      </c>
      <c r="B48" t="inlineStr">
        <is>
          <t>Joseph Wooliscroft</t>
        </is>
      </c>
      <c r="C48" t="inlineStr">
        <is>
          <t>Clancy Briggs Cycling Academy</t>
        </is>
      </c>
      <c r="D48" t="inlineStr">
        <is>
          <t>146</t>
        </is>
      </c>
      <c r="E48">
        <f>HYPERLINK("https://www.britishcycling.org.uk/points?person_id=850497&amp;year=2021&amp;type=national&amp;d=6","Results")</f>
        <v/>
      </c>
    </row>
    <row r="49">
      <c r="A49" t="inlineStr">
        <is>
          <t>48</t>
        </is>
      </c>
      <c r="B49" t="inlineStr">
        <is>
          <t>Harry Speak</t>
        </is>
      </c>
      <c r="C49" t="inlineStr">
        <is>
          <t>Clifton CC</t>
        </is>
      </c>
      <c r="D49" t="inlineStr">
        <is>
          <t>140</t>
        </is>
      </c>
      <c r="E49">
        <f>HYPERLINK("https://www.britishcycling.org.uk/points?person_id=833966&amp;year=2021&amp;type=national&amp;d=6","Results")</f>
        <v/>
      </c>
    </row>
    <row r="50">
      <c r="A50" t="inlineStr">
        <is>
          <t>49</t>
        </is>
      </c>
      <c r="B50" t="inlineStr">
        <is>
          <t>Cypher Tindell</t>
        </is>
      </c>
      <c r="C50" t="inlineStr">
        <is>
          <t>Palmer Park Velo RT</t>
        </is>
      </c>
      <c r="D50" t="inlineStr">
        <is>
          <t>125</t>
        </is>
      </c>
      <c r="E50">
        <f>HYPERLINK("https://www.britishcycling.org.uk/points?person_id=696281&amp;year=2021&amp;type=national&amp;d=6","Results")</f>
        <v/>
      </c>
    </row>
    <row r="51">
      <c r="A51" t="inlineStr">
        <is>
          <t>50</t>
        </is>
      </c>
      <c r="B51" t="inlineStr">
        <is>
          <t>Tomas McIntosh</t>
        </is>
      </c>
      <c r="C51" t="inlineStr">
        <is>
          <t>Peebles CC</t>
        </is>
      </c>
      <c r="D51" t="inlineStr">
        <is>
          <t>122</t>
        </is>
      </c>
      <c r="E51">
        <f>HYPERLINK("https://www.britishcycling.org.uk/points?person_id=1008143&amp;year=2021&amp;type=national&amp;d=6","Results")</f>
        <v/>
      </c>
    </row>
    <row r="52">
      <c r="A52" t="inlineStr">
        <is>
          <t>51</t>
        </is>
      </c>
      <c r="B52" t="inlineStr">
        <is>
          <t>Montague Flavell</t>
        </is>
      </c>
      <c r="C52" t="inlineStr">
        <is>
          <t>Sotonia CC</t>
        </is>
      </c>
      <c r="D52" t="inlineStr">
        <is>
          <t>121</t>
        </is>
      </c>
      <c r="E52">
        <f>HYPERLINK("https://www.britishcycling.org.uk/points?person_id=804283&amp;year=2021&amp;type=national&amp;d=6","Results")</f>
        <v/>
      </c>
    </row>
    <row r="53">
      <c r="A53" t="inlineStr">
        <is>
          <t>52</t>
        </is>
      </c>
      <c r="B53" t="inlineStr">
        <is>
          <t>Iestyn John Rowlands</t>
        </is>
      </c>
      <c r="C53" t="inlineStr">
        <is>
          <t>Hafren CC</t>
        </is>
      </c>
      <c r="D53" t="inlineStr">
        <is>
          <t>117</t>
        </is>
      </c>
      <c r="E53">
        <f>HYPERLINK("https://www.britishcycling.org.uk/points?person_id=950697&amp;year=2021&amp;type=national&amp;d=6","Results")</f>
        <v/>
      </c>
    </row>
    <row r="54">
      <c r="A54" t="inlineStr">
        <is>
          <t>53</t>
        </is>
      </c>
      <c r="B54" t="inlineStr">
        <is>
          <t>Alarik Knox</t>
        </is>
      </c>
      <c r="C54" t="inlineStr">
        <is>
          <t>Verulam - reallymoving.com</t>
        </is>
      </c>
      <c r="D54" t="inlineStr">
        <is>
          <t>111</t>
        </is>
      </c>
      <c r="E54">
        <f>HYPERLINK("https://www.britishcycling.org.uk/points?person_id=615896&amp;year=2021&amp;type=national&amp;d=6","Results")</f>
        <v/>
      </c>
    </row>
    <row r="55">
      <c r="A55" t="inlineStr">
        <is>
          <t>54</t>
        </is>
      </c>
      <c r="B55" t="inlineStr">
        <is>
          <t>Milo Wills</t>
        </is>
      </c>
      <c r="C55" t="inlineStr">
        <is>
          <t>VC Londres</t>
        </is>
      </c>
      <c r="D55" t="inlineStr">
        <is>
          <t>110</t>
        </is>
      </c>
      <c r="E55">
        <f>HYPERLINK("https://www.britishcycling.org.uk/points?person_id=753569&amp;year=2021&amp;type=national&amp;d=6","Results")</f>
        <v/>
      </c>
    </row>
    <row r="56">
      <c r="A56" t="inlineStr">
        <is>
          <t>55</t>
        </is>
      </c>
      <c r="B56" t="inlineStr">
        <is>
          <t>James Calvert</t>
        </is>
      </c>
      <c r="C56" t="inlineStr">
        <is>
          <t>Clifton CC</t>
        </is>
      </c>
      <c r="D56" t="inlineStr">
        <is>
          <t>109</t>
        </is>
      </c>
      <c r="E56">
        <f>HYPERLINK("https://www.britishcycling.org.uk/points?person_id=645762&amp;year=2021&amp;type=national&amp;d=6","Results")</f>
        <v/>
      </c>
    </row>
    <row r="57">
      <c r="A57" t="inlineStr">
        <is>
          <t>56</t>
        </is>
      </c>
      <c r="B57" t="inlineStr">
        <is>
          <t>Ben Allen</t>
        </is>
      </c>
      <c r="C57" t="inlineStr">
        <is>
          <t>Stafford Road Club</t>
        </is>
      </c>
      <c r="D57" t="inlineStr">
        <is>
          <t>104</t>
        </is>
      </c>
      <c r="E57">
        <f>HYPERLINK("https://www.britishcycling.org.uk/points?person_id=834858&amp;year=2021&amp;type=national&amp;d=6","Results")</f>
        <v/>
      </c>
    </row>
    <row r="58">
      <c r="A58" t="inlineStr">
        <is>
          <t>57</t>
        </is>
      </c>
      <c r="B58" t="inlineStr">
        <is>
          <t>Jake Bird</t>
        </is>
      </c>
      <c r="C58" t="inlineStr">
        <is>
          <t>Kettering CC</t>
        </is>
      </c>
      <c r="D58" t="inlineStr">
        <is>
          <t>104</t>
        </is>
      </c>
      <c r="E58">
        <f>HYPERLINK("https://www.britishcycling.org.uk/points?person_id=551429&amp;year=2021&amp;type=national&amp;d=6","Results")</f>
        <v/>
      </c>
    </row>
    <row r="59">
      <c r="A59" t="inlineStr">
        <is>
          <t>58</t>
        </is>
      </c>
      <c r="B59" t="inlineStr">
        <is>
          <t>Finley Hudson</t>
        </is>
      </c>
      <c r="C59" t="inlineStr">
        <is>
          <t>Matlock CC</t>
        </is>
      </c>
      <c r="D59" t="inlineStr">
        <is>
          <t>102</t>
        </is>
      </c>
      <c r="E59">
        <f>HYPERLINK("https://www.britishcycling.org.uk/points?person_id=943545&amp;year=2021&amp;type=national&amp;d=6","Results")</f>
        <v/>
      </c>
    </row>
    <row r="60">
      <c r="A60" t="inlineStr">
        <is>
          <t>59</t>
        </is>
      </c>
      <c r="B60" t="inlineStr">
        <is>
          <t>Michael Swindells</t>
        </is>
      </c>
      <c r="C60" t="inlineStr">
        <is>
          <t>Iceni Velo</t>
        </is>
      </c>
      <c r="D60" t="inlineStr">
        <is>
          <t>102</t>
        </is>
      </c>
      <c r="E60">
        <f>HYPERLINK("https://www.britishcycling.org.uk/points?person_id=536620&amp;year=2021&amp;type=national&amp;d=6","Results")</f>
        <v/>
      </c>
    </row>
    <row r="61">
      <c r="A61" t="inlineStr">
        <is>
          <t>60</t>
        </is>
      </c>
      <c r="B61" t="inlineStr">
        <is>
          <t>Corin Bradley</t>
        </is>
      </c>
      <c r="C61" t="inlineStr">
        <is>
          <t>Lichfield City CC</t>
        </is>
      </c>
      <c r="D61" t="inlineStr">
        <is>
          <t>98</t>
        </is>
      </c>
      <c r="E61">
        <f>HYPERLINK("https://www.britishcycling.org.uk/points?person_id=294192&amp;year=2021&amp;type=national&amp;d=6","Results")</f>
        <v/>
      </c>
    </row>
    <row r="62">
      <c r="A62" t="inlineStr">
        <is>
          <t>61</t>
        </is>
      </c>
      <c r="B62" t="inlineStr">
        <is>
          <t>Bayley Woodger</t>
        </is>
      </c>
      <c r="C62" t="inlineStr">
        <is>
          <t>Mid Devon CC</t>
        </is>
      </c>
      <c r="D62" t="inlineStr">
        <is>
          <t>96</t>
        </is>
      </c>
      <c r="E62">
        <f>HYPERLINK("https://www.britishcycling.org.uk/points?person_id=570896&amp;year=2021&amp;type=national&amp;d=6","Results")</f>
        <v/>
      </c>
    </row>
    <row r="63">
      <c r="A63" t="inlineStr">
        <is>
          <t>62</t>
        </is>
      </c>
      <c r="B63" t="inlineStr">
        <is>
          <t>William Brown</t>
        </is>
      </c>
      <c r="C63" t="inlineStr">
        <is>
          <t>Clancy Briggs Cycling Academy</t>
        </is>
      </c>
      <c r="D63" t="inlineStr">
        <is>
          <t>93</t>
        </is>
      </c>
      <c r="E63">
        <f>HYPERLINK("https://www.britishcycling.org.uk/points?person_id=359704&amp;year=2021&amp;type=national&amp;d=6","Results")</f>
        <v/>
      </c>
    </row>
    <row r="64">
      <c r="A64" t="inlineStr">
        <is>
          <t>63</t>
        </is>
      </c>
      <c r="B64" t="inlineStr">
        <is>
          <t>George Hughes</t>
        </is>
      </c>
      <c r="C64" t="inlineStr">
        <is>
          <t>Shibden Cycling Club</t>
        </is>
      </c>
      <c r="D64" t="inlineStr">
        <is>
          <t>92</t>
        </is>
      </c>
      <c r="E64">
        <f>HYPERLINK("https://www.britishcycling.org.uk/points?person_id=552145&amp;year=2021&amp;type=national&amp;d=6","Results")</f>
        <v/>
      </c>
    </row>
    <row r="65">
      <c r="A65" t="inlineStr">
        <is>
          <t>64</t>
        </is>
      </c>
      <c r="B65" t="inlineStr">
        <is>
          <t>Jamie Kershaw</t>
        </is>
      </c>
      <c r="C65" t="inlineStr">
        <is>
          <t>Welland Valley CC</t>
        </is>
      </c>
      <c r="D65" t="inlineStr">
        <is>
          <t>92</t>
        </is>
      </c>
      <c r="E65">
        <f>HYPERLINK("https://www.britishcycling.org.uk/points?person_id=450792&amp;year=2021&amp;type=national&amp;d=6","Results")</f>
        <v/>
      </c>
    </row>
    <row r="66">
      <c r="A66" t="inlineStr">
        <is>
          <t>65</t>
        </is>
      </c>
      <c r="B66" t="inlineStr">
        <is>
          <t>James Canham</t>
        </is>
      </c>
      <c r="C66" t="inlineStr">
        <is>
          <t>Doncaster Whls CC</t>
        </is>
      </c>
      <c r="D66" t="inlineStr">
        <is>
          <t>80</t>
        </is>
      </c>
      <c r="E66">
        <f>HYPERLINK("https://www.britishcycling.org.uk/points?person_id=545252&amp;year=2021&amp;type=national&amp;d=6","Results")</f>
        <v/>
      </c>
    </row>
    <row r="67">
      <c r="A67" t="inlineStr">
        <is>
          <t>66</t>
        </is>
      </c>
      <c r="B67" t="inlineStr">
        <is>
          <t>Luca Hill</t>
        </is>
      </c>
      <c r="C67" t="inlineStr">
        <is>
          <t>A403 Rogue</t>
        </is>
      </c>
      <c r="D67" t="inlineStr">
        <is>
          <t>78</t>
        </is>
      </c>
      <c r="E67">
        <f>HYPERLINK("https://www.britishcycling.org.uk/points?person_id=903314&amp;year=2021&amp;type=national&amp;d=6","Results")</f>
        <v/>
      </c>
    </row>
    <row r="68">
      <c r="A68" t="inlineStr">
        <is>
          <t>67</t>
        </is>
      </c>
      <c r="B68" t="inlineStr">
        <is>
          <t>Wilf Jones</t>
        </is>
      </c>
      <c r="C68" t="inlineStr">
        <is>
          <t>Beeline Bicycles RT</t>
        </is>
      </c>
      <c r="D68" t="inlineStr">
        <is>
          <t>76</t>
        </is>
      </c>
      <c r="E68">
        <f>HYPERLINK("https://www.britishcycling.org.uk/points?person_id=735895&amp;year=2021&amp;type=national&amp;d=6","Results")</f>
        <v/>
      </c>
    </row>
    <row r="69">
      <c r="A69" t="inlineStr">
        <is>
          <t>68</t>
        </is>
      </c>
      <c r="B69" t="inlineStr">
        <is>
          <t>Finlay Goodman</t>
        </is>
      </c>
      <c r="C69" t="inlineStr">
        <is>
          <t>Bedgebury Forest CC</t>
        </is>
      </c>
      <c r="D69" t="inlineStr">
        <is>
          <t>75</t>
        </is>
      </c>
      <c r="E69">
        <f>HYPERLINK("https://www.britishcycling.org.uk/points?person_id=774606&amp;year=2021&amp;type=national&amp;d=6","Results")</f>
        <v/>
      </c>
    </row>
    <row r="70">
      <c r="A70" t="inlineStr">
        <is>
          <t>69</t>
        </is>
      </c>
      <c r="B70" t="inlineStr">
        <is>
          <t>William Smith</t>
        </is>
      </c>
      <c r="C70" t="inlineStr">
        <is>
          <t>Colchester Rovers CC</t>
        </is>
      </c>
      <c r="D70" t="inlineStr">
        <is>
          <t>75</t>
        </is>
      </c>
      <c r="E70">
        <f>HYPERLINK("https://www.britishcycling.org.uk/points?person_id=339318&amp;year=2021&amp;type=national&amp;d=6","Results")</f>
        <v/>
      </c>
    </row>
    <row r="71">
      <c r="A71" t="inlineStr">
        <is>
          <t>70</t>
        </is>
      </c>
      <c r="B71" t="inlineStr">
        <is>
          <t>Milo Wood</t>
        </is>
      </c>
      <c r="C71" t="inlineStr">
        <is>
          <t>East Bradford CC</t>
        </is>
      </c>
      <c r="D71" t="inlineStr">
        <is>
          <t>72</t>
        </is>
      </c>
      <c r="E71">
        <f>HYPERLINK("https://www.britishcycling.org.uk/points?person_id=536617&amp;year=2021&amp;type=national&amp;d=6","Results")</f>
        <v/>
      </c>
    </row>
    <row r="72">
      <c r="A72" t="inlineStr">
        <is>
          <t>71</t>
        </is>
      </c>
      <c r="B72" t="inlineStr">
        <is>
          <t>George Collins</t>
        </is>
      </c>
      <c r="C72" t="inlineStr">
        <is>
          <t>Colchester Rovers CC</t>
        </is>
      </c>
      <c r="D72" t="inlineStr">
        <is>
          <t>71</t>
        </is>
      </c>
      <c r="E72">
        <f>HYPERLINK("https://www.britishcycling.org.uk/points?person_id=589527&amp;year=2021&amp;type=national&amp;d=6","Results")</f>
        <v/>
      </c>
    </row>
    <row r="73">
      <c r="A73" t="inlineStr">
        <is>
          <t>72</t>
        </is>
      </c>
      <c r="B73" t="inlineStr">
        <is>
          <t>Theo Sandell</t>
        </is>
      </c>
      <c r="C73" t="inlineStr">
        <is>
          <t>Southborough &amp; District Whls</t>
        </is>
      </c>
      <c r="D73" t="inlineStr">
        <is>
          <t>69</t>
        </is>
      </c>
      <c r="E73">
        <f>HYPERLINK("https://www.britishcycling.org.uk/points?person_id=276821&amp;year=2021&amp;type=national&amp;d=6","Results")</f>
        <v/>
      </c>
    </row>
    <row r="74">
      <c r="A74" t="inlineStr">
        <is>
          <t>73</t>
        </is>
      </c>
      <c r="B74" t="inlineStr">
        <is>
          <t>Isaac Starmer</t>
        </is>
      </c>
      <c r="C74" t="inlineStr">
        <is>
          <t>Colchester Rovers CC</t>
        </is>
      </c>
      <c r="D74" t="inlineStr">
        <is>
          <t>69</t>
        </is>
      </c>
      <c r="E74">
        <f>HYPERLINK("https://www.britishcycling.org.uk/points?person_id=687626&amp;year=2021&amp;type=national&amp;d=6","Results")</f>
        <v/>
      </c>
    </row>
    <row r="75">
      <c r="A75" t="inlineStr">
        <is>
          <t>74</t>
        </is>
      </c>
      <c r="B75" t="inlineStr">
        <is>
          <t>Ruben Stringfellow</t>
        </is>
      </c>
      <c r="C75" t="inlineStr">
        <is>
          <t>Stratford CC</t>
        </is>
      </c>
      <c r="D75" t="inlineStr">
        <is>
          <t>68</t>
        </is>
      </c>
      <c r="E75">
        <f>HYPERLINK("https://www.britishcycling.org.uk/points?person_id=422361&amp;year=2021&amp;type=national&amp;d=6","Results")</f>
        <v/>
      </c>
    </row>
    <row r="76">
      <c r="A76" t="inlineStr">
        <is>
          <t>75</t>
        </is>
      </c>
      <c r="B76" t="inlineStr">
        <is>
          <t>Ashley Watton</t>
        </is>
      </c>
      <c r="C76" t="inlineStr">
        <is>
          <t>Newport Shropshire CC</t>
        </is>
      </c>
      <c r="D76" t="inlineStr">
        <is>
          <t>68</t>
        </is>
      </c>
      <c r="E76">
        <f>HYPERLINK("https://www.britishcycling.org.uk/points?person_id=678270&amp;year=2021&amp;type=national&amp;d=6","Results")</f>
        <v/>
      </c>
    </row>
    <row r="77">
      <c r="A77" t="inlineStr">
        <is>
          <t>76</t>
        </is>
      </c>
      <c r="B77" t="inlineStr">
        <is>
          <t>Louis Wright</t>
        </is>
      </c>
      <c r="C77" t="inlineStr">
        <is>
          <t>Team Zoyland Race Academy</t>
        </is>
      </c>
      <c r="D77" t="inlineStr">
        <is>
          <t>66</t>
        </is>
      </c>
      <c r="E77">
        <f>HYPERLINK("https://www.britishcycling.org.uk/points?person_id=562956&amp;year=2021&amp;type=national&amp;d=6","Results")</f>
        <v/>
      </c>
    </row>
    <row r="78">
      <c r="A78" t="inlineStr">
        <is>
          <t>77</t>
        </is>
      </c>
      <c r="B78" t="inlineStr">
        <is>
          <t>Edwin Boyle</t>
        </is>
      </c>
      <c r="C78" t="inlineStr">
        <is>
          <t>Preston Park Youth CC (PPYCC)</t>
        </is>
      </c>
      <c r="D78" t="inlineStr">
        <is>
          <t>65</t>
        </is>
      </c>
      <c r="E78">
        <f>HYPERLINK("https://www.britishcycling.org.uk/points?person_id=455438&amp;year=2021&amp;type=national&amp;d=6","Results")</f>
        <v/>
      </c>
    </row>
    <row r="79">
      <c r="A79" t="inlineStr">
        <is>
          <t>78</t>
        </is>
      </c>
      <c r="B79" t="inlineStr">
        <is>
          <t>Oliver Shears</t>
        </is>
      </c>
      <c r="C79" t="inlineStr">
        <is>
          <t>Palmer Park Velo RT</t>
        </is>
      </c>
      <c r="D79" t="inlineStr">
        <is>
          <t>65</t>
        </is>
      </c>
      <c r="E79">
        <f>HYPERLINK("https://www.britishcycling.org.uk/points?person_id=944236&amp;year=2021&amp;type=national&amp;d=6","Results")</f>
        <v/>
      </c>
    </row>
    <row r="80">
      <c r="A80" t="inlineStr">
        <is>
          <t>79</t>
        </is>
      </c>
      <c r="B80" t="inlineStr">
        <is>
          <t>Joel Gibbon</t>
        </is>
      </c>
      <c r="C80" t="inlineStr">
        <is>
          <t>Hetton Hawks Cycling Club</t>
        </is>
      </c>
      <c r="D80" t="inlineStr">
        <is>
          <t>64</t>
        </is>
      </c>
      <c r="E80">
        <f>HYPERLINK("https://www.britishcycling.org.uk/points?person_id=753217&amp;year=2021&amp;type=national&amp;d=6","Results")</f>
        <v/>
      </c>
    </row>
    <row r="81">
      <c r="A81" t="inlineStr">
        <is>
          <t>80</t>
        </is>
      </c>
      <c r="B81" t="inlineStr">
        <is>
          <t>Patrick Mannion</t>
        </is>
      </c>
      <c r="C81" t="inlineStr">
        <is>
          <t>Sportcity Velo</t>
        </is>
      </c>
      <c r="D81" t="inlineStr">
        <is>
          <t>64</t>
        </is>
      </c>
      <c r="E81">
        <f>HYPERLINK("https://www.britishcycling.org.uk/points?person_id=472747&amp;year=2021&amp;type=national&amp;d=6","Results")</f>
        <v/>
      </c>
    </row>
    <row r="82">
      <c r="A82" t="inlineStr">
        <is>
          <t>81</t>
        </is>
      </c>
      <c r="B82" t="inlineStr">
        <is>
          <t>Charlie Brennan</t>
        </is>
      </c>
      <c r="C82" t="inlineStr">
        <is>
          <t>Sportcity Velo</t>
        </is>
      </c>
      <c r="D82" t="inlineStr">
        <is>
          <t>63</t>
        </is>
      </c>
      <c r="E82">
        <f>HYPERLINK("https://www.britishcycling.org.uk/points?person_id=224803&amp;year=2021&amp;type=national&amp;d=6","Results")</f>
        <v/>
      </c>
    </row>
    <row r="83">
      <c r="A83" t="inlineStr">
        <is>
          <t>82</t>
        </is>
      </c>
      <c r="B83" t="inlineStr">
        <is>
          <t>William Coles</t>
        </is>
      </c>
      <c r="C83" t="inlineStr">
        <is>
          <t>Velo Myrddin CC powered by Y Beic</t>
        </is>
      </c>
      <c r="D83" t="inlineStr">
        <is>
          <t>62</t>
        </is>
      </c>
      <c r="E83">
        <f>HYPERLINK("https://www.britishcycling.org.uk/points?person_id=842593&amp;year=2021&amp;type=national&amp;d=6","Results")</f>
        <v/>
      </c>
    </row>
    <row r="84">
      <c r="A84" t="inlineStr">
        <is>
          <t>83</t>
        </is>
      </c>
      <c r="B84" t="inlineStr">
        <is>
          <t>Brodie Duncan</t>
        </is>
      </c>
      <c r="C84" t="inlineStr">
        <is>
          <t>West Lothian Clarion CC</t>
        </is>
      </c>
      <c r="D84" t="inlineStr">
        <is>
          <t>62</t>
        </is>
      </c>
      <c r="E84">
        <f>HYPERLINK("https://www.britishcycling.org.uk/points?person_id=520793&amp;year=2021&amp;type=national&amp;d=6","Results")</f>
        <v/>
      </c>
    </row>
    <row r="85">
      <c r="A85" t="inlineStr">
        <is>
          <t>84</t>
        </is>
      </c>
      <c r="B85" t="inlineStr">
        <is>
          <t>Oliver Tooley</t>
        </is>
      </c>
      <c r="C85" t="inlineStr">
        <is>
          <t>Poole Wheelers CC</t>
        </is>
      </c>
      <c r="D85" t="inlineStr">
        <is>
          <t>61</t>
        </is>
      </c>
      <c r="E85">
        <f>HYPERLINK("https://www.britishcycling.org.uk/points?person_id=545456&amp;year=2021&amp;type=national&amp;d=6","Results")</f>
        <v/>
      </c>
    </row>
    <row r="86">
      <c r="A86" t="inlineStr">
        <is>
          <t>85</t>
        </is>
      </c>
      <c r="B86" t="inlineStr">
        <is>
          <t>Rocco Schumacher</t>
        </is>
      </c>
      <c r="C86" t="inlineStr">
        <is>
          <t>ROTOR Race Team</t>
        </is>
      </c>
      <c r="D86" t="inlineStr">
        <is>
          <t>60</t>
        </is>
      </c>
      <c r="E86">
        <f>HYPERLINK("https://www.britishcycling.org.uk/points?person_id=521039&amp;year=2021&amp;type=national&amp;d=6","Results")</f>
        <v/>
      </c>
    </row>
    <row r="87">
      <c r="A87" t="inlineStr">
        <is>
          <t>86</t>
        </is>
      </c>
      <c r="B87" t="inlineStr">
        <is>
          <t>Tanner Beetge</t>
        </is>
      </c>
      <c r="C87" t="inlineStr"/>
      <c r="D87" t="inlineStr">
        <is>
          <t>58</t>
        </is>
      </c>
      <c r="E87">
        <f>HYPERLINK("https://www.britishcycling.org.uk/points?person_id=1004338&amp;year=2021&amp;type=national&amp;d=6","Results")</f>
        <v/>
      </c>
    </row>
    <row r="88">
      <c r="A88" t="inlineStr">
        <is>
          <t>87</t>
        </is>
      </c>
      <c r="B88" t="inlineStr">
        <is>
          <t>Jed Claxton</t>
        </is>
      </c>
      <c r="C88" t="inlineStr">
        <is>
          <t>Wheal Velocity</t>
        </is>
      </c>
      <c r="D88" t="inlineStr">
        <is>
          <t>58</t>
        </is>
      </c>
      <c r="E88">
        <f>HYPERLINK("https://www.britishcycling.org.uk/points?person_id=452508&amp;year=2021&amp;type=national&amp;d=6","Results")</f>
        <v/>
      </c>
    </row>
    <row r="89">
      <c r="A89" t="inlineStr">
        <is>
          <t>88</t>
        </is>
      </c>
      <c r="B89" t="inlineStr">
        <is>
          <t>Isaac Horton</t>
        </is>
      </c>
      <c r="C89" t="inlineStr"/>
      <c r="D89" t="inlineStr">
        <is>
          <t>57</t>
        </is>
      </c>
      <c r="E89">
        <f>HYPERLINK("https://www.britishcycling.org.uk/points?person_id=737938&amp;year=2021&amp;type=national&amp;d=6","Results")</f>
        <v/>
      </c>
    </row>
    <row r="90">
      <c r="A90" t="inlineStr">
        <is>
          <t>89</t>
        </is>
      </c>
      <c r="B90" t="inlineStr">
        <is>
          <t>Joe Greening</t>
        </is>
      </c>
      <c r="C90" t="inlineStr">
        <is>
          <t>Malvern Cycle Sport</t>
        </is>
      </c>
      <c r="D90" t="inlineStr">
        <is>
          <t>56</t>
        </is>
      </c>
      <c r="E90">
        <f>HYPERLINK("https://www.britishcycling.org.uk/points?person_id=760191&amp;year=2021&amp;type=national&amp;d=6","Results")</f>
        <v/>
      </c>
    </row>
    <row r="91">
      <c r="A91" t="inlineStr">
        <is>
          <t>90</t>
        </is>
      </c>
      <c r="B91" t="inlineStr">
        <is>
          <t>James Harrison</t>
        </is>
      </c>
      <c r="C91" t="inlineStr">
        <is>
          <t>Clifton CC</t>
        </is>
      </c>
      <c r="D91" t="inlineStr">
        <is>
          <t>55</t>
        </is>
      </c>
      <c r="E91">
        <f>HYPERLINK("https://www.britishcycling.org.uk/points?person_id=549640&amp;year=2021&amp;type=national&amp;d=6","Results")</f>
        <v/>
      </c>
    </row>
    <row r="92">
      <c r="A92" t="inlineStr">
        <is>
          <t>91</t>
        </is>
      </c>
      <c r="B92" t="inlineStr">
        <is>
          <t>Edward Home</t>
        </is>
      </c>
      <c r="C92" t="inlineStr">
        <is>
          <t>Hillingdon Slipstreamers</t>
        </is>
      </c>
      <c r="D92" t="inlineStr">
        <is>
          <t>55</t>
        </is>
      </c>
      <c r="E92">
        <f>HYPERLINK("https://www.britishcycling.org.uk/points?person_id=813692&amp;year=2021&amp;type=national&amp;d=6","Results")</f>
        <v/>
      </c>
    </row>
    <row r="93">
      <c r="A93" t="inlineStr">
        <is>
          <t>92</t>
        </is>
      </c>
      <c r="B93" t="inlineStr">
        <is>
          <t>Roch Morgan</t>
        </is>
      </c>
      <c r="C93" t="inlineStr">
        <is>
          <t>Derby Mercury RC</t>
        </is>
      </c>
      <c r="D93" t="inlineStr">
        <is>
          <t>54</t>
        </is>
      </c>
      <c r="E93">
        <f>HYPERLINK("https://www.britishcycling.org.uk/points?person_id=986071&amp;year=2021&amp;type=national&amp;d=6","Results")</f>
        <v/>
      </c>
    </row>
    <row r="94">
      <c r="A94" t="inlineStr">
        <is>
          <t>93</t>
        </is>
      </c>
      <c r="B94" t="inlineStr">
        <is>
          <t>Caspar Reynolds</t>
        </is>
      </c>
      <c r="C94" t="inlineStr">
        <is>
          <t>Matlock CC</t>
        </is>
      </c>
      <c r="D94" t="inlineStr">
        <is>
          <t>54</t>
        </is>
      </c>
      <c r="E94">
        <f>HYPERLINK("https://www.britishcycling.org.uk/points?person_id=630958&amp;year=2021&amp;type=national&amp;d=6","Results")</f>
        <v/>
      </c>
    </row>
    <row r="95">
      <c r="A95" t="inlineStr">
        <is>
          <t>94</t>
        </is>
      </c>
      <c r="B95" t="inlineStr">
        <is>
          <t>Ethan Geall</t>
        </is>
      </c>
      <c r="C95" t="inlineStr">
        <is>
          <t>Shibden Cycling Club</t>
        </is>
      </c>
      <c r="D95" t="inlineStr">
        <is>
          <t>53</t>
        </is>
      </c>
      <c r="E95">
        <f>HYPERLINK("https://www.britishcycling.org.uk/points?person_id=558948&amp;year=2021&amp;type=national&amp;d=6","Results")</f>
        <v/>
      </c>
    </row>
    <row r="96">
      <c r="A96" t="inlineStr">
        <is>
          <t>95</t>
        </is>
      </c>
      <c r="B96" t="inlineStr">
        <is>
          <t>Oliver Swinburn</t>
        </is>
      </c>
      <c r="C96" t="inlineStr">
        <is>
          <t>Velo Club Lincoln</t>
        </is>
      </c>
      <c r="D96" t="inlineStr">
        <is>
          <t>53</t>
        </is>
      </c>
      <c r="E96">
        <f>HYPERLINK("https://www.britishcycling.org.uk/points?person_id=796368&amp;year=2021&amp;type=national&amp;d=6","Results")</f>
        <v/>
      </c>
    </row>
    <row r="97">
      <c r="A97" t="inlineStr">
        <is>
          <t>96</t>
        </is>
      </c>
      <c r="B97" t="inlineStr">
        <is>
          <t>Finlay Barr</t>
        </is>
      </c>
      <c r="C97" t="inlineStr">
        <is>
          <t>Royal Albert CC</t>
        </is>
      </c>
      <c r="D97" t="inlineStr">
        <is>
          <t>52</t>
        </is>
      </c>
      <c r="E97">
        <f>HYPERLINK("https://www.britishcycling.org.uk/points?person_id=556097&amp;year=2021&amp;type=national&amp;d=6","Results")</f>
        <v/>
      </c>
    </row>
    <row r="98">
      <c r="A98" t="inlineStr">
        <is>
          <t>97</t>
        </is>
      </c>
      <c r="B98" t="inlineStr">
        <is>
          <t>Evans Tindell</t>
        </is>
      </c>
      <c r="C98" t="inlineStr">
        <is>
          <t>Palmer Park Velo RT</t>
        </is>
      </c>
      <c r="D98" t="inlineStr">
        <is>
          <t>52</t>
        </is>
      </c>
      <c r="E98">
        <f>HYPERLINK("https://www.britishcycling.org.uk/points?person_id=696284&amp;year=2021&amp;type=national&amp;d=6","Results")</f>
        <v/>
      </c>
    </row>
    <row r="99">
      <c r="A99" t="inlineStr">
        <is>
          <t>98</t>
        </is>
      </c>
      <c r="B99" t="inlineStr">
        <is>
          <t>Olly Bowen</t>
        </is>
      </c>
      <c r="C99" t="inlineStr">
        <is>
          <t>Abergavenny Road Club</t>
        </is>
      </c>
      <c r="D99" t="inlineStr">
        <is>
          <t>49</t>
        </is>
      </c>
      <c r="E99">
        <f>HYPERLINK("https://www.britishcycling.org.uk/points?person_id=310591&amp;year=2021&amp;type=national&amp;d=6","Results")</f>
        <v/>
      </c>
    </row>
    <row r="100">
      <c r="A100" t="inlineStr">
        <is>
          <t>99</t>
        </is>
      </c>
      <c r="B100" t="inlineStr">
        <is>
          <t>Meuryn Rees</t>
        </is>
      </c>
      <c r="C100" t="inlineStr">
        <is>
          <t>The Bulls</t>
        </is>
      </c>
      <c r="D100" t="inlineStr">
        <is>
          <t>49</t>
        </is>
      </c>
      <c r="E100">
        <f>HYPERLINK("https://www.britishcycling.org.uk/points?person_id=563529&amp;year=2021&amp;type=national&amp;d=6","Results")</f>
        <v/>
      </c>
    </row>
    <row r="101">
      <c r="A101" t="inlineStr">
        <is>
          <t>100</t>
        </is>
      </c>
      <c r="B101" t="inlineStr">
        <is>
          <t>Harry Tozer</t>
        </is>
      </c>
      <c r="C101" t="inlineStr">
        <is>
          <t>Fenland Clarion CC</t>
        </is>
      </c>
      <c r="D101" t="inlineStr">
        <is>
          <t>49</t>
        </is>
      </c>
      <c r="E101">
        <f>HYPERLINK("https://www.britishcycling.org.uk/points?person_id=553357&amp;year=2021&amp;type=national&amp;d=6","Results")</f>
        <v/>
      </c>
    </row>
    <row r="102">
      <c r="A102" t="inlineStr">
        <is>
          <t>101</t>
        </is>
      </c>
      <c r="B102" t="inlineStr">
        <is>
          <t>Alex Box</t>
        </is>
      </c>
      <c r="C102" t="inlineStr">
        <is>
          <t>North Shields Polytechnic</t>
        </is>
      </c>
      <c r="D102" t="inlineStr">
        <is>
          <t>48</t>
        </is>
      </c>
      <c r="E102">
        <f>HYPERLINK("https://www.britishcycling.org.uk/points?person_id=1019307&amp;year=2021&amp;type=national&amp;d=6","Results")</f>
        <v/>
      </c>
    </row>
    <row r="103">
      <c r="A103" t="inlineStr">
        <is>
          <t>102</t>
        </is>
      </c>
      <c r="B103" t="inlineStr">
        <is>
          <t>Daniel Charton</t>
        </is>
      </c>
      <c r="C103" t="inlineStr">
        <is>
          <t>Solihull CC</t>
        </is>
      </c>
      <c r="D103" t="inlineStr">
        <is>
          <t>48</t>
        </is>
      </c>
      <c r="E103">
        <f>HYPERLINK("https://www.britishcycling.org.uk/points?person_id=768516&amp;year=2021&amp;type=national&amp;d=6","Results")</f>
        <v/>
      </c>
    </row>
    <row r="104">
      <c r="A104" t="inlineStr">
        <is>
          <t>103</t>
        </is>
      </c>
      <c r="B104" t="inlineStr">
        <is>
          <t>Lochlan Dyer</t>
        </is>
      </c>
      <c r="C104" t="inlineStr">
        <is>
          <t>Lee Valley Youth Cycling Club</t>
        </is>
      </c>
      <c r="D104" t="inlineStr">
        <is>
          <t>48</t>
        </is>
      </c>
      <c r="E104">
        <f>HYPERLINK("https://www.britishcycling.org.uk/points?person_id=679021&amp;year=2021&amp;type=national&amp;d=6","Results")</f>
        <v/>
      </c>
    </row>
    <row r="105">
      <c r="A105" t="inlineStr">
        <is>
          <t>104</t>
        </is>
      </c>
      <c r="B105" t="inlineStr">
        <is>
          <t>William Hyde</t>
        </is>
      </c>
      <c r="C105" t="inlineStr">
        <is>
          <t>Newport Shropshire CC</t>
        </is>
      </c>
      <c r="D105" t="inlineStr">
        <is>
          <t>48</t>
        </is>
      </c>
      <c r="E105">
        <f>HYPERLINK("https://www.britishcycling.org.uk/points?person_id=578038&amp;year=2021&amp;type=national&amp;d=6","Results")</f>
        <v/>
      </c>
    </row>
    <row r="106">
      <c r="A106" t="inlineStr">
        <is>
          <t>105</t>
        </is>
      </c>
      <c r="B106" t="inlineStr">
        <is>
          <t>Steffan King</t>
        </is>
      </c>
      <c r="C106" t="inlineStr">
        <is>
          <t>Maindy Flyers CC</t>
        </is>
      </c>
      <c r="D106" t="inlineStr">
        <is>
          <t>48</t>
        </is>
      </c>
      <c r="E106">
        <f>HYPERLINK("https://www.britishcycling.org.uk/points?person_id=540166&amp;year=2021&amp;type=national&amp;d=6","Results")</f>
        <v/>
      </c>
    </row>
    <row r="107">
      <c r="A107" t="inlineStr">
        <is>
          <t>106</t>
        </is>
      </c>
      <c r="B107" t="inlineStr">
        <is>
          <t>Oliver Thorpe</t>
        </is>
      </c>
      <c r="C107" t="inlineStr">
        <is>
          <t>RTD - J'sCycleShack</t>
        </is>
      </c>
      <c r="D107" t="inlineStr">
        <is>
          <t>48</t>
        </is>
      </c>
      <c r="E107">
        <f>HYPERLINK("https://www.britishcycling.org.uk/points?person_id=706681&amp;year=2021&amp;type=national&amp;d=6","Results")</f>
        <v/>
      </c>
    </row>
    <row r="108">
      <c r="A108" t="inlineStr">
        <is>
          <t>107</t>
        </is>
      </c>
      <c r="B108" t="inlineStr">
        <is>
          <t>Cole McCann</t>
        </is>
      </c>
      <c r="C108" t="inlineStr">
        <is>
          <t>Royal Albert CC</t>
        </is>
      </c>
      <c r="D108" t="inlineStr">
        <is>
          <t>46</t>
        </is>
      </c>
      <c r="E108">
        <f>HYPERLINK("https://www.britishcycling.org.uk/points?person_id=426804&amp;year=2021&amp;type=national&amp;d=6","Results")</f>
        <v/>
      </c>
    </row>
    <row r="109">
      <c r="A109" t="inlineStr">
        <is>
          <t>108</t>
        </is>
      </c>
      <c r="B109" t="inlineStr">
        <is>
          <t>Isaac Holwell</t>
        </is>
      </c>
      <c r="C109" t="inlineStr">
        <is>
          <t>Matlock CC</t>
        </is>
      </c>
      <c r="D109" t="inlineStr">
        <is>
          <t>45</t>
        </is>
      </c>
      <c r="E109">
        <f>HYPERLINK("https://www.britishcycling.org.uk/points?person_id=1024243&amp;year=2021&amp;type=national&amp;d=6","Results")</f>
        <v/>
      </c>
    </row>
    <row r="110">
      <c r="A110" t="inlineStr">
        <is>
          <t>109</t>
        </is>
      </c>
      <c r="B110" t="inlineStr">
        <is>
          <t>Harper Johnson</t>
        </is>
      </c>
      <c r="C110" t="inlineStr">
        <is>
          <t>Eastlands Velo</t>
        </is>
      </c>
      <c r="D110" t="inlineStr">
        <is>
          <t>44</t>
        </is>
      </c>
      <c r="E110">
        <f>HYPERLINK("https://www.britishcycling.org.uk/points?person_id=876533&amp;year=2021&amp;type=national&amp;d=6","Results")</f>
        <v/>
      </c>
    </row>
    <row r="111">
      <c r="A111" t="inlineStr">
        <is>
          <t>110</t>
        </is>
      </c>
      <c r="B111" t="inlineStr">
        <is>
          <t>Samuel Stacey</t>
        </is>
      </c>
      <c r="C111" t="inlineStr">
        <is>
          <t>Verulam - reallymoving.com</t>
        </is>
      </c>
      <c r="D111" t="inlineStr">
        <is>
          <t>43</t>
        </is>
      </c>
      <c r="E111">
        <f>HYPERLINK("https://www.britishcycling.org.uk/points?person_id=1010955&amp;year=2021&amp;type=national&amp;d=6","Results")</f>
        <v/>
      </c>
    </row>
    <row r="112">
      <c r="A112" t="inlineStr">
        <is>
          <t>111</t>
        </is>
      </c>
      <c r="B112" t="inlineStr">
        <is>
          <t>Albert Hacker</t>
        </is>
      </c>
      <c r="C112" t="inlineStr">
        <is>
          <t>Kent Velo Youth</t>
        </is>
      </c>
      <c r="D112" t="inlineStr">
        <is>
          <t>42</t>
        </is>
      </c>
      <c r="E112">
        <f>HYPERLINK("https://www.britishcycling.org.uk/points?person_id=295271&amp;year=2021&amp;type=national&amp;d=6","Results")</f>
        <v/>
      </c>
    </row>
    <row r="113">
      <c r="A113" t="inlineStr">
        <is>
          <t>112</t>
        </is>
      </c>
      <c r="B113" t="inlineStr">
        <is>
          <t>Ewan Watson</t>
        </is>
      </c>
      <c r="C113" t="inlineStr">
        <is>
          <t>Solent Pirates</t>
        </is>
      </c>
      <c r="D113" t="inlineStr">
        <is>
          <t>41</t>
        </is>
      </c>
      <c r="E113">
        <f>HYPERLINK("https://www.britishcycling.org.uk/points?person_id=517456&amp;year=2021&amp;type=national&amp;d=6","Results")</f>
        <v/>
      </c>
    </row>
    <row r="114">
      <c r="A114" t="inlineStr">
        <is>
          <t>113</t>
        </is>
      </c>
      <c r="B114" t="inlineStr">
        <is>
          <t>William Birchall</t>
        </is>
      </c>
      <c r="C114" t="inlineStr">
        <is>
          <t>Mid Devon CC</t>
        </is>
      </c>
      <c r="D114" t="inlineStr">
        <is>
          <t>40</t>
        </is>
      </c>
      <c r="E114">
        <f>HYPERLINK("https://www.britishcycling.org.uk/points?person_id=699413&amp;year=2021&amp;type=national&amp;d=6","Results")</f>
        <v/>
      </c>
    </row>
    <row r="115">
      <c r="A115" t="inlineStr">
        <is>
          <t>114</t>
        </is>
      </c>
      <c r="B115" t="inlineStr">
        <is>
          <t>Toby Gaul</t>
        </is>
      </c>
      <c r="C115" t="inlineStr"/>
      <c r="D115" t="inlineStr">
        <is>
          <t>40</t>
        </is>
      </c>
      <c r="E115">
        <f>HYPERLINK("https://www.britishcycling.org.uk/points?person_id=330145&amp;year=2021&amp;type=national&amp;d=6","Results")</f>
        <v/>
      </c>
    </row>
    <row r="116">
      <c r="A116" t="inlineStr">
        <is>
          <t>115</t>
        </is>
      </c>
      <c r="B116" t="inlineStr">
        <is>
          <t>Noah Killeen</t>
        </is>
      </c>
      <c r="C116" t="inlineStr">
        <is>
          <t>Mid Shropshire Wheelers</t>
        </is>
      </c>
      <c r="D116" t="inlineStr">
        <is>
          <t>40</t>
        </is>
      </c>
      <c r="E116">
        <f>HYPERLINK("https://www.britishcycling.org.uk/points?person_id=716390&amp;year=2021&amp;type=national&amp;d=6","Results")</f>
        <v/>
      </c>
    </row>
    <row r="117">
      <c r="A117" t="inlineStr">
        <is>
          <t>116</t>
        </is>
      </c>
      <c r="B117" t="inlineStr">
        <is>
          <t>Charlie Albone</t>
        </is>
      </c>
      <c r="C117" t="inlineStr">
        <is>
          <t>Shibden Cycling Club</t>
        </is>
      </c>
      <c r="D117" t="inlineStr">
        <is>
          <t>39</t>
        </is>
      </c>
      <c r="E117">
        <f>HYPERLINK("https://www.britishcycling.org.uk/points?person_id=522424&amp;year=2021&amp;type=national&amp;d=6","Results")</f>
        <v/>
      </c>
    </row>
    <row r="118">
      <c r="A118" t="inlineStr">
        <is>
          <t>117</t>
        </is>
      </c>
      <c r="B118" t="inlineStr">
        <is>
          <t>Zac Batey</t>
        </is>
      </c>
      <c r="C118" t="inlineStr">
        <is>
          <t>Derwentside CC</t>
        </is>
      </c>
      <c r="D118" t="inlineStr">
        <is>
          <t>39</t>
        </is>
      </c>
      <c r="E118">
        <f>HYPERLINK("https://www.britishcycling.org.uk/points?person_id=508173&amp;year=2021&amp;type=national&amp;d=6","Results")</f>
        <v/>
      </c>
    </row>
    <row r="119">
      <c r="A119" t="inlineStr">
        <is>
          <t>118</t>
        </is>
      </c>
      <c r="B119" t="inlineStr">
        <is>
          <t>Matthew Fletcher</t>
        </is>
      </c>
      <c r="C119" t="inlineStr">
        <is>
          <t>4T+ Cyclopark</t>
        </is>
      </c>
      <c r="D119" t="inlineStr">
        <is>
          <t>39</t>
        </is>
      </c>
      <c r="E119">
        <f>HYPERLINK("https://www.britishcycling.org.uk/points?person_id=296177&amp;year=2021&amp;type=national&amp;d=6","Results")</f>
        <v/>
      </c>
    </row>
    <row r="120">
      <c r="A120" t="inlineStr">
        <is>
          <t>119</t>
        </is>
      </c>
      <c r="B120" t="inlineStr">
        <is>
          <t>Ivo Thwaites</t>
        </is>
      </c>
      <c r="C120" t="inlineStr">
        <is>
          <t>Kent Velo Youth</t>
        </is>
      </c>
      <c r="D120" t="inlineStr">
        <is>
          <t>39</t>
        </is>
      </c>
      <c r="E120">
        <f>HYPERLINK("https://www.britishcycling.org.uk/points?person_id=601755&amp;year=2021&amp;type=national&amp;d=6","Results")</f>
        <v/>
      </c>
    </row>
    <row r="121">
      <c r="A121" t="inlineStr">
        <is>
          <t>120</t>
        </is>
      </c>
      <c r="B121" t="inlineStr">
        <is>
          <t>Harley Widdowson</t>
        </is>
      </c>
      <c r="C121" t="inlineStr">
        <is>
          <t>Clancy Briggs Cycling Academy</t>
        </is>
      </c>
      <c r="D121" t="inlineStr">
        <is>
          <t>39</t>
        </is>
      </c>
      <c r="E121">
        <f>HYPERLINK("https://www.britishcycling.org.uk/points?person_id=1014402&amp;year=2021&amp;type=national&amp;d=6","Results")</f>
        <v/>
      </c>
    </row>
    <row r="122">
      <c r="A122" t="inlineStr">
        <is>
          <t>121</t>
        </is>
      </c>
      <c r="B122" t="inlineStr">
        <is>
          <t>Frederic Moorhouse-Smith</t>
        </is>
      </c>
      <c r="C122" t="inlineStr">
        <is>
          <t>Shibden Cycling Club</t>
        </is>
      </c>
      <c r="D122" t="inlineStr">
        <is>
          <t>38</t>
        </is>
      </c>
      <c r="E122">
        <f>HYPERLINK("https://www.britishcycling.org.uk/points?person_id=946694&amp;year=2021&amp;type=national&amp;d=6","Results")</f>
        <v/>
      </c>
    </row>
    <row r="123">
      <c r="A123" t="inlineStr">
        <is>
          <t>122</t>
        </is>
      </c>
      <c r="B123" t="inlineStr">
        <is>
          <t>Israel Noble</t>
        </is>
      </c>
      <c r="C123" t="inlineStr"/>
      <c r="D123" t="inlineStr">
        <is>
          <t>36</t>
        </is>
      </c>
      <c r="E123">
        <f>HYPERLINK("https://www.britishcycling.org.uk/points?person_id=475273&amp;year=2021&amp;type=national&amp;d=6","Results")</f>
        <v/>
      </c>
    </row>
    <row r="124">
      <c r="A124" t="inlineStr">
        <is>
          <t>123</t>
        </is>
      </c>
      <c r="B124" t="inlineStr">
        <is>
          <t>William Pickering</t>
        </is>
      </c>
      <c r="C124" t="inlineStr">
        <is>
          <t>Shibden Cycling Club</t>
        </is>
      </c>
      <c r="D124" t="inlineStr">
        <is>
          <t>36</t>
        </is>
      </c>
      <c r="E124">
        <f>HYPERLINK("https://www.britishcycling.org.uk/points?person_id=563908&amp;year=2021&amp;type=national&amp;d=6","Results")</f>
        <v/>
      </c>
    </row>
    <row r="125">
      <c r="A125" t="inlineStr">
        <is>
          <t>124</t>
        </is>
      </c>
      <c r="B125" t="inlineStr">
        <is>
          <t>Zach Barbour</t>
        </is>
      </c>
      <c r="C125" t="inlineStr">
        <is>
          <t>SteppingStanes Youth Cycling Club</t>
        </is>
      </c>
      <c r="D125" t="inlineStr">
        <is>
          <t>35</t>
        </is>
      </c>
      <c r="E125">
        <f>HYPERLINK("https://www.britishcycling.org.uk/points?person_id=525068&amp;year=2021&amp;type=national&amp;d=6","Results")</f>
        <v/>
      </c>
    </row>
    <row r="126">
      <c r="A126" t="inlineStr">
        <is>
          <t>125</t>
        </is>
      </c>
      <c r="B126" t="inlineStr">
        <is>
          <t>Reuben Cox</t>
        </is>
      </c>
      <c r="C126" t="inlineStr">
        <is>
          <t>Abergavenny Road Club</t>
        </is>
      </c>
      <c r="D126" t="inlineStr">
        <is>
          <t>35</t>
        </is>
      </c>
      <c r="E126">
        <f>HYPERLINK("https://www.britishcycling.org.uk/points?person_id=829039&amp;year=2021&amp;type=national&amp;d=6","Results")</f>
        <v/>
      </c>
    </row>
    <row r="127">
      <c r="A127" t="inlineStr">
        <is>
          <t>126</t>
        </is>
      </c>
      <c r="B127" t="inlineStr">
        <is>
          <t>Innes Long</t>
        </is>
      </c>
      <c r="C127" t="inlineStr">
        <is>
          <t>Deeside Thistle CC</t>
        </is>
      </c>
      <c r="D127" t="inlineStr">
        <is>
          <t>35</t>
        </is>
      </c>
      <c r="E127">
        <f>HYPERLINK("https://www.britishcycling.org.uk/points?person_id=408029&amp;year=2021&amp;type=national&amp;d=6","Results")</f>
        <v/>
      </c>
    </row>
    <row r="128">
      <c r="A128" t="inlineStr">
        <is>
          <t>127</t>
        </is>
      </c>
      <c r="B128" t="inlineStr">
        <is>
          <t>Jamie Brough</t>
        </is>
      </c>
      <c r="C128" t="inlineStr">
        <is>
          <t>Matlock CC</t>
        </is>
      </c>
      <c r="D128" t="inlineStr">
        <is>
          <t>34</t>
        </is>
      </c>
      <c r="E128">
        <f>HYPERLINK("https://www.britishcycling.org.uk/points?person_id=735796&amp;year=2021&amp;type=national&amp;d=6","Results")</f>
        <v/>
      </c>
    </row>
    <row r="129">
      <c r="A129" t="inlineStr">
        <is>
          <t>128</t>
        </is>
      </c>
      <c r="B129" t="inlineStr">
        <is>
          <t>Ross Eastaugh</t>
        </is>
      </c>
      <c r="C129" t="inlineStr">
        <is>
          <t>Deeside Thistle CC</t>
        </is>
      </c>
      <c r="D129" t="inlineStr">
        <is>
          <t>34</t>
        </is>
      </c>
      <c r="E129">
        <f>HYPERLINK("https://www.britishcycling.org.uk/points?person_id=800216&amp;year=2021&amp;type=national&amp;d=6","Results")</f>
        <v/>
      </c>
    </row>
    <row r="130">
      <c r="A130" t="inlineStr">
        <is>
          <t>129</t>
        </is>
      </c>
      <c r="B130" t="inlineStr">
        <is>
          <t>William McCristal</t>
        </is>
      </c>
      <c r="C130" t="inlineStr">
        <is>
          <t>Matlock CC</t>
        </is>
      </c>
      <c r="D130" t="inlineStr">
        <is>
          <t>33</t>
        </is>
      </c>
      <c r="E130">
        <f>HYPERLINK("https://www.britishcycling.org.uk/points?person_id=741009&amp;year=2021&amp;type=national&amp;d=6","Results")</f>
        <v/>
      </c>
    </row>
    <row r="131">
      <c r="A131" t="inlineStr">
        <is>
          <t>130</t>
        </is>
      </c>
      <c r="B131" t="inlineStr">
        <is>
          <t>Malakhi Bailey</t>
        </is>
      </c>
      <c r="C131" t="inlineStr">
        <is>
          <t>Halesowen A &amp; CC</t>
        </is>
      </c>
      <c r="D131" t="inlineStr">
        <is>
          <t>32</t>
        </is>
      </c>
      <c r="E131">
        <f>HYPERLINK("https://www.britishcycling.org.uk/points?person_id=897149&amp;year=2021&amp;type=national&amp;d=6","Results")</f>
        <v/>
      </c>
    </row>
    <row r="132">
      <c r="A132" t="inlineStr">
        <is>
          <t>131</t>
        </is>
      </c>
      <c r="B132" t="inlineStr">
        <is>
          <t>Oscar Lawrence</t>
        </is>
      </c>
      <c r="C132" t="inlineStr">
        <is>
          <t>Velo Club Venta</t>
        </is>
      </c>
      <c r="D132" t="inlineStr">
        <is>
          <t>32</t>
        </is>
      </c>
      <c r="E132">
        <f>HYPERLINK("https://www.britishcycling.org.uk/points?person_id=981178&amp;year=2021&amp;type=national&amp;d=6","Results")</f>
        <v/>
      </c>
    </row>
    <row r="133">
      <c r="A133" t="inlineStr">
        <is>
          <t>132</t>
        </is>
      </c>
      <c r="B133" t="inlineStr">
        <is>
          <t>Jacob Start</t>
        </is>
      </c>
      <c r="C133" t="inlineStr">
        <is>
          <t>Mid Devon CC</t>
        </is>
      </c>
      <c r="D133" t="inlineStr">
        <is>
          <t>32</t>
        </is>
      </c>
      <c r="E133">
        <f>HYPERLINK("https://www.britishcycling.org.uk/points?person_id=535162&amp;year=2021&amp;type=national&amp;d=6","Results")</f>
        <v/>
      </c>
    </row>
    <row r="134">
      <c r="A134" t="inlineStr">
        <is>
          <t>133</t>
        </is>
      </c>
      <c r="B134" t="inlineStr">
        <is>
          <t>Leon Parker</t>
        </is>
      </c>
      <c r="C134" t="inlineStr">
        <is>
          <t>Salt Ayre Cog Set</t>
        </is>
      </c>
      <c r="D134" t="inlineStr">
        <is>
          <t>31</t>
        </is>
      </c>
      <c r="E134">
        <f>HYPERLINK("https://www.britishcycling.org.uk/points?person_id=398442&amp;year=2021&amp;type=national&amp;d=6","Results")</f>
        <v/>
      </c>
    </row>
    <row r="135">
      <c r="A135" t="inlineStr">
        <is>
          <t>134</t>
        </is>
      </c>
      <c r="B135" t="inlineStr">
        <is>
          <t>Angus Millar</t>
        </is>
      </c>
      <c r="C135" t="inlineStr">
        <is>
          <t>Harrogate Nova CC</t>
        </is>
      </c>
      <c r="D135" t="inlineStr">
        <is>
          <t>29</t>
        </is>
      </c>
      <c r="E135">
        <f>HYPERLINK("https://www.britishcycling.org.uk/points?person_id=657805&amp;year=2021&amp;type=national&amp;d=6","Results")</f>
        <v/>
      </c>
    </row>
    <row r="136">
      <c r="A136" t="inlineStr">
        <is>
          <t>135</t>
        </is>
      </c>
      <c r="B136" t="inlineStr">
        <is>
          <t>Sam Parker</t>
        </is>
      </c>
      <c r="C136" t="inlineStr">
        <is>
          <t>Lichfield City CC</t>
        </is>
      </c>
      <c r="D136" t="inlineStr">
        <is>
          <t>29</t>
        </is>
      </c>
      <c r="E136">
        <f>HYPERLINK("https://www.britishcycling.org.uk/points?person_id=477195&amp;year=2021&amp;type=national&amp;d=6","Results")</f>
        <v/>
      </c>
    </row>
    <row r="137">
      <c r="A137" t="inlineStr">
        <is>
          <t>136</t>
        </is>
      </c>
      <c r="B137" t="inlineStr">
        <is>
          <t>Dylan Phipps</t>
        </is>
      </c>
      <c r="C137" t="inlineStr">
        <is>
          <t>Redditch Road &amp; Path CC</t>
        </is>
      </c>
      <c r="D137" t="inlineStr">
        <is>
          <t>28</t>
        </is>
      </c>
      <c r="E137">
        <f>HYPERLINK("https://www.britishcycling.org.uk/points?person_id=733112&amp;year=2021&amp;type=national&amp;d=6","Results")</f>
        <v/>
      </c>
    </row>
    <row r="138">
      <c r="A138" t="inlineStr">
        <is>
          <t>137</t>
        </is>
      </c>
      <c r="B138" t="inlineStr">
        <is>
          <t>Kalle van Paridon</t>
        </is>
      </c>
      <c r="C138" t="inlineStr"/>
      <c r="D138" t="inlineStr">
        <is>
          <t>28</t>
        </is>
      </c>
      <c r="E138">
        <f>HYPERLINK("https://www.britishcycling.org.uk/points?person_id=1025005&amp;year=2021&amp;type=national&amp;d=6","Results")</f>
        <v/>
      </c>
    </row>
    <row r="139">
      <c r="A139" t="inlineStr">
        <is>
          <t>138</t>
        </is>
      </c>
      <c r="B139" t="inlineStr">
        <is>
          <t>Oliver Riches</t>
        </is>
      </c>
      <c r="C139" t="inlineStr"/>
      <c r="D139" t="inlineStr">
        <is>
          <t>27</t>
        </is>
      </c>
      <c r="E139">
        <f>HYPERLINK("https://www.britishcycling.org.uk/points?person_id=969735&amp;year=2021&amp;type=national&amp;d=6","Results")</f>
        <v/>
      </c>
    </row>
    <row r="140">
      <c r="A140" t="inlineStr">
        <is>
          <t>139</t>
        </is>
      </c>
      <c r="B140" t="inlineStr">
        <is>
          <t>Noah Roscoe</t>
        </is>
      </c>
      <c r="C140" t="inlineStr">
        <is>
          <t>Cheltenham Town Wheelers</t>
        </is>
      </c>
      <c r="D140" t="inlineStr">
        <is>
          <t>27</t>
        </is>
      </c>
      <c r="E140">
        <f>HYPERLINK("https://www.britishcycling.org.uk/points?person_id=943826&amp;year=2021&amp;type=national&amp;d=6","Results")</f>
        <v/>
      </c>
    </row>
    <row r="141">
      <c r="A141" t="inlineStr">
        <is>
          <t>140</t>
        </is>
      </c>
      <c r="B141" t="inlineStr">
        <is>
          <t>Matthew Sanderson</t>
        </is>
      </c>
      <c r="C141" t="inlineStr">
        <is>
          <t>NRG Cycles RT</t>
        </is>
      </c>
      <c r="D141" t="inlineStr">
        <is>
          <t>26</t>
        </is>
      </c>
      <c r="E141">
        <f>HYPERLINK("https://www.britishcycling.org.uk/points?person_id=1020101&amp;year=2021&amp;type=national&amp;d=6","Results")</f>
        <v/>
      </c>
    </row>
    <row r="142">
      <c r="A142" t="inlineStr">
        <is>
          <t>141</t>
        </is>
      </c>
      <c r="B142" t="inlineStr">
        <is>
          <t>Kieran Vanhoutte</t>
        </is>
      </c>
      <c r="C142" t="inlineStr">
        <is>
          <t>Ely &amp; District CC</t>
        </is>
      </c>
      <c r="D142" t="inlineStr">
        <is>
          <t>26</t>
        </is>
      </c>
      <c r="E142">
        <f>HYPERLINK("https://www.britishcycling.org.uk/points?person_id=791494&amp;year=2021&amp;type=national&amp;d=6","Results")</f>
        <v/>
      </c>
    </row>
    <row r="143">
      <c r="A143" t="inlineStr">
        <is>
          <t>142</t>
        </is>
      </c>
      <c r="B143" t="inlineStr">
        <is>
          <t>James Saunders</t>
        </is>
      </c>
      <c r="C143" t="inlineStr">
        <is>
          <t>Wyre Forest CRC</t>
        </is>
      </c>
      <c r="D143" t="inlineStr">
        <is>
          <t>25</t>
        </is>
      </c>
      <c r="E143">
        <f>HYPERLINK("https://www.britishcycling.org.uk/points?person_id=687595&amp;year=2021&amp;type=national&amp;d=6","Results")</f>
        <v/>
      </c>
    </row>
    <row r="144">
      <c r="A144" t="inlineStr">
        <is>
          <t>143</t>
        </is>
      </c>
      <c r="B144" t="inlineStr">
        <is>
          <t>Elliot Turner</t>
        </is>
      </c>
      <c r="C144" t="inlineStr">
        <is>
          <t>Hafren CC</t>
        </is>
      </c>
      <c r="D144" t="inlineStr">
        <is>
          <t>25</t>
        </is>
      </c>
      <c r="E144">
        <f>HYPERLINK("https://www.britishcycling.org.uk/points?person_id=643748&amp;year=2021&amp;type=national&amp;d=6","Results")</f>
        <v/>
      </c>
    </row>
    <row r="145">
      <c r="A145" t="inlineStr">
        <is>
          <t>144</t>
        </is>
      </c>
      <c r="B145" t="inlineStr">
        <is>
          <t>Samuel Freeman</t>
        </is>
      </c>
      <c r="C145" t="inlineStr">
        <is>
          <t>Leicester Forest CC</t>
        </is>
      </c>
      <c r="D145" t="inlineStr">
        <is>
          <t>24</t>
        </is>
      </c>
      <c r="E145">
        <f>HYPERLINK("https://www.britishcycling.org.uk/points?person_id=1011851&amp;year=2021&amp;type=national&amp;d=6","Results")</f>
        <v/>
      </c>
    </row>
    <row r="146">
      <c r="A146" t="inlineStr">
        <is>
          <t>145</t>
        </is>
      </c>
      <c r="B146" t="inlineStr">
        <is>
          <t>Edward Lindsay</t>
        </is>
      </c>
      <c r="C146" t="inlineStr">
        <is>
          <t>Carnegie Cyclones</t>
        </is>
      </c>
      <c r="D146" t="inlineStr">
        <is>
          <t>24</t>
        </is>
      </c>
      <c r="E146">
        <f>HYPERLINK("https://www.britishcycling.org.uk/points?person_id=852561&amp;year=2021&amp;type=national&amp;d=6","Results")</f>
        <v/>
      </c>
    </row>
    <row r="147">
      <c r="A147" t="inlineStr">
        <is>
          <t>146</t>
        </is>
      </c>
      <c r="B147" t="inlineStr">
        <is>
          <t>Daniel Rowntree</t>
        </is>
      </c>
      <c r="C147" t="inlineStr">
        <is>
          <t>Bath Cycling Club</t>
        </is>
      </c>
      <c r="D147" t="inlineStr">
        <is>
          <t>24</t>
        </is>
      </c>
      <c r="E147">
        <f>HYPERLINK("https://www.britishcycling.org.uk/points?person_id=246827&amp;year=2021&amp;type=national&amp;d=6","Results")</f>
        <v/>
      </c>
    </row>
    <row r="148">
      <c r="A148" t="inlineStr">
        <is>
          <t>147</t>
        </is>
      </c>
      <c r="B148" t="inlineStr">
        <is>
          <t>Joshua Lane</t>
        </is>
      </c>
      <c r="C148" t="inlineStr">
        <is>
          <t>Nottingham Clarion CC</t>
        </is>
      </c>
      <c r="D148" t="inlineStr">
        <is>
          <t>23</t>
        </is>
      </c>
      <c r="E148">
        <f>HYPERLINK("https://www.britishcycling.org.uk/points?person_id=735828&amp;year=2021&amp;type=national&amp;d=6","Results")</f>
        <v/>
      </c>
    </row>
    <row r="149">
      <c r="A149" t="inlineStr">
        <is>
          <t>148</t>
        </is>
      </c>
      <c r="B149" t="inlineStr">
        <is>
          <t>Daniel Brownsword</t>
        </is>
      </c>
      <c r="C149" t="inlineStr">
        <is>
          <t>Solihull CC</t>
        </is>
      </c>
      <c r="D149" t="inlineStr">
        <is>
          <t>22</t>
        </is>
      </c>
      <c r="E149">
        <f>HYPERLINK("https://www.britishcycling.org.uk/points?person_id=191655&amp;year=2021&amp;type=national&amp;d=6","Results")</f>
        <v/>
      </c>
    </row>
    <row r="150">
      <c r="A150" t="inlineStr">
        <is>
          <t>149</t>
        </is>
      </c>
      <c r="B150" t="inlineStr">
        <is>
          <t>Finn Crowther</t>
        </is>
      </c>
      <c r="C150" t="inlineStr">
        <is>
          <t>Team Andrew Allan Architecture</t>
        </is>
      </c>
      <c r="D150" t="inlineStr">
        <is>
          <t>22</t>
        </is>
      </c>
      <c r="E150">
        <f>HYPERLINK("https://www.britishcycling.org.uk/points?person_id=404067&amp;year=2021&amp;type=national&amp;d=6","Results")</f>
        <v/>
      </c>
    </row>
    <row r="151">
      <c r="A151" t="inlineStr">
        <is>
          <t>150</t>
        </is>
      </c>
      <c r="B151" t="inlineStr">
        <is>
          <t>Mikhail Gitnik</t>
        </is>
      </c>
      <c r="C151" t="inlineStr">
        <is>
          <t>VC Londres</t>
        </is>
      </c>
      <c r="D151" t="inlineStr">
        <is>
          <t>22</t>
        </is>
      </c>
      <c r="E151">
        <f>HYPERLINK("https://www.britishcycling.org.uk/points?person_id=538608&amp;year=2021&amp;type=national&amp;d=6","Results")</f>
        <v/>
      </c>
    </row>
    <row r="152">
      <c r="A152" t="inlineStr">
        <is>
          <t>151</t>
        </is>
      </c>
      <c r="B152" t="inlineStr">
        <is>
          <t>Arthur Oliver</t>
        </is>
      </c>
      <c r="C152" t="inlineStr">
        <is>
          <t>Matlock CC</t>
        </is>
      </c>
      <c r="D152" t="inlineStr">
        <is>
          <t>22</t>
        </is>
      </c>
      <c r="E152">
        <f>HYPERLINK("https://www.britishcycling.org.uk/points?person_id=839208&amp;year=2021&amp;type=national&amp;d=6","Results")</f>
        <v/>
      </c>
    </row>
    <row r="153">
      <c r="A153" t="inlineStr">
        <is>
          <t>152</t>
        </is>
      </c>
      <c r="B153" t="inlineStr">
        <is>
          <t>Isaac Pearcey</t>
        </is>
      </c>
      <c r="C153" t="inlineStr">
        <is>
          <t>Sulis Scorpions Youth Cycling Club</t>
        </is>
      </c>
      <c r="D153" t="inlineStr">
        <is>
          <t>22</t>
        </is>
      </c>
      <c r="E153">
        <f>HYPERLINK("https://www.britishcycling.org.uk/points?person_id=853232&amp;year=2021&amp;type=national&amp;d=6","Results")</f>
        <v/>
      </c>
    </row>
    <row r="154">
      <c r="A154" t="inlineStr">
        <is>
          <t>153</t>
        </is>
      </c>
      <c r="B154" t="inlineStr">
        <is>
          <t>George Thomas</t>
        </is>
      </c>
      <c r="C154" t="inlineStr">
        <is>
          <t>Team Milton Keynes</t>
        </is>
      </c>
      <c r="D154" t="inlineStr">
        <is>
          <t>22</t>
        </is>
      </c>
      <c r="E154">
        <f>HYPERLINK("https://www.britishcycling.org.uk/points?person_id=303593&amp;year=2021&amp;type=national&amp;d=6","Results")</f>
        <v/>
      </c>
    </row>
    <row r="155">
      <c r="A155" t="inlineStr">
        <is>
          <t>154</t>
        </is>
      </c>
      <c r="B155" t="inlineStr">
        <is>
          <t>Oliver Bailey</t>
        </is>
      </c>
      <c r="C155" t="inlineStr">
        <is>
          <t>Clancy Briggs Cycling Academy</t>
        </is>
      </c>
      <c r="D155" t="inlineStr">
        <is>
          <t>21</t>
        </is>
      </c>
      <c r="E155">
        <f>HYPERLINK("https://www.britishcycling.org.uk/points?person_id=689162&amp;year=2021&amp;type=national&amp;d=6","Results")</f>
        <v/>
      </c>
    </row>
    <row r="156">
      <c r="A156" t="inlineStr">
        <is>
          <t>155</t>
        </is>
      </c>
      <c r="B156" t="inlineStr">
        <is>
          <t>Hadley Davis</t>
        </is>
      </c>
      <c r="C156" t="inlineStr">
        <is>
          <t>VC Jubilee</t>
        </is>
      </c>
      <c r="D156" t="inlineStr">
        <is>
          <t>21</t>
        </is>
      </c>
      <c r="E156">
        <f>HYPERLINK("https://www.britishcycling.org.uk/points?person_id=893960&amp;year=2021&amp;type=national&amp;d=6","Results")</f>
        <v/>
      </c>
    </row>
    <row r="157">
      <c r="A157" t="inlineStr">
        <is>
          <t>156</t>
        </is>
      </c>
      <c r="B157" t="inlineStr">
        <is>
          <t>Pasco Reynolds</t>
        </is>
      </c>
      <c r="C157" t="inlineStr">
        <is>
          <t>Matlock CC</t>
        </is>
      </c>
      <c r="D157" t="inlineStr">
        <is>
          <t>21</t>
        </is>
      </c>
      <c r="E157">
        <f>HYPERLINK("https://www.britishcycling.org.uk/points?person_id=630957&amp;year=2021&amp;type=national&amp;d=6","Results")</f>
        <v/>
      </c>
    </row>
    <row r="158">
      <c r="A158" t="inlineStr">
        <is>
          <t>157</t>
        </is>
      </c>
      <c r="B158" t="inlineStr">
        <is>
          <t>James Spencer</t>
        </is>
      </c>
      <c r="C158" t="inlineStr">
        <is>
          <t>Velo Club Venta</t>
        </is>
      </c>
      <c r="D158" t="inlineStr">
        <is>
          <t>21</t>
        </is>
      </c>
      <c r="E158">
        <f>HYPERLINK("https://www.britishcycling.org.uk/points?person_id=719290&amp;year=2021&amp;type=national&amp;d=6","Results")</f>
        <v/>
      </c>
    </row>
    <row r="159">
      <c r="A159" t="inlineStr">
        <is>
          <t>158</t>
        </is>
      </c>
      <c r="B159" t="inlineStr">
        <is>
          <t>Elijah Storti</t>
        </is>
      </c>
      <c r="C159" t="inlineStr">
        <is>
          <t>Welwyn Wheelers CC</t>
        </is>
      </c>
      <c r="D159" t="inlineStr">
        <is>
          <t>21</t>
        </is>
      </c>
      <c r="E159">
        <f>HYPERLINK("https://www.britishcycling.org.uk/points?person_id=396867&amp;year=2021&amp;type=national&amp;d=6","Results")</f>
        <v/>
      </c>
    </row>
    <row r="160">
      <c r="A160" t="inlineStr">
        <is>
          <t>159</t>
        </is>
      </c>
      <c r="B160" t="inlineStr">
        <is>
          <t>Conor Walby</t>
        </is>
      </c>
      <c r="C160" t="inlineStr">
        <is>
          <t>The Bulls</t>
        </is>
      </c>
      <c r="D160" t="inlineStr">
        <is>
          <t>21</t>
        </is>
      </c>
      <c r="E160">
        <f>HYPERLINK("https://www.britishcycling.org.uk/points?person_id=538943&amp;year=2021&amp;type=national&amp;d=6","Results")</f>
        <v/>
      </c>
    </row>
    <row r="161">
      <c r="A161" t="inlineStr">
        <is>
          <t>160</t>
        </is>
      </c>
      <c r="B161" t="inlineStr">
        <is>
          <t>Dylan Bowen</t>
        </is>
      </c>
      <c r="C161" t="inlineStr">
        <is>
          <t>Abergavenny Road Club</t>
        </is>
      </c>
      <c r="D161" t="inlineStr">
        <is>
          <t>20</t>
        </is>
      </c>
      <c r="E161">
        <f>HYPERLINK("https://www.britishcycling.org.uk/points?person_id=310590&amp;year=2021&amp;type=national&amp;d=6","Results")</f>
        <v/>
      </c>
    </row>
    <row r="162">
      <c r="A162" t="inlineStr">
        <is>
          <t>161</t>
        </is>
      </c>
      <c r="B162" t="inlineStr">
        <is>
          <t>Mason Bulfin</t>
        </is>
      </c>
      <c r="C162" t="inlineStr">
        <is>
          <t>North Shields Polytechnic</t>
        </is>
      </c>
      <c r="D162" t="inlineStr">
        <is>
          <t>20</t>
        </is>
      </c>
      <c r="E162">
        <f>HYPERLINK("https://www.britishcycling.org.uk/points?person_id=990708&amp;year=2021&amp;type=national&amp;d=6","Results")</f>
        <v/>
      </c>
    </row>
    <row r="163">
      <c r="A163" t="inlineStr">
        <is>
          <t>162</t>
        </is>
      </c>
      <c r="B163" t="inlineStr">
        <is>
          <t>Loris Cains</t>
        </is>
      </c>
      <c r="C163" t="inlineStr">
        <is>
          <t>Avid Sport</t>
        </is>
      </c>
      <c r="D163" t="inlineStr">
        <is>
          <t>19</t>
        </is>
      </c>
      <c r="E163">
        <f>HYPERLINK("https://www.britishcycling.org.uk/points?person_id=773764&amp;year=2021&amp;type=national&amp;d=6","Results")</f>
        <v/>
      </c>
    </row>
    <row r="164">
      <c r="A164" t="inlineStr">
        <is>
          <t>163</t>
        </is>
      </c>
      <c r="B164" t="inlineStr">
        <is>
          <t>Jonah Hearn</t>
        </is>
      </c>
      <c r="C164" t="inlineStr">
        <is>
          <t>Lichfield City CC</t>
        </is>
      </c>
      <c r="D164" t="inlineStr">
        <is>
          <t>19</t>
        </is>
      </c>
      <c r="E164">
        <f>HYPERLINK("https://www.britishcycling.org.uk/points?person_id=304156&amp;year=2021&amp;type=national&amp;d=6","Results")</f>
        <v/>
      </c>
    </row>
    <row r="165">
      <c r="A165" t="inlineStr">
        <is>
          <t>164</t>
        </is>
      </c>
      <c r="B165" t="inlineStr">
        <is>
          <t>Thomas Smith</t>
        </is>
      </c>
      <c r="C165" t="inlineStr">
        <is>
          <t>Clifton CC</t>
        </is>
      </c>
      <c r="D165" t="inlineStr">
        <is>
          <t>19</t>
        </is>
      </c>
      <c r="E165">
        <f>HYPERLINK("https://www.britishcycling.org.uk/points?person_id=651939&amp;year=2021&amp;type=national&amp;d=6","Results")</f>
        <v/>
      </c>
    </row>
    <row r="166">
      <c r="A166" t="inlineStr">
        <is>
          <t>165</t>
        </is>
      </c>
      <c r="B166" t="inlineStr">
        <is>
          <t>Tayyib Farook</t>
        </is>
      </c>
      <c r="C166" t="inlineStr">
        <is>
          <t>Leicester Forest CC</t>
        </is>
      </c>
      <c r="D166" t="inlineStr">
        <is>
          <t>18</t>
        </is>
      </c>
      <c r="E166">
        <f>HYPERLINK("https://www.britishcycling.org.uk/points?person_id=883996&amp;year=2021&amp;type=national&amp;d=6","Results")</f>
        <v/>
      </c>
    </row>
    <row r="167">
      <c r="A167" t="inlineStr">
        <is>
          <t>166</t>
        </is>
      </c>
      <c r="B167" t="inlineStr">
        <is>
          <t>Oliver Haysom</t>
        </is>
      </c>
      <c r="C167" t="inlineStr">
        <is>
          <t>Crawley Wheelers</t>
        </is>
      </c>
      <c r="D167" t="inlineStr">
        <is>
          <t>18</t>
        </is>
      </c>
      <c r="E167">
        <f>HYPERLINK("https://www.britishcycling.org.uk/points?person_id=978758&amp;year=2021&amp;type=national&amp;d=6","Results")</f>
        <v/>
      </c>
    </row>
    <row r="168">
      <c r="A168" t="inlineStr">
        <is>
          <t>167</t>
        </is>
      </c>
      <c r="B168" t="inlineStr">
        <is>
          <t>Thomas Heap</t>
        </is>
      </c>
      <c r="C168" t="inlineStr">
        <is>
          <t>Hillingdon Slipstreamers</t>
        </is>
      </c>
      <c r="D168" t="inlineStr">
        <is>
          <t>18</t>
        </is>
      </c>
      <c r="E168">
        <f>HYPERLINK("https://www.britishcycling.org.uk/points?person_id=383839&amp;year=2021&amp;type=national&amp;d=6","Results")</f>
        <v/>
      </c>
    </row>
    <row r="169">
      <c r="A169" t="inlineStr">
        <is>
          <t>168</t>
        </is>
      </c>
      <c r="B169" t="inlineStr">
        <is>
          <t>Will Hocking</t>
        </is>
      </c>
      <c r="C169" t="inlineStr">
        <is>
          <t>Bruntwood Park BMX Club</t>
        </is>
      </c>
      <c r="D169" t="inlineStr">
        <is>
          <t>17</t>
        </is>
      </c>
      <c r="E169">
        <f>HYPERLINK("https://www.britishcycling.org.uk/points?person_id=937609&amp;year=2021&amp;type=national&amp;d=6","Results")</f>
        <v/>
      </c>
    </row>
    <row r="170">
      <c r="A170" t="inlineStr">
        <is>
          <t>169</t>
        </is>
      </c>
      <c r="B170" t="inlineStr">
        <is>
          <t>Zac Risdon</t>
        </is>
      </c>
      <c r="C170" t="inlineStr">
        <is>
          <t>Abergavenny Road Club</t>
        </is>
      </c>
      <c r="D170" t="inlineStr">
        <is>
          <t>17</t>
        </is>
      </c>
      <c r="E170">
        <f>HYPERLINK("https://www.britishcycling.org.uk/points?person_id=584493&amp;year=2021&amp;type=national&amp;d=6","Results")</f>
        <v/>
      </c>
    </row>
    <row r="171">
      <c r="A171" t="inlineStr">
        <is>
          <t>170</t>
        </is>
      </c>
      <c r="B171" t="inlineStr">
        <is>
          <t>Gregor Calvert</t>
        </is>
      </c>
      <c r="C171" t="inlineStr">
        <is>
          <t>West Lothian Clarion CC</t>
        </is>
      </c>
      <c r="D171" t="inlineStr">
        <is>
          <t>16</t>
        </is>
      </c>
      <c r="E171">
        <f>HYPERLINK("https://www.britishcycling.org.uk/points?person_id=1031872&amp;year=2021&amp;type=national&amp;d=6","Results")</f>
        <v/>
      </c>
    </row>
    <row r="172">
      <c r="A172" t="inlineStr">
        <is>
          <t>171</t>
        </is>
      </c>
      <c r="B172" t="inlineStr">
        <is>
          <t>Ross Cherruault</t>
        </is>
      </c>
      <c r="C172" t="inlineStr">
        <is>
          <t>Sulis Scorpions Youth Cycling Club</t>
        </is>
      </c>
      <c r="D172" t="inlineStr">
        <is>
          <t>16</t>
        </is>
      </c>
      <c r="E172">
        <f>HYPERLINK("https://www.britishcycling.org.uk/points?person_id=673055&amp;year=2021&amp;type=national&amp;d=6","Results")</f>
        <v/>
      </c>
    </row>
    <row r="173">
      <c r="A173" t="inlineStr">
        <is>
          <t>172</t>
        </is>
      </c>
      <c r="B173" t="inlineStr">
        <is>
          <t>Theo Quay-Clark</t>
        </is>
      </c>
      <c r="C173" t="inlineStr">
        <is>
          <t>Palmer Park Velo RT</t>
        </is>
      </c>
      <c r="D173" t="inlineStr">
        <is>
          <t>16</t>
        </is>
      </c>
      <c r="E173">
        <f>HYPERLINK("https://www.britishcycling.org.uk/points?person_id=772840&amp;year=2021&amp;type=national&amp;d=6","Results")</f>
        <v/>
      </c>
    </row>
    <row r="174">
      <c r="A174" t="inlineStr">
        <is>
          <t>173</t>
        </is>
      </c>
      <c r="B174" t="inlineStr">
        <is>
          <t>Benjamin Taylor</t>
        </is>
      </c>
      <c r="C174" t="inlineStr">
        <is>
          <t>Sheffield Youth Cycling Club</t>
        </is>
      </c>
      <c r="D174" t="inlineStr">
        <is>
          <t>16</t>
        </is>
      </c>
      <c r="E174">
        <f>HYPERLINK("https://www.britishcycling.org.uk/points?person_id=581724&amp;year=2021&amp;type=national&amp;d=6","Results")</f>
        <v/>
      </c>
    </row>
    <row r="175">
      <c r="A175" t="inlineStr">
        <is>
          <t>174</t>
        </is>
      </c>
      <c r="B175" t="inlineStr">
        <is>
          <t>Otto Allison</t>
        </is>
      </c>
      <c r="C175" t="inlineStr">
        <is>
          <t>Charlotteville CC</t>
        </is>
      </c>
      <c r="D175" t="inlineStr">
        <is>
          <t>15</t>
        </is>
      </c>
      <c r="E175">
        <f>HYPERLINK("https://www.britishcycling.org.uk/points?person_id=740601&amp;year=2021&amp;type=national&amp;d=6","Results")</f>
        <v/>
      </c>
    </row>
    <row r="176">
      <c r="A176" t="inlineStr">
        <is>
          <t>175</t>
        </is>
      </c>
      <c r="B176" t="inlineStr">
        <is>
          <t>Oliver Bain</t>
        </is>
      </c>
      <c r="C176" t="inlineStr">
        <is>
          <t>Deeside Thistle CC</t>
        </is>
      </c>
      <c r="D176" t="inlineStr">
        <is>
          <t>15</t>
        </is>
      </c>
      <c r="E176">
        <f>HYPERLINK("https://www.britishcycling.org.uk/points?person_id=404409&amp;year=2021&amp;type=national&amp;d=6","Results")</f>
        <v/>
      </c>
    </row>
    <row r="177">
      <c r="A177" t="inlineStr">
        <is>
          <t>176</t>
        </is>
      </c>
      <c r="B177" t="inlineStr">
        <is>
          <t>Samuel Brook</t>
        </is>
      </c>
      <c r="C177" t="inlineStr">
        <is>
          <t>West Suffolk Wheelers</t>
        </is>
      </c>
      <c r="D177" t="inlineStr">
        <is>
          <t>15</t>
        </is>
      </c>
      <c r="E177">
        <f>HYPERLINK("https://www.britishcycling.org.uk/points?person_id=616119&amp;year=2021&amp;type=national&amp;d=6","Results")</f>
        <v/>
      </c>
    </row>
    <row r="178">
      <c r="A178" t="inlineStr">
        <is>
          <t>177</t>
        </is>
      </c>
      <c r="B178" t="inlineStr">
        <is>
          <t>Samuel Marcade</t>
        </is>
      </c>
      <c r="C178" t="inlineStr">
        <is>
          <t>Sotonia CC</t>
        </is>
      </c>
      <c r="D178" t="inlineStr">
        <is>
          <t>15</t>
        </is>
      </c>
      <c r="E178">
        <f>HYPERLINK("https://www.britishcycling.org.uk/points?person_id=1032999&amp;year=2021&amp;type=national&amp;d=6","Results")</f>
        <v/>
      </c>
    </row>
    <row r="179">
      <c r="A179" t="inlineStr">
        <is>
          <t>178</t>
        </is>
      </c>
      <c r="B179" t="inlineStr">
        <is>
          <t>Ruaridh Aylward</t>
        </is>
      </c>
      <c r="C179" t="inlineStr">
        <is>
          <t>East Bradford CC</t>
        </is>
      </c>
      <c r="D179" t="inlineStr">
        <is>
          <t>12</t>
        </is>
      </c>
      <c r="E179">
        <f>HYPERLINK("https://www.britishcycling.org.uk/points?person_id=282231&amp;year=2021&amp;type=national&amp;d=6","Results")</f>
        <v/>
      </c>
    </row>
    <row r="180">
      <c r="A180" t="inlineStr">
        <is>
          <t>179</t>
        </is>
      </c>
      <c r="B180" t="inlineStr">
        <is>
          <t>Harry Gilbank</t>
        </is>
      </c>
      <c r="C180" t="inlineStr">
        <is>
          <t>Lee Valley Youth Cycling Club</t>
        </is>
      </c>
      <c r="D180" t="inlineStr">
        <is>
          <t>12</t>
        </is>
      </c>
      <c r="E180">
        <f>HYPERLINK("https://www.britishcycling.org.uk/points?person_id=938777&amp;year=2021&amp;type=national&amp;d=6","Results")</f>
        <v/>
      </c>
    </row>
    <row r="181">
      <c r="A181" t="inlineStr">
        <is>
          <t>180</t>
        </is>
      </c>
      <c r="B181" t="inlineStr">
        <is>
          <t>Elliot Gurney</t>
        </is>
      </c>
      <c r="C181" t="inlineStr">
        <is>
          <t>Velo Club Venta</t>
        </is>
      </c>
      <c r="D181" t="inlineStr">
        <is>
          <t>12</t>
        </is>
      </c>
      <c r="E181">
        <f>HYPERLINK("https://www.britishcycling.org.uk/points?person_id=1033182&amp;year=2021&amp;type=national&amp;d=6","Results")</f>
        <v/>
      </c>
    </row>
    <row r="182">
      <c r="A182" t="inlineStr">
        <is>
          <t>181</t>
        </is>
      </c>
      <c r="B182" t="inlineStr">
        <is>
          <t>Taylor Hinchliffe</t>
        </is>
      </c>
      <c r="C182" t="inlineStr">
        <is>
          <t>Bolsover &amp; District Cycling Club</t>
        </is>
      </c>
      <c r="D182" t="inlineStr">
        <is>
          <t>12</t>
        </is>
      </c>
      <c r="E182">
        <f>HYPERLINK("https://www.britishcycling.org.uk/points?person_id=604747&amp;year=2021&amp;type=national&amp;d=6","Results")</f>
        <v/>
      </c>
    </row>
    <row r="183">
      <c r="A183" t="inlineStr">
        <is>
          <t>182</t>
        </is>
      </c>
      <c r="B183" t="inlineStr">
        <is>
          <t>Ewan Sexton</t>
        </is>
      </c>
      <c r="C183" t="inlineStr">
        <is>
          <t>West Lothian Clarion CC</t>
        </is>
      </c>
      <c r="D183" t="inlineStr">
        <is>
          <t>12</t>
        </is>
      </c>
      <c r="E183">
        <f>HYPERLINK("https://www.britishcycling.org.uk/points?person_id=614309&amp;year=2021&amp;type=national&amp;d=6","Results")</f>
        <v/>
      </c>
    </row>
    <row r="184">
      <c r="A184" t="inlineStr">
        <is>
          <t>183</t>
        </is>
      </c>
      <c r="B184" t="inlineStr">
        <is>
          <t>Samuel Thomas</t>
        </is>
      </c>
      <c r="C184" t="inlineStr">
        <is>
          <t>Solihull CC</t>
        </is>
      </c>
      <c r="D184" t="inlineStr">
        <is>
          <t>12</t>
        </is>
      </c>
      <c r="E184">
        <f>HYPERLINK("https://www.britishcycling.org.uk/points?person_id=745784&amp;year=2021&amp;type=national&amp;d=6","Results")</f>
        <v/>
      </c>
    </row>
    <row r="185">
      <c r="A185" t="inlineStr">
        <is>
          <t>184</t>
        </is>
      </c>
      <c r="B185" t="inlineStr">
        <is>
          <t>Duncan Whalley</t>
        </is>
      </c>
      <c r="C185" t="inlineStr">
        <is>
          <t>Astley &amp; Tyldesley Cycling Club</t>
        </is>
      </c>
      <c r="D185" t="inlineStr">
        <is>
          <t>12</t>
        </is>
      </c>
      <c r="E185">
        <f>HYPERLINK("https://www.britishcycling.org.uk/points?person_id=292677&amp;year=2021&amp;type=national&amp;d=6","Results")</f>
        <v/>
      </c>
    </row>
    <row r="186">
      <c r="A186" t="inlineStr">
        <is>
          <t>185</t>
        </is>
      </c>
      <c r="B186" t="inlineStr">
        <is>
          <t>Kaden Williams</t>
        </is>
      </c>
      <c r="C186" t="inlineStr">
        <is>
          <t>Harry Middleton Cycling Club</t>
        </is>
      </c>
      <c r="D186" t="inlineStr">
        <is>
          <t>12</t>
        </is>
      </c>
      <c r="E186">
        <f>HYPERLINK("https://www.britishcycling.org.uk/points?person_id=541964&amp;year=2021&amp;type=national&amp;d=6","Results")</f>
        <v/>
      </c>
    </row>
    <row r="187">
      <c r="A187" t="inlineStr">
        <is>
          <t>186</t>
        </is>
      </c>
      <c r="B187" t="inlineStr">
        <is>
          <t>Milo Clarke</t>
        </is>
      </c>
      <c r="C187" t="inlineStr">
        <is>
          <t>Preston Park Youth CC (PPYCC)</t>
        </is>
      </c>
      <c r="D187" t="inlineStr">
        <is>
          <t>11</t>
        </is>
      </c>
      <c r="E187">
        <f>HYPERLINK("https://www.britishcycling.org.uk/points?person_id=885904&amp;year=2021&amp;type=national&amp;d=6","Results")</f>
        <v/>
      </c>
    </row>
    <row r="188">
      <c r="A188" t="inlineStr">
        <is>
          <t>187</t>
        </is>
      </c>
      <c r="B188" t="inlineStr">
        <is>
          <t>Ollie Hamilton</t>
        </is>
      </c>
      <c r="C188" t="inlineStr">
        <is>
          <t>Annan Youth Cycling Club</t>
        </is>
      </c>
      <c r="D188" t="inlineStr">
        <is>
          <t>11</t>
        </is>
      </c>
      <c r="E188">
        <f>HYPERLINK("https://www.britishcycling.org.uk/points?person_id=525710&amp;year=2021&amp;type=national&amp;d=6","Results")</f>
        <v/>
      </c>
    </row>
    <row r="189">
      <c r="A189" t="inlineStr">
        <is>
          <t>188</t>
        </is>
      </c>
      <c r="B189" t="inlineStr">
        <is>
          <t>Logan Anderson</t>
        </is>
      </c>
      <c r="C189" t="inlineStr">
        <is>
          <t>Ross-Shire RCC</t>
        </is>
      </c>
      <c r="D189" t="inlineStr">
        <is>
          <t>10</t>
        </is>
      </c>
      <c r="E189">
        <f>HYPERLINK("https://www.britishcycling.org.uk/points?person_id=1027310&amp;year=2021&amp;type=national&amp;d=6","Results")</f>
        <v/>
      </c>
    </row>
    <row r="190">
      <c r="A190" t="inlineStr">
        <is>
          <t>189</t>
        </is>
      </c>
      <c r="B190" t="inlineStr">
        <is>
          <t>Gareth Davies</t>
        </is>
      </c>
      <c r="C190" t="inlineStr">
        <is>
          <t>Carnegie Cyclones</t>
        </is>
      </c>
      <c r="D190" t="inlineStr">
        <is>
          <t>10</t>
        </is>
      </c>
      <c r="E190">
        <f>HYPERLINK("https://www.britishcycling.org.uk/points?person_id=420202&amp;year=2021&amp;type=national&amp;d=6","Results")</f>
        <v/>
      </c>
    </row>
    <row r="191">
      <c r="A191" t="inlineStr">
        <is>
          <t>190</t>
        </is>
      </c>
      <c r="B191" t="inlineStr">
        <is>
          <t>Ethan Lulham</t>
        </is>
      </c>
      <c r="C191" t="inlineStr"/>
      <c r="D191" t="inlineStr">
        <is>
          <t>10</t>
        </is>
      </c>
      <c r="E191">
        <f>HYPERLINK("https://www.britishcycling.org.uk/points?person_id=996033&amp;year=2021&amp;type=national&amp;d=6","Results")</f>
        <v/>
      </c>
    </row>
    <row r="192">
      <c r="A192" t="inlineStr">
        <is>
          <t>191</t>
        </is>
      </c>
      <c r="B192" t="inlineStr">
        <is>
          <t>Henry Shimmin</t>
        </is>
      </c>
      <c r="C192" t="inlineStr">
        <is>
          <t>Albarosa Cycling Club</t>
        </is>
      </c>
      <c r="D192" t="inlineStr">
        <is>
          <t>10</t>
        </is>
      </c>
      <c r="E192">
        <f>HYPERLINK("https://www.britishcycling.org.uk/points?person_id=333083&amp;year=2021&amp;type=national&amp;d=6","Results")</f>
        <v/>
      </c>
    </row>
    <row r="193">
      <c r="A193" t="inlineStr">
        <is>
          <t>192</t>
        </is>
      </c>
      <c r="B193" t="inlineStr">
        <is>
          <t>Lewis Trubridge</t>
        </is>
      </c>
      <c r="C193" t="inlineStr"/>
      <c r="D193" t="inlineStr">
        <is>
          <t>10</t>
        </is>
      </c>
      <c r="E193">
        <f>HYPERLINK("https://www.britishcycling.org.uk/points?person_id=978022&amp;year=2021&amp;type=national&amp;d=6","Results")</f>
        <v/>
      </c>
    </row>
    <row r="194">
      <c r="A194" t="inlineStr">
        <is>
          <t>193</t>
        </is>
      </c>
      <c r="B194" t="inlineStr">
        <is>
          <t>Brodie Johnson</t>
        </is>
      </c>
      <c r="C194" t="inlineStr">
        <is>
          <t>Beeston RC</t>
        </is>
      </c>
      <c r="D194" t="inlineStr">
        <is>
          <t>9</t>
        </is>
      </c>
      <c r="E194">
        <f>HYPERLINK("https://www.britishcycling.org.uk/points?person_id=1017715&amp;year=2021&amp;type=national&amp;d=6","Results")</f>
        <v/>
      </c>
    </row>
    <row r="195">
      <c r="A195" t="inlineStr">
        <is>
          <t>194</t>
        </is>
      </c>
      <c r="B195" t="inlineStr">
        <is>
          <t>Kasper Thomsen</t>
        </is>
      </c>
      <c r="C195" t="inlineStr"/>
      <c r="D195" t="inlineStr">
        <is>
          <t>9</t>
        </is>
      </c>
      <c r="E195">
        <f>HYPERLINK("https://www.britishcycling.org.uk/points?person_id=851585&amp;year=2021&amp;type=national&amp;d=6","Results")</f>
        <v/>
      </c>
    </row>
    <row r="196">
      <c r="A196" t="inlineStr">
        <is>
          <t>195</t>
        </is>
      </c>
      <c r="B196" t="inlineStr">
        <is>
          <t>Henry Barker</t>
        </is>
      </c>
      <c r="C196" t="inlineStr">
        <is>
          <t>Welwyn Wheelers CC</t>
        </is>
      </c>
      <c r="D196" t="inlineStr">
        <is>
          <t>8</t>
        </is>
      </c>
      <c r="E196">
        <f>HYPERLINK("https://www.britishcycling.org.uk/points?person_id=300083&amp;year=2021&amp;type=national&amp;d=6","Results")</f>
        <v/>
      </c>
    </row>
    <row r="197">
      <c r="A197" t="inlineStr">
        <is>
          <t>196</t>
        </is>
      </c>
      <c r="B197" t="inlineStr">
        <is>
          <t>Josh Cleave</t>
        </is>
      </c>
      <c r="C197" t="inlineStr">
        <is>
          <t>Celtic Tri Cycling Club</t>
        </is>
      </c>
      <c r="D197" t="inlineStr">
        <is>
          <t>8</t>
        </is>
      </c>
      <c r="E197">
        <f>HYPERLINK("https://www.britishcycling.org.uk/points?person_id=1001119&amp;year=2021&amp;type=national&amp;d=6","Results")</f>
        <v/>
      </c>
    </row>
    <row r="198">
      <c r="A198" t="inlineStr">
        <is>
          <t>197</t>
        </is>
      </c>
      <c r="B198" t="inlineStr">
        <is>
          <t>Milo De La Mare</t>
        </is>
      </c>
      <c r="C198" t="inlineStr">
        <is>
          <t>VC Londres</t>
        </is>
      </c>
      <c r="D198" t="inlineStr">
        <is>
          <t>8</t>
        </is>
      </c>
      <c r="E198">
        <f>HYPERLINK("https://www.britishcycling.org.uk/points?person_id=614000&amp;year=2021&amp;type=national&amp;d=6","Results")</f>
        <v/>
      </c>
    </row>
    <row r="199">
      <c r="A199" t="inlineStr">
        <is>
          <t>198</t>
        </is>
      </c>
      <c r="B199" t="inlineStr">
        <is>
          <t>Arran Drackford</t>
        </is>
      </c>
      <c r="C199" t="inlineStr">
        <is>
          <t>Falkirk Junior Bike Club</t>
        </is>
      </c>
      <c r="D199" t="inlineStr">
        <is>
          <t>8</t>
        </is>
      </c>
      <c r="E199">
        <f>HYPERLINK("https://www.britishcycling.org.uk/points?person_id=837780&amp;year=2021&amp;type=national&amp;d=6","Results")</f>
        <v/>
      </c>
    </row>
    <row r="200">
      <c r="A200" t="inlineStr">
        <is>
          <t>199</t>
        </is>
      </c>
      <c r="B200" t="inlineStr">
        <is>
          <t>Andrew Redeyoff</t>
        </is>
      </c>
      <c r="C200" t="inlineStr">
        <is>
          <t>Manchester BMX Club</t>
        </is>
      </c>
      <c r="D200" t="inlineStr">
        <is>
          <t>8</t>
        </is>
      </c>
      <c r="E200">
        <f>HYPERLINK("https://www.britishcycling.org.uk/points?person_id=529749&amp;year=2021&amp;type=national&amp;d=6","Results")</f>
        <v/>
      </c>
    </row>
    <row r="201">
      <c r="A201" t="inlineStr">
        <is>
          <t>200</t>
        </is>
      </c>
      <c r="B201" t="inlineStr">
        <is>
          <t>Ethan Skipwith</t>
        </is>
      </c>
      <c r="C201" t="inlineStr">
        <is>
          <t>Velo Club Venta</t>
        </is>
      </c>
      <c r="D201" t="inlineStr">
        <is>
          <t>8</t>
        </is>
      </c>
      <c r="E201">
        <f>HYPERLINK("https://www.britishcycling.org.uk/points?person_id=1009080&amp;year=2021&amp;type=national&amp;d=6","Results")</f>
        <v/>
      </c>
    </row>
    <row r="202">
      <c r="A202" t="inlineStr">
        <is>
          <t>201</t>
        </is>
      </c>
      <c r="B202" t="inlineStr">
        <is>
          <t>Oliver Turnbull</t>
        </is>
      </c>
      <c r="C202" t="inlineStr">
        <is>
          <t>Boston Whls CC</t>
        </is>
      </c>
      <c r="D202" t="inlineStr">
        <is>
          <t>8</t>
        </is>
      </c>
      <c r="E202">
        <f>HYPERLINK("https://www.britishcycling.org.uk/points?person_id=623904&amp;year=2021&amp;type=national&amp;d=6","Results")</f>
        <v/>
      </c>
    </row>
    <row r="203">
      <c r="A203" t="inlineStr">
        <is>
          <t>202</t>
        </is>
      </c>
      <c r="B203" t="inlineStr">
        <is>
          <t>Freddie Wood</t>
        </is>
      </c>
      <c r="C203" t="inlineStr">
        <is>
          <t>Harry Middleton Cycling Club</t>
        </is>
      </c>
      <c r="D203" t="inlineStr">
        <is>
          <t>8</t>
        </is>
      </c>
      <c r="E203">
        <f>HYPERLINK("https://www.britishcycling.org.uk/points?person_id=794814&amp;year=2021&amp;type=national&amp;d=6","Results")</f>
        <v/>
      </c>
    </row>
    <row r="204">
      <c r="A204" t="inlineStr">
        <is>
          <t>203</t>
        </is>
      </c>
      <c r="B204" t="inlineStr">
        <is>
          <t>Joseph Egan</t>
        </is>
      </c>
      <c r="C204" t="inlineStr">
        <is>
          <t>Halesowen A &amp; CC</t>
        </is>
      </c>
      <c r="D204" t="inlineStr">
        <is>
          <t>7</t>
        </is>
      </c>
      <c r="E204">
        <f>HYPERLINK("https://www.britishcycling.org.uk/points?person_id=384089&amp;year=2021&amp;type=national&amp;d=6","Results")</f>
        <v/>
      </c>
    </row>
    <row r="205">
      <c r="A205" t="inlineStr">
        <is>
          <t>204</t>
        </is>
      </c>
      <c r="B205" t="inlineStr">
        <is>
          <t>Ronan Finlinson</t>
        </is>
      </c>
      <c r="C205" t="inlineStr">
        <is>
          <t>Redditch Road &amp; Path CC</t>
        </is>
      </c>
      <c r="D205" t="inlineStr">
        <is>
          <t>7</t>
        </is>
      </c>
      <c r="E205">
        <f>HYPERLINK("https://www.britishcycling.org.uk/points?person_id=509944&amp;year=2021&amp;type=national&amp;d=6","Results")</f>
        <v/>
      </c>
    </row>
    <row r="206">
      <c r="A206" t="inlineStr">
        <is>
          <t>205</t>
        </is>
      </c>
      <c r="B206" t="inlineStr">
        <is>
          <t>Maxwell Oakley</t>
        </is>
      </c>
      <c r="C206" t="inlineStr">
        <is>
          <t>Solent Pirates</t>
        </is>
      </c>
      <c r="D206" t="inlineStr">
        <is>
          <t>7</t>
        </is>
      </c>
      <c r="E206">
        <f>HYPERLINK("https://www.britishcycling.org.uk/points?person_id=844433&amp;year=2021&amp;type=national&amp;d=6","Results")</f>
        <v/>
      </c>
    </row>
    <row r="207">
      <c r="A207" t="inlineStr">
        <is>
          <t>206</t>
        </is>
      </c>
      <c r="B207" t="inlineStr">
        <is>
          <t>William Roberts</t>
        </is>
      </c>
      <c r="C207" t="inlineStr"/>
      <c r="D207" t="inlineStr">
        <is>
          <t>7</t>
        </is>
      </c>
      <c r="E207">
        <f>HYPERLINK("https://www.britishcycling.org.uk/points?person_id=765914&amp;year=2021&amp;type=national&amp;d=6","Results")</f>
        <v/>
      </c>
    </row>
    <row r="208">
      <c r="A208" t="inlineStr">
        <is>
          <t>207</t>
        </is>
      </c>
      <c r="B208" t="inlineStr">
        <is>
          <t>Oliver Ward</t>
        </is>
      </c>
      <c r="C208" t="inlineStr">
        <is>
          <t>Wolverhampton Wheelers</t>
        </is>
      </c>
      <c r="D208" t="inlineStr">
        <is>
          <t>7</t>
        </is>
      </c>
      <c r="E208">
        <f>HYPERLINK("https://www.britishcycling.org.uk/points?person_id=370337&amp;year=2021&amp;type=national&amp;d=6","Results")</f>
        <v/>
      </c>
    </row>
    <row r="209">
      <c r="A209" t="inlineStr">
        <is>
          <t>208</t>
        </is>
      </c>
      <c r="B209" t="inlineStr">
        <is>
          <t>Jack Harker</t>
        </is>
      </c>
      <c r="C209" t="inlineStr">
        <is>
          <t>Hetton Hawks Cycling Club</t>
        </is>
      </c>
      <c r="D209" t="inlineStr">
        <is>
          <t>6</t>
        </is>
      </c>
      <c r="E209">
        <f>HYPERLINK("https://www.britishcycling.org.uk/points?person_id=396032&amp;year=2021&amp;type=national&amp;d=6","Results")</f>
        <v/>
      </c>
    </row>
    <row r="210">
      <c r="A210" t="inlineStr">
        <is>
          <t>209</t>
        </is>
      </c>
      <c r="B210" t="inlineStr">
        <is>
          <t>Callum Moreton</t>
        </is>
      </c>
      <c r="C210" t="inlineStr"/>
      <c r="D210" t="inlineStr">
        <is>
          <t>6</t>
        </is>
      </c>
      <c r="E210">
        <f>HYPERLINK("https://www.britishcycling.org.uk/points?person_id=987465&amp;year=2021&amp;type=national&amp;d=6","Results")</f>
        <v/>
      </c>
    </row>
    <row r="211">
      <c r="A211" t="inlineStr">
        <is>
          <t>210</t>
        </is>
      </c>
      <c r="B211" t="inlineStr">
        <is>
          <t>Benji Southern</t>
        </is>
      </c>
      <c r="C211" t="inlineStr">
        <is>
          <t>Racing Metro 15</t>
        </is>
      </c>
      <c r="D211" t="inlineStr">
        <is>
          <t>6</t>
        </is>
      </c>
      <c r="E211">
        <f>HYPERLINK("https://www.britishcycling.org.uk/points?person_id=653844&amp;year=2021&amp;type=national&amp;d=6","Results")</f>
        <v/>
      </c>
    </row>
    <row r="212">
      <c r="A212" t="inlineStr">
        <is>
          <t>211</t>
        </is>
      </c>
      <c r="B212" t="inlineStr">
        <is>
          <t>Oliver Winstanley</t>
        </is>
      </c>
      <c r="C212" t="inlineStr">
        <is>
          <t>Maindy Flyers CC</t>
        </is>
      </c>
      <c r="D212" t="inlineStr">
        <is>
          <t>6</t>
        </is>
      </c>
      <c r="E212">
        <f>HYPERLINK("https://www.britishcycling.org.uk/points?person_id=561690&amp;year=2021&amp;type=national&amp;d=6","Results")</f>
        <v/>
      </c>
    </row>
    <row r="213">
      <c r="A213" t="inlineStr">
        <is>
          <t>212</t>
        </is>
      </c>
      <c r="B213" t="inlineStr">
        <is>
          <t>Joseph Young</t>
        </is>
      </c>
      <c r="C213" t="inlineStr">
        <is>
          <t>Ilkeston Cycle Club</t>
        </is>
      </c>
      <c r="D213" t="inlineStr">
        <is>
          <t>6</t>
        </is>
      </c>
      <c r="E213">
        <f>HYPERLINK("https://www.britishcycling.org.uk/points?person_id=991665&amp;year=2021&amp;type=national&amp;d=6","Results")</f>
        <v/>
      </c>
    </row>
    <row r="214">
      <c r="A214" t="inlineStr">
        <is>
          <t>213</t>
        </is>
      </c>
      <c r="B214" t="inlineStr">
        <is>
          <t>Arthur Bridges</t>
        </is>
      </c>
      <c r="C214" t="inlineStr">
        <is>
          <t>Cheltenham Town Wheelers</t>
        </is>
      </c>
      <c r="D214" t="inlineStr">
        <is>
          <t>5</t>
        </is>
      </c>
      <c r="E214">
        <f>HYPERLINK("https://www.britishcycling.org.uk/points?person_id=1001347&amp;year=2021&amp;type=national&amp;d=6","Results")</f>
        <v/>
      </c>
    </row>
    <row r="215">
      <c r="A215" t="inlineStr">
        <is>
          <t>214</t>
        </is>
      </c>
      <c r="B215" t="inlineStr">
        <is>
          <t>Samuel de la Mare</t>
        </is>
      </c>
      <c r="C215" t="inlineStr">
        <is>
          <t>VC Londres</t>
        </is>
      </c>
      <c r="D215" t="inlineStr">
        <is>
          <t>5</t>
        </is>
      </c>
      <c r="E215">
        <f>HYPERLINK("https://www.britishcycling.org.uk/points?person_id=614002&amp;year=2021&amp;type=national&amp;d=6","Results")</f>
        <v/>
      </c>
    </row>
    <row r="216">
      <c r="A216" t="inlineStr">
        <is>
          <t>215</t>
        </is>
      </c>
      <c r="B216" t="inlineStr">
        <is>
          <t>Tom Hope</t>
        </is>
      </c>
      <c r="C216" t="inlineStr">
        <is>
          <t>Cyclewise Academy</t>
        </is>
      </c>
      <c r="D216" t="inlineStr">
        <is>
          <t>5</t>
        </is>
      </c>
      <c r="E216">
        <f>HYPERLINK("https://www.britishcycling.org.uk/points?person_id=831942&amp;year=2021&amp;type=national&amp;d=6","Results")</f>
        <v/>
      </c>
    </row>
    <row r="217">
      <c r="A217" t="inlineStr">
        <is>
          <t>216</t>
        </is>
      </c>
      <c r="B217" t="inlineStr">
        <is>
          <t>Xavier Lee</t>
        </is>
      </c>
      <c r="C217" t="inlineStr">
        <is>
          <t>Palmer Park Velo RT</t>
        </is>
      </c>
      <c r="D217" t="inlineStr">
        <is>
          <t>5</t>
        </is>
      </c>
      <c r="E217">
        <f>HYPERLINK("https://www.britishcycling.org.uk/points?person_id=618444&amp;year=2021&amp;type=national&amp;d=6","Results")</f>
        <v/>
      </c>
    </row>
    <row r="218">
      <c r="A218" t="inlineStr">
        <is>
          <t>217</t>
        </is>
      </c>
      <c r="B218" t="inlineStr">
        <is>
          <t>Thomas Nabb</t>
        </is>
      </c>
      <c r="C218" t="inlineStr">
        <is>
          <t>Ilkley Cycling Club</t>
        </is>
      </c>
      <c r="D218" t="inlineStr">
        <is>
          <t>5</t>
        </is>
      </c>
      <c r="E218">
        <f>HYPERLINK("https://www.britishcycling.org.uk/points?person_id=565317&amp;year=2021&amp;type=national&amp;d=6","Results")</f>
        <v/>
      </c>
    </row>
    <row r="219">
      <c r="A219" t="inlineStr">
        <is>
          <t>218</t>
        </is>
      </c>
      <c r="B219" t="inlineStr">
        <is>
          <t>James Oates</t>
        </is>
      </c>
      <c r="C219" t="inlineStr">
        <is>
          <t>Lee Valley Youth Cycling Club</t>
        </is>
      </c>
      <c r="D219" t="inlineStr">
        <is>
          <t>5</t>
        </is>
      </c>
      <c r="E219">
        <f>HYPERLINK("https://www.britishcycling.org.uk/points?person_id=546312&amp;year=2021&amp;type=national&amp;d=6","Results")</f>
        <v/>
      </c>
    </row>
    <row r="220">
      <c r="A220" t="inlineStr">
        <is>
          <t>219</t>
        </is>
      </c>
      <c r="B220" t="inlineStr">
        <is>
          <t>Joseph Taylor</t>
        </is>
      </c>
      <c r="C220" t="inlineStr">
        <is>
          <t>Derby Mercury RC</t>
        </is>
      </c>
      <c r="D220" t="inlineStr">
        <is>
          <t>5</t>
        </is>
      </c>
      <c r="E220">
        <f>HYPERLINK("https://www.britishcycling.org.uk/points?person_id=838959&amp;year=2021&amp;type=national&amp;d=6","Results")</f>
        <v/>
      </c>
    </row>
    <row r="221">
      <c r="A221" t="inlineStr">
        <is>
          <t>220</t>
        </is>
      </c>
      <c r="B221" t="inlineStr">
        <is>
          <t>Matt Baker</t>
        </is>
      </c>
      <c r="C221" t="inlineStr">
        <is>
          <t>Hetton Hawks Cycling Club</t>
        </is>
      </c>
      <c r="D221" t="inlineStr">
        <is>
          <t>4</t>
        </is>
      </c>
      <c r="E221">
        <f>HYPERLINK("https://www.britishcycling.org.uk/points?person_id=750418&amp;year=2021&amp;type=national&amp;d=6","Results")</f>
        <v/>
      </c>
    </row>
    <row r="222">
      <c r="A222" t="inlineStr">
        <is>
          <t>221</t>
        </is>
      </c>
      <c r="B222" t="inlineStr">
        <is>
          <t>George Bromley</t>
        </is>
      </c>
      <c r="C222" t="inlineStr">
        <is>
          <t>Wolverhampton Wheelers</t>
        </is>
      </c>
      <c r="D222" t="inlineStr">
        <is>
          <t>4</t>
        </is>
      </c>
      <c r="E222">
        <f>HYPERLINK("https://www.britishcycling.org.uk/points?person_id=1026564&amp;year=2021&amp;type=national&amp;d=6","Results")</f>
        <v/>
      </c>
    </row>
    <row r="223">
      <c r="A223" t="inlineStr">
        <is>
          <t>222</t>
        </is>
      </c>
      <c r="B223" t="inlineStr">
        <is>
          <t>Alexander Campbell</t>
        </is>
      </c>
      <c r="C223" t="inlineStr">
        <is>
          <t>Limited Edition Cycling</t>
        </is>
      </c>
      <c r="D223" t="inlineStr">
        <is>
          <t>4</t>
        </is>
      </c>
      <c r="E223">
        <f>HYPERLINK("https://www.britishcycling.org.uk/points?person_id=445500&amp;year=2021&amp;type=national&amp;d=6","Results")</f>
        <v/>
      </c>
    </row>
    <row r="224">
      <c r="A224" t="inlineStr">
        <is>
          <t>223</t>
        </is>
      </c>
      <c r="B224" t="inlineStr">
        <is>
          <t>Casey Humber-Kelly</t>
        </is>
      </c>
      <c r="C224" t="inlineStr">
        <is>
          <t>LVC Racing</t>
        </is>
      </c>
      <c r="D224" t="inlineStr">
        <is>
          <t>4</t>
        </is>
      </c>
      <c r="E224">
        <f>HYPERLINK("https://www.britishcycling.org.uk/points?person_id=841761&amp;year=2021&amp;type=national&amp;d=6","Results")</f>
        <v/>
      </c>
    </row>
    <row r="225">
      <c r="A225" t="inlineStr">
        <is>
          <t>224</t>
        </is>
      </c>
      <c r="B225" t="inlineStr">
        <is>
          <t>William Hutchinson</t>
        </is>
      </c>
      <c r="C225" t="inlineStr">
        <is>
          <t>Derby Mercury RC</t>
        </is>
      </c>
      <c r="D225" t="inlineStr">
        <is>
          <t>4</t>
        </is>
      </c>
      <c r="E225">
        <f>HYPERLINK("https://www.britishcycling.org.uk/points?person_id=735230&amp;year=2021&amp;type=national&amp;d=6","Results")</f>
        <v/>
      </c>
    </row>
    <row r="226">
      <c r="A226" t="inlineStr">
        <is>
          <t>225</t>
        </is>
      </c>
      <c r="B226" t="inlineStr">
        <is>
          <t>Arthur Morley</t>
        </is>
      </c>
      <c r="C226" t="inlineStr">
        <is>
          <t>Boston Whls CC</t>
        </is>
      </c>
      <c r="D226" t="inlineStr">
        <is>
          <t>4</t>
        </is>
      </c>
      <c r="E226">
        <f>HYPERLINK("https://www.britishcycling.org.uk/points?person_id=644745&amp;year=2021&amp;type=national&amp;d=6","Results")</f>
        <v/>
      </c>
    </row>
    <row r="227">
      <c r="A227" t="inlineStr">
        <is>
          <t>226</t>
        </is>
      </c>
      <c r="B227" t="inlineStr">
        <is>
          <t>Aidan Raftery</t>
        </is>
      </c>
      <c r="C227" t="inlineStr">
        <is>
          <t>North Shields Polytechnic</t>
        </is>
      </c>
      <c r="D227" t="inlineStr">
        <is>
          <t>4</t>
        </is>
      </c>
      <c r="E227">
        <f>HYPERLINK("https://www.britishcycling.org.uk/points?person_id=995423&amp;year=2021&amp;type=national&amp;d=6","Results")</f>
        <v/>
      </c>
    </row>
    <row r="228">
      <c r="A228" t="inlineStr">
        <is>
          <t>227</t>
        </is>
      </c>
      <c r="B228" t="inlineStr">
        <is>
          <t>Logan Smith</t>
        </is>
      </c>
      <c r="C228" t="inlineStr">
        <is>
          <t>Towy Riders</t>
        </is>
      </c>
      <c r="D228" t="inlineStr">
        <is>
          <t>4</t>
        </is>
      </c>
      <c r="E228">
        <f>HYPERLINK("https://www.britishcycling.org.uk/points?person_id=1027197&amp;year=2021&amp;type=national&amp;d=6","Results")</f>
        <v/>
      </c>
    </row>
    <row r="229">
      <c r="A229" t="inlineStr">
        <is>
          <t>228</t>
        </is>
      </c>
      <c r="B229" t="inlineStr">
        <is>
          <t>Noah Wheller</t>
        </is>
      </c>
      <c r="C229" t="inlineStr">
        <is>
          <t>Preston Park Youth CC (PPYCC)</t>
        </is>
      </c>
      <c r="D229" t="inlineStr">
        <is>
          <t>4</t>
        </is>
      </c>
      <c r="E229">
        <f>HYPERLINK("https://www.britishcycling.org.uk/points?person_id=675652&amp;year=2021&amp;type=national&amp;d=6","Results")</f>
        <v/>
      </c>
    </row>
    <row r="230">
      <c r="A230" t="inlineStr">
        <is>
          <t>229</t>
        </is>
      </c>
      <c r="B230" t="inlineStr">
        <is>
          <t>Sam Baker</t>
        </is>
      </c>
      <c r="C230" t="inlineStr">
        <is>
          <t>Lincoln Wheelers CC</t>
        </is>
      </c>
      <c r="D230" t="inlineStr">
        <is>
          <t>3</t>
        </is>
      </c>
      <c r="E230">
        <f>HYPERLINK("https://www.britishcycling.org.uk/points?person_id=850640&amp;year=2021&amp;type=national&amp;d=6","Results")</f>
        <v/>
      </c>
    </row>
    <row r="231">
      <c r="A231" t="inlineStr">
        <is>
          <t>230</t>
        </is>
      </c>
      <c r="B231" t="inlineStr">
        <is>
          <t>Tom Bristow</t>
        </is>
      </c>
      <c r="C231" t="inlineStr">
        <is>
          <t>Malvern Cycle Sport</t>
        </is>
      </c>
      <c r="D231" t="inlineStr">
        <is>
          <t>3</t>
        </is>
      </c>
      <c r="E231">
        <f>HYPERLINK("https://www.britishcycling.org.uk/points?person_id=356253&amp;year=2021&amp;type=national&amp;d=6","Results")</f>
        <v/>
      </c>
    </row>
    <row r="232">
      <c r="A232" t="inlineStr">
        <is>
          <t>231</t>
        </is>
      </c>
      <c r="B232" t="inlineStr">
        <is>
          <t>Gus Dutton</t>
        </is>
      </c>
      <c r="C232" t="inlineStr">
        <is>
          <t>VC Londres</t>
        </is>
      </c>
      <c r="D232" t="inlineStr">
        <is>
          <t>3</t>
        </is>
      </c>
      <c r="E232">
        <f>HYPERLINK("https://www.britishcycling.org.uk/points?person_id=958726&amp;year=2021&amp;type=national&amp;d=6","Results")</f>
        <v/>
      </c>
    </row>
    <row r="233">
      <c r="A233" t="inlineStr">
        <is>
          <t>232</t>
        </is>
      </c>
      <c r="B233" t="inlineStr">
        <is>
          <t>Thomas Fincham</t>
        </is>
      </c>
      <c r="C233" t="inlineStr">
        <is>
          <t>Cambridge Junior Cycling Club</t>
        </is>
      </c>
      <c r="D233" t="inlineStr">
        <is>
          <t>3</t>
        </is>
      </c>
      <c r="E233">
        <f>HYPERLINK("https://www.britishcycling.org.uk/points?person_id=757453&amp;year=2021&amp;type=national&amp;d=6","Results")</f>
        <v/>
      </c>
    </row>
    <row r="234">
      <c r="A234" t="inlineStr">
        <is>
          <t>233</t>
        </is>
      </c>
      <c r="B234" t="inlineStr">
        <is>
          <t>Eddy Haddock</t>
        </is>
      </c>
      <c r="C234" t="inlineStr">
        <is>
          <t>Hemel Hempstead CC</t>
        </is>
      </c>
      <c r="D234" t="inlineStr">
        <is>
          <t>3</t>
        </is>
      </c>
      <c r="E234">
        <f>HYPERLINK("https://www.britishcycling.org.uk/points?person_id=520498&amp;year=2021&amp;type=national&amp;d=6","Results")</f>
        <v/>
      </c>
    </row>
    <row r="235">
      <c r="A235" t="inlineStr">
        <is>
          <t>234</t>
        </is>
      </c>
      <c r="B235" t="inlineStr">
        <is>
          <t>Meryn Kitching</t>
        </is>
      </c>
      <c r="C235" t="inlineStr">
        <is>
          <t>Taunton Bike Club</t>
        </is>
      </c>
      <c r="D235" t="inlineStr">
        <is>
          <t>3</t>
        </is>
      </c>
      <c r="E235">
        <f>HYPERLINK("https://www.britishcycling.org.uk/points?person_id=642844&amp;year=2021&amp;type=national&amp;d=6","Results")</f>
        <v/>
      </c>
    </row>
    <row r="236">
      <c r="A236" t="inlineStr">
        <is>
          <t>235</t>
        </is>
      </c>
      <c r="B236" t="inlineStr">
        <is>
          <t>Theo Mcfadden</t>
        </is>
      </c>
      <c r="C236" t="inlineStr">
        <is>
          <t>East Bradford CC</t>
        </is>
      </c>
      <c r="D236" t="inlineStr">
        <is>
          <t>3</t>
        </is>
      </c>
      <c r="E236">
        <f>HYPERLINK("https://www.britishcycling.org.uk/points?person_id=600125&amp;year=2021&amp;type=national&amp;d=6","Results")</f>
        <v/>
      </c>
    </row>
    <row r="237">
      <c r="A237" t="inlineStr">
        <is>
          <t>236</t>
        </is>
      </c>
      <c r="B237" t="inlineStr">
        <is>
          <t>Ewan McGhee</t>
        </is>
      </c>
      <c r="C237" t="inlineStr">
        <is>
          <t>C and N Cycles RT</t>
        </is>
      </c>
      <c r="D237" t="inlineStr">
        <is>
          <t>3</t>
        </is>
      </c>
      <c r="E237">
        <f>HYPERLINK("https://www.britishcycling.org.uk/points?person_id=736938&amp;year=2021&amp;type=national&amp;d=6","Results")</f>
        <v/>
      </c>
    </row>
    <row r="238">
      <c r="A238" t="inlineStr">
        <is>
          <t>237</t>
        </is>
      </c>
      <c r="B238" t="inlineStr">
        <is>
          <t>Llywelyn Roberts</t>
        </is>
      </c>
      <c r="C238" t="inlineStr">
        <is>
          <t>Maindy Flyers CC</t>
        </is>
      </c>
      <c r="D238" t="inlineStr">
        <is>
          <t>3</t>
        </is>
      </c>
      <c r="E238">
        <f>HYPERLINK("https://www.britishcycling.org.uk/points?person_id=1021111&amp;year=2021&amp;type=national&amp;d=6","Results")</f>
        <v/>
      </c>
    </row>
    <row r="239">
      <c r="A239" t="inlineStr">
        <is>
          <t>238</t>
        </is>
      </c>
      <c r="B239" t="inlineStr">
        <is>
          <t>Ezra Bateman</t>
        </is>
      </c>
      <c r="C239" t="inlineStr">
        <is>
          <t>Clifton CC</t>
        </is>
      </c>
      <c r="D239" t="inlineStr">
        <is>
          <t>2</t>
        </is>
      </c>
      <c r="E239">
        <f>HYPERLINK("https://www.britishcycling.org.uk/points?person_id=374883&amp;year=2021&amp;type=national&amp;d=6","Results")</f>
        <v/>
      </c>
    </row>
    <row r="240">
      <c r="A240" t="inlineStr">
        <is>
          <t>239</t>
        </is>
      </c>
      <c r="B240" t="inlineStr">
        <is>
          <t>Angus Bottomley</t>
        </is>
      </c>
      <c r="C240" t="inlineStr">
        <is>
          <t>Solent Pirates</t>
        </is>
      </c>
      <c r="D240" t="inlineStr">
        <is>
          <t>2</t>
        </is>
      </c>
      <c r="E240">
        <f>HYPERLINK("https://www.britishcycling.org.uk/points?person_id=928459&amp;year=2021&amp;type=national&amp;d=6","Results")</f>
        <v/>
      </c>
    </row>
    <row r="241">
      <c r="A241" t="inlineStr">
        <is>
          <t>240</t>
        </is>
      </c>
      <c r="B241" t="inlineStr">
        <is>
          <t>Joshua Daly</t>
        </is>
      </c>
      <c r="C241" t="inlineStr">
        <is>
          <t>Shibden Cycling Club</t>
        </is>
      </c>
      <c r="D241" t="inlineStr">
        <is>
          <t>2</t>
        </is>
      </c>
      <c r="E241">
        <f>HYPERLINK("https://www.britishcycling.org.uk/points?person_id=491452&amp;year=2021&amp;type=national&amp;d=6","Results")</f>
        <v/>
      </c>
    </row>
    <row r="242">
      <c r="A242" t="inlineStr">
        <is>
          <t>241</t>
        </is>
      </c>
      <c r="B242" t="inlineStr">
        <is>
          <t>Andrew Field</t>
        </is>
      </c>
      <c r="C242" t="inlineStr">
        <is>
          <t>Beeston RC</t>
        </is>
      </c>
      <c r="D242" t="inlineStr">
        <is>
          <t>2</t>
        </is>
      </c>
      <c r="E242">
        <f>HYPERLINK("https://www.britishcycling.org.uk/points?person_id=735183&amp;year=2021&amp;type=national&amp;d=6","Results")</f>
        <v/>
      </c>
    </row>
    <row r="243">
      <c r="A243" t="inlineStr">
        <is>
          <t>242</t>
        </is>
      </c>
      <c r="B243" t="inlineStr">
        <is>
          <t>Ethan Gold</t>
        </is>
      </c>
      <c r="C243" t="inlineStr">
        <is>
          <t>St Ives CC</t>
        </is>
      </c>
      <c r="D243" t="inlineStr">
        <is>
          <t>2</t>
        </is>
      </c>
      <c r="E243">
        <f>HYPERLINK("https://www.britishcycling.org.uk/points?person_id=1025609&amp;year=2021&amp;type=national&amp;d=6","Results")</f>
        <v/>
      </c>
    </row>
    <row r="244">
      <c r="A244" t="inlineStr">
        <is>
          <t>243</t>
        </is>
      </c>
      <c r="B244" t="inlineStr">
        <is>
          <t>Lucas Lillistone</t>
        </is>
      </c>
      <c r="C244" t="inlineStr">
        <is>
          <t>Sulis Scorpions Youth Cycling Club</t>
        </is>
      </c>
      <c r="D244" t="inlineStr">
        <is>
          <t>2</t>
        </is>
      </c>
      <c r="E244">
        <f>HYPERLINK("https://www.britishcycling.org.uk/points?person_id=1028483&amp;year=2021&amp;type=national&amp;d=6","Results")</f>
        <v/>
      </c>
    </row>
    <row r="245">
      <c r="A245" t="inlineStr">
        <is>
          <t>244</t>
        </is>
      </c>
      <c r="B245" t="inlineStr">
        <is>
          <t>Stanley  Phillips</t>
        </is>
      </c>
      <c r="C245" t="inlineStr">
        <is>
          <t>Sotonia CC</t>
        </is>
      </c>
      <c r="D245" t="inlineStr">
        <is>
          <t>2</t>
        </is>
      </c>
      <c r="E245">
        <f>HYPERLINK("https://www.britishcycling.org.uk/points?person_id=774820&amp;year=2021&amp;type=national&amp;d=6","Results")</f>
        <v/>
      </c>
    </row>
    <row r="246">
      <c r="A246" t="inlineStr">
        <is>
          <t>245</t>
        </is>
      </c>
      <c r="B246" t="inlineStr">
        <is>
          <t>Ben Taylor-Rose</t>
        </is>
      </c>
      <c r="C246" t="inlineStr">
        <is>
          <t>Welwyn Wheelers CC</t>
        </is>
      </c>
      <c r="D246" t="inlineStr">
        <is>
          <t>2</t>
        </is>
      </c>
      <c r="E246">
        <f>HYPERLINK("https://www.britishcycling.org.uk/points?person_id=869316&amp;year=2021&amp;type=national&amp;d=6","Results")</f>
        <v/>
      </c>
    </row>
    <row r="247">
      <c r="A247" t="inlineStr">
        <is>
          <t>246</t>
        </is>
      </c>
      <c r="B247" t="inlineStr">
        <is>
          <t>Cailean Vorster</t>
        </is>
      </c>
      <c r="C247" t="inlineStr">
        <is>
          <t>West Lothian Clarion CC</t>
        </is>
      </c>
      <c r="D247" t="inlineStr">
        <is>
          <t>2</t>
        </is>
      </c>
      <c r="E247">
        <f>HYPERLINK("https://www.britishcycling.org.uk/points?person_id=853347&amp;year=2021&amp;type=national&amp;d=6","Results")</f>
        <v/>
      </c>
    </row>
    <row r="248">
      <c r="A248" t="inlineStr">
        <is>
          <t>247</t>
        </is>
      </c>
      <c r="B248" t="inlineStr">
        <is>
          <t>Ewan Whiting</t>
        </is>
      </c>
      <c r="C248" t="inlineStr">
        <is>
          <t>Stockton Wheelers CC</t>
        </is>
      </c>
      <c r="D248" t="inlineStr">
        <is>
          <t>2</t>
        </is>
      </c>
      <c r="E248">
        <f>HYPERLINK("https://www.britishcycling.org.uk/points?person_id=651108&amp;year=2021&amp;type=national&amp;d=6","Results")</f>
        <v/>
      </c>
    </row>
    <row r="249">
      <c r="A249" t="inlineStr">
        <is>
          <t>248</t>
        </is>
      </c>
      <c r="B249" t="inlineStr">
        <is>
          <t>Zac Wilson</t>
        </is>
      </c>
      <c r="C249" t="inlineStr">
        <is>
          <t>Ilkley Cycling Club</t>
        </is>
      </c>
      <c r="D249" t="inlineStr">
        <is>
          <t>2</t>
        </is>
      </c>
      <c r="E249">
        <f>HYPERLINK("https://www.britishcycling.org.uk/points?person_id=894902&amp;year=2021&amp;type=national&amp;d=6","Results")</f>
        <v/>
      </c>
    </row>
    <row r="250">
      <c r="A250" t="inlineStr">
        <is>
          <t>249</t>
        </is>
      </c>
      <c r="B250" t="inlineStr">
        <is>
          <t>Samuel Bassett</t>
        </is>
      </c>
      <c r="C250" t="inlineStr">
        <is>
          <t>Wigmore CC</t>
        </is>
      </c>
      <c r="D250" t="inlineStr">
        <is>
          <t>1</t>
        </is>
      </c>
      <c r="E250">
        <f>HYPERLINK("https://www.britishcycling.org.uk/points?person_id=690264&amp;year=2021&amp;type=national&amp;d=6","Results")</f>
        <v/>
      </c>
    </row>
    <row r="251">
      <c r="A251" t="inlineStr">
        <is>
          <t>250</t>
        </is>
      </c>
      <c r="B251" t="inlineStr">
        <is>
          <t>Ryan Bendle</t>
        </is>
      </c>
      <c r="C251" t="inlineStr">
        <is>
          <t>Halesowen A &amp; CC</t>
        </is>
      </c>
      <c r="D251" t="inlineStr">
        <is>
          <t>1</t>
        </is>
      </c>
      <c r="E251">
        <f>HYPERLINK("https://www.britishcycling.org.uk/points?person_id=891958&amp;year=2021&amp;type=national&amp;d=6","Results")</f>
        <v/>
      </c>
    </row>
    <row r="252">
      <c r="A252" t="inlineStr">
        <is>
          <t>251</t>
        </is>
      </c>
      <c r="B252" t="inlineStr">
        <is>
          <t>Hamish Dotchin</t>
        </is>
      </c>
      <c r="C252" t="inlineStr">
        <is>
          <t>North Shields Polytechnic</t>
        </is>
      </c>
      <c r="D252" t="inlineStr">
        <is>
          <t>1</t>
        </is>
      </c>
      <c r="E252">
        <f>HYPERLINK("https://www.britishcycling.org.uk/points?person_id=990661&amp;year=2021&amp;type=national&amp;d=6","Results")</f>
        <v/>
      </c>
    </row>
    <row r="253">
      <c r="A253" t="inlineStr">
        <is>
          <t>252</t>
        </is>
      </c>
      <c r="B253" t="inlineStr">
        <is>
          <t>Freddie Farr</t>
        </is>
      </c>
      <c r="C253" t="inlineStr">
        <is>
          <t>Matlock CC</t>
        </is>
      </c>
      <c r="D253" t="inlineStr">
        <is>
          <t>1</t>
        </is>
      </c>
      <c r="E253">
        <f>HYPERLINK("https://www.britishcycling.org.uk/points?person_id=732041&amp;year=2021&amp;type=national&amp;d=6","Results")</f>
        <v/>
      </c>
    </row>
    <row r="254">
      <c r="A254" t="inlineStr">
        <is>
          <t>253</t>
        </is>
      </c>
      <c r="B254" t="inlineStr">
        <is>
          <t>Ewan Gosden</t>
        </is>
      </c>
      <c r="C254" t="inlineStr">
        <is>
          <t>Cheltenham Town Wheelers</t>
        </is>
      </c>
      <c r="D254" t="inlineStr">
        <is>
          <t>1</t>
        </is>
      </c>
      <c r="E254">
        <f>HYPERLINK("https://www.britishcycling.org.uk/points?person_id=752071&amp;year=2021&amp;type=national&amp;d=6","Results")</f>
        <v/>
      </c>
    </row>
    <row r="255">
      <c r="A255" t="inlineStr">
        <is>
          <t>254</t>
        </is>
      </c>
      <c r="B255" t="inlineStr">
        <is>
          <t>Jenson Groves</t>
        </is>
      </c>
      <c r="C255" t="inlineStr">
        <is>
          <t>Wyre Forest CRC</t>
        </is>
      </c>
      <c r="D255" t="inlineStr">
        <is>
          <t>1</t>
        </is>
      </c>
      <c r="E255">
        <f>HYPERLINK("https://www.britishcycling.org.uk/points?person_id=588555&amp;year=2021&amp;type=national&amp;d=6","Results")</f>
        <v/>
      </c>
    </row>
    <row r="256">
      <c r="A256" t="inlineStr">
        <is>
          <t>255</t>
        </is>
      </c>
      <c r="B256" t="inlineStr">
        <is>
          <t>Joshua Pattinson</t>
        </is>
      </c>
      <c r="C256" t="inlineStr">
        <is>
          <t>Halesowen A &amp; CC</t>
        </is>
      </c>
      <c r="D256" t="inlineStr">
        <is>
          <t>1</t>
        </is>
      </c>
      <c r="E256">
        <f>HYPERLINK("https://www.britishcycling.org.uk/points?person_id=540628&amp;year=2021&amp;type=national&amp;d=6","Results")</f>
        <v/>
      </c>
    </row>
    <row r="257">
      <c r="A257" t="inlineStr">
        <is>
          <t>256</t>
        </is>
      </c>
      <c r="B257" t="inlineStr">
        <is>
          <t>Benji Pike</t>
        </is>
      </c>
      <c r="C257" t="inlineStr">
        <is>
          <t>Sotonia CC</t>
        </is>
      </c>
      <c r="D257" t="inlineStr">
        <is>
          <t>1</t>
        </is>
      </c>
      <c r="E257">
        <f>HYPERLINK("https://www.britishcycling.org.uk/points?person_id=851599&amp;year=2021&amp;type=national&amp;d=6","Results")</f>
        <v/>
      </c>
    </row>
    <row r="258">
      <c r="A258" t="inlineStr">
        <is>
          <t>257</t>
        </is>
      </c>
      <c r="B258" t="inlineStr">
        <is>
          <t>George Scholes</t>
        </is>
      </c>
      <c r="C258" t="inlineStr">
        <is>
          <t>East Bradford Race Team</t>
        </is>
      </c>
      <c r="D258" t="inlineStr">
        <is>
          <t>1</t>
        </is>
      </c>
      <c r="E258">
        <f>HYPERLINK("https://www.britishcycling.org.uk/points?person_id=559451&amp;year=2021&amp;type=national&amp;d=6","Results")</f>
        <v/>
      </c>
    </row>
    <row r="259">
      <c r="A259" t="inlineStr">
        <is>
          <t>258</t>
        </is>
      </c>
      <c r="B259" t="inlineStr">
        <is>
          <t>Samuel Smith</t>
        </is>
      </c>
      <c r="C259" t="inlineStr">
        <is>
          <t>St Ives CC</t>
        </is>
      </c>
      <c r="D259" t="inlineStr">
        <is>
          <t>1</t>
        </is>
      </c>
      <c r="E259">
        <f>HYPERLINK("https://www.britishcycling.org.uk/points?person_id=625457&amp;year=2021&amp;type=national&amp;d=6","Results")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9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Ella Maclean-Howell</t>
        </is>
      </c>
      <c r="C2" t="inlineStr">
        <is>
          <t>Tofauti Everyone Active</t>
        </is>
      </c>
      <c r="D2" t="inlineStr">
        <is>
          <t>845</t>
        </is>
      </c>
      <c r="E2">
        <f>HYPERLINK("https://www.britishcycling.org.uk/points?person_id=233843&amp;year=2021&amp;type=national&amp;d=6","Results")</f>
        <v/>
      </c>
    </row>
    <row r="3">
      <c r="A3" t="inlineStr">
        <is>
          <t>2</t>
        </is>
      </c>
      <c r="B3" t="inlineStr">
        <is>
          <t>Zoe Backstedt</t>
        </is>
      </c>
      <c r="C3" t="inlineStr">
        <is>
          <t>Acrog-Tormans</t>
        </is>
      </c>
      <c r="D3" t="inlineStr">
        <is>
          <t>690</t>
        </is>
      </c>
      <c r="E3">
        <f>HYPERLINK("https://www.britishcycling.org.uk/points?person_id=59921&amp;year=2021&amp;type=national&amp;d=6","Results")</f>
        <v/>
      </c>
    </row>
    <row r="4">
      <c r="A4" t="inlineStr">
        <is>
          <t>3</t>
        </is>
      </c>
      <c r="B4" t="inlineStr">
        <is>
          <t>Emily Carrick-Anderson</t>
        </is>
      </c>
      <c r="C4" t="inlineStr">
        <is>
          <t>T-Mo Racing</t>
        </is>
      </c>
      <c r="D4" t="inlineStr">
        <is>
          <t>548</t>
        </is>
      </c>
      <c r="E4">
        <f>HYPERLINK("https://www.britishcycling.org.uk/points?person_id=254522&amp;year=2021&amp;type=national&amp;d=6","Results")</f>
        <v/>
      </c>
    </row>
    <row r="5">
      <c r="A5" t="inlineStr">
        <is>
          <t>4</t>
        </is>
      </c>
      <c r="B5" t="inlineStr">
        <is>
          <t>Elizabeth McKinnon</t>
        </is>
      </c>
      <c r="C5" t="inlineStr">
        <is>
          <t>Derwentside CC</t>
        </is>
      </c>
      <c r="D5" t="inlineStr">
        <is>
          <t>489</t>
        </is>
      </c>
      <c r="E5">
        <f>HYPERLINK("https://www.britishcycling.org.uk/points?person_id=388144&amp;year=2021&amp;type=national&amp;d=6","Results")</f>
        <v/>
      </c>
    </row>
    <row r="6">
      <c r="A6" t="inlineStr">
        <is>
          <t>5</t>
        </is>
      </c>
      <c r="B6" t="inlineStr">
        <is>
          <t>Niamh Murphy</t>
        </is>
      </c>
      <c r="C6" t="inlineStr">
        <is>
          <t>Montezuma's Race Team</t>
        </is>
      </c>
      <c r="D6" t="inlineStr">
        <is>
          <t>328</t>
        </is>
      </c>
      <c r="E6">
        <f>HYPERLINK("https://www.britishcycling.org.uk/points?person_id=343409&amp;year=2021&amp;type=national&amp;d=6","Results")</f>
        <v/>
      </c>
    </row>
    <row r="7">
      <c r="A7" t="inlineStr">
        <is>
          <t>6</t>
        </is>
      </c>
      <c r="B7" t="inlineStr">
        <is>
          <t>Libby Bell</t>
        </is>
      </c>
      <c r="C7" t="inlineStr">
        <is>
          <t>Garden Shed UK-Ribble-Verge Sport</t>
        </is>
      </c>
      <c r="D7" t="inlineStr">
        <is>
          <t>305</t>
        </is>
      </c>
      <c r="E7">
        <f>HYPERLINK("https://www.britishcycling.org.uk/points?person_id=441969&amp;year=2021&amp;type=national&amp;d=6","Results")</f>
        <v/>
      </c>
    </row>
    <row r="8">
      <c r="A8" t="inlineStr">
        <is>
          <t>7</t>
        </is>
      </c>
      <c r="B8" t="inlineStr">
        <is>
          <t>Freya Whiteside</t>
        </is>
      </c>
      <c r="C8" t="inlineStr">
        <is>
          <t>PH-MAS - Paul Milnes Cycles</t>
        </is>
      </c>
      <c r="D8" t="inlineStr">
        <is>
          <t>262</t>
        </is>
      </c>
      <c r="E8">
        <f>HYPERLINK("https://www.britishcycling.org.uk/points?person_id=395535&amp;year=2021&amp;type=national&amp;d=6","Results")</f>
        <v/>
      </c>
    </row>
    <row r="9">
      <c r="A9" t="inlineStr">
        <is>
          <t>8</t>
        </is>
      </c>
      <c r="B9" t="inlineStr">
        <is>
          <t>Florence Lissaman</t>
        </is>
      </c>
      <c r="C9" t="inlineStr">
        <is>
          <t>Newark Castle CC</t>
        </is>
      </c>
      <c r="D9" t="inlineStr">
        <is>
          <t>259</t>
        </is>
      </c>
      <c r="E9">
        <f>HYPERLINK("https://www.britishcycling.org.uk/points?person_id=318895&amp;year=2021&amp;type=national&amp;d=6","Results")</f>
        <v/>
      </c>
    </row>
    <row r="10">
      <c r="A10" t="inlineStr">
        <is>
          <t>9</t>
        </is>
      </c>
      <c r="B10" t="inlineStr">
        <is>
          <t>Hope Inglis</t>
        </is>
      </c>
      <c r="C10" t="inlineStr">
        <is>
          <t>Brother UK-Orientation marketing</t>
        </is>
      </c>
      <c r="D10" t="inlineStr">
        <is>
          <t>249</t>
        </is>
      </c>
      <c r="E10">
        <f>HYPERLINK("https://www.britishcycling.org.uk/points?person_id=265182&amp;year=2021&amp;type=national&amp;d=6","Results")</f>
        <v/>
      </c>
    </row>
    <row r="11">
      <c r="A11" t="inlineStr">
        <is>
          <t>10</t>
        </is>
      </c>
      <c r="B11" t="inlineStr">
        <is>
          <t>Madeline Cooper</t>
        </is>
      </c>
      <c r="C11" t="inlineStr">
        <is>
          <t>Montezuma's Race Team</t>
        </is>
      </c>
      <c r="D11" t="inlineStr">
        <is>
          <t>219</t>
        </is>
      </c>
      <c r="E11">
        <f>HYPERLINK("https://www.britishcycling.org.uk/points?person_id=229551&amp;year=2021&amp;type=national&amp;d=6","Results")</f>
        <v/>
      </c>
    </row>
    <row r="12">
      <c r="A12" t="inlineStr">
        <is>
          <t>11</t>
        </is>
      </c>
      <c r="B12" t="inlineStr">
        <is>
          <t>Phoebe Roche</t>
        </is>
      </c>
      <c r="C12" t="inlineStr">
        <is>
          <t>WXC World Racing</t>
        </is>
      </c>
      <c r="D12" t="inlineStr">
        <is>
          <t>218</t>
        </is>
      </c>
      <c r="E12">
        <f>HYPERLINK("https://www.britishcycling.org.uk/points?person_id=574071&amp;year=2021&amp;type=national&amp;d=6","Results")</f>
        <v/>
      </c>
    </row>
    <row r="13">
      <c r="A13" t="inlineStr">
        <is>
          <t>12</t>
        </is>
      </c>
      <c r="B13" t="inlineStr">
        <is>
          <t>Christina Mcgorum</t>
        </is>
      </c>
      <c r="C13" t="inlineStr">
        <is>
          <t>Una Forza Racing</t>
        </is>
      </c>
      <c r="D13" t="inlineStr">
        <is>
          <t>158</t>
        </is>
      </c>
      <c r="E13">
        <f>HYPERLINK("https://www.britishcycling.org.uk/points?person_id=216288&amp;year=2021&amp;type=national&amp;d=6","Results")</f>
        <v/>
      </c>
    </row>
    <row r="14">
      <c r="A14" t="inlineStr">
        <is>
          <t>13</t>
        </is>
      </c>
      <c r="B14" t="inlineStr">
        <is>
          <t>Daphne Jones</t>
        </is>
      </c>
      <c r="C14" t="inlineStr">
        <is>
          <t>Cero - Cycle Division Racing Team</t>
        </is>
      </c>
      <c r="D14" t="inlineStr">
        <is>
          <t>153</t>
        </is>
      </c>
      <c r="E14">
        <f>HYPERLINK("https://www.britishcycling.org.uk/points?person_id=385040&amp;year=2021&amp;type=national&amp;d=6","Results")</f>
        <v/>
      </c>
    </row>
    <row r="15">
      <c r="A15" t="inlineStr">
        <is>
          <t>14</t>
        </is>
      </c>
      <c r="B15" t="inlineStr">
        <is>
          <t>Hannah McClorey</t>
        </is>
      </c>
      <c r="C15" t="inlineStr">
        <is>
          <t>RFDA</t>
        </is>
      </c>
      <c r="D15" t="inlineStr">
        <is>
          <t>152</t>
        </is>
      </c>
      <c r="E15">
        <f>HYPERLINK("https://www.britishcycling.org.uk/points?person_id=444152&amp;year=2021&amp;type=national&amp;d=6","Results")</f>
        <v/>
      </c>
    </row>
    <row r="16">
      <c r="A16" t="inlineStr">
        <is>
          <t>15</t>
        </is>
      </c>
      <c r="B16" t="inlineStr">
        <is>
          <t>Harriet Limb</t>
        </is>
      </c>
      <c r="C16" t="inlineStr">
        <is>
          <t>WXC World Racing</t>
        </is>
      </c>
      <c r="D16" t="inlineStr">
        <is>
          <t>147</t>
        </is>
      </c>
      <c r="E16">
        <f>HYPERLINK("https://www.britishcycling.org.uk/points?person_id=234445&amp;year=2021&amp;type=national&amp;d=6","Results")</f>
        <v/>
      </c>
    </row>
    <row r="17">
      <c r="A17" t="inlineStr">
        <is>
          <t>16</t>
        </is>
      </c>
      <c r="B17" t="inlineStr">
        <is>
          <t>Evie Steed</t>
        </is>
      </c>
      <c r="C17" t="inlineStr">
        <is>
          <t>Sherwood Pines Cycles Forme</t>
        </is>
      </c>
      <c r="D17" t="inlineStr">
        <is>
          <t>138</t>
        </is>
      </c>
      <c r="E17">
        <f>HYPERLINK("https://www.britishcycling.org.uk/points?person_id=309238&amp;year=2021&amp;type=national&amp;d=6","Results")</f>
        <v/>
      </c>
    </row>
    <row r="18">
      <c r="A18" t="inlineStr">
        <is>
          <t>17</t>
        </is>
      </c>
      <c r="B18" t="inlineStr">
        <is>
          <t>Heather Robinson</t>
        </is>
      </c>
      <c r="C18" t="inlineStr">
        <is>
          <t>Hetton Hawks Cycling Club</t>
        </is>
      </c>
      <c r="D18" t="inlineStr">
        <is>
          <t>131</t>
        </is>
      </c>
      <c r="E18">
        <f>HYPERLINK("https://www.britishcycling.org.uk/points?person_id=402642&amp;year=2021&amp;type=national&amp;d=6","Results")</f>
        <v/>
      </c>
    </row>
    <row r="19">
      <c r="A19" t="inlineStr">
        <is>
          <t>18</t>
        </is>
      </c>
      <c r="B19" t="inlineStr">
        <is>
          <t>Phoebe Skinner</t>
        </is>
      </c>
      <c r="C19" t="inlineStr">
        <is>
          <t>Derwentside CC</t>
        </is>
      </c>
      <c r="D19" t="inlineStr">
        <is>
          <t>110</t>
        </is>
      </c>
      <c r="E19">
        <f>HYPERLINK("https://www.britishcycling.org.uk/points?person_id=736104&amp;year=2021&amp;type=national&amp;d=6","Results")</f>
        <v/>
      </c>
    </row>
    <row r="20">
      <c r="A20" t="inlineStr">
        <is>
          <t>19</t>
        </is>
      </c>
      <c r="B20" t="inlineStr">
        <is>
          <t>Amy Mourne</t>
        </is>
      </c>
      <c r="C20" t="inlineStr">
        <is>
          <t>Shibden Cycling Club</t>
        </is>
      </c>
      <c r="D20" t="inlineStr">
        <is>
          <t>96</t>
        </is>
      </c>
      <c r="E20">
        <f>HYPERLINK("https://www.britishcycling.org.uk/points?person_id=358925&amp;year=2021&amp;type=national&amp;d=6","Results")</f>
        <v/>
      </c>
    </row>
    <row r="21">
      <c r="A21" t="inlineStr">
        <is>
          <t>20</t>
        </is>
      </c>
      <c r="B21" t="inlineStr">
        <is>
          <t>Elena Day</t>
        </is>
      </c>
      <c r="C21" t="inlineStr">
        <is>
          <t>Montezuma's Race Team</t>
        </is>
      </c>
      <c r="D21" t="inlineStr">
        <is>
          <t>91</t>
        </is>
      </c>
      <c r="E21">
        <f>HYPERLINK("https://www.britishcycling.org.uk/points?person_id=307633&amp;year=2021&amp;type=national&amp;d=6","Results")</f>
        <v/>
      </c>
    </row>
    <row r="22">
      <c r="A22" t="inlineStr">
        <is>
          <t>21</t>
        </is>
      </c>
      <c r="B22" t="inlineStr">
        <is>
          <t>Kacey Eyeington</t>
        </is>
      </c>
      <c r="C22" t="inlineStr">
        <is>
          <t>Derwentside CC</t>
        </is>
      </c>
      <c r="D22" t="inlineStr">
        <is>
          <t>68</t>
        </is>
      </c>
      <c r="E22">
        <f>HYPERLINK("https://www.britishcycling.org.uk/points?person_id=190070&amp;year=2021&amp;type=national&amp;d=6","Results")</f>
        <v/>
      </c>
    </row>
    <row r="23">
      <c r="A23" t="inlineStr">
        <is>
          <t>22</t>
        </is>
      </c>
      <c r="B23" t="inlineStr">
        <is>
          <t>Katie Hadnum</t>
        </is>
      </c>
      <c r="C23" t="inlineStr">
        <is>
          <t>PH-MAS - Paul Milnes Cycles</t>
        </is>
      </c>
      <c r="D23" t="inlineStr">
        <is>
          <t>68</t>
        </is>
      </c>
      <c r="E23">
        <f>HYPERLINK("https://www.britishcycling.org.uk/points?person_id=325697&amp;year=2021&amp;type=national&amp;d=6","Results")</f>
        <v/>
      </c>
    </row>
    <row r="24">
      <c r="A24" t="inlineStr">
        <is>
          <t>23</t>
        </is>
      </c>
      <c r="B24" t="inlineStr">
        <is>
          <t>Abigail Miller</t>
        </is>
      </c>
      <c r="C24" t="inlineStr">
        <is>
          <t>WXC World Racing</t>
        </is>
      </c>
      <c r="D24" t="inlineStr">
        <is>
          <t>66</t>
        </is>
      </c>
      <c r="E24">
        <f>HYPERLINK("https://www.britishcycling.org.uk/points?person_id=532038&amp;year=2021&amp;type=national&amp;d=6","Results")</f>
        <v/>
      </c>
    </row>
    <row r="25">
      <c r="A25" t="inlineStr">
        <is>
          <t>24</t>
        </is>
      </c>
      <c r="B25" t="inlineStr">
        <is>
          <t>Matilda McKibben</t>
        </is>
      </c>
      <c r="C25" t="inlineStr">
        <is>
          <t>Liv Cycling Club - Halo Films</t>
        </is>
      </c>
      <c r="D25" t="inlineStr">
        <is>
          <t>62</t>
        </is>
      </c>
      <c r="E25">
        <f>HYPERLINK("https://www.britishcycling.org.uk/points?person_id=688319&amp;year=2021&amp;type=national&amp;d=6","Results")</f>
        <v/>
      </c>
    </row>
    <row r="26">
      <c r="A26" t="inlineStr">
        <is>
          <t>25</t>
        </is>
      </c>
      <c r="B26" t="inlineStr">
        <is>
          <t>Lotty Dawson</t>
        </is>
      </c>
      <c r="C26" t="inlineStr">
        <is>
          <t>Team Milton Keynes</t>
        </is>
      </c>
      <c r="D26" t="inlineStr">
        <is>
          <t>45</t>
        </is>
      </c>
      <c r="E26">
        <f>HYPERLINK("https://www.britishcycling.org.uk/points?person_id=666529&amp;year=2021&amp;type=national&amp;d=6","Results")</f>
        <v/>
      </c>
    </row>
    <row r="27">
      <c r="A27" t="inlineStr">
        <is>
          <t>26</t>
        </is>
      </c>
      <c r="B27" t="inlineStr">
        <is>
          <t>Freya Evans</t>
        </is>
      </c>
      <c r="C27" t="inlineStr">
        <is>
          <t>Cero - Cycle Division Racing Team</t>
        </is>
      </c>
      <c r="D27" t="inlineStr">
        <is>
          <t>41</t>
        </is>
      </c>
      <c r="E27">
        <f>HYPERLINK("https://www.britishcycling.org.uk/points?person_id=197073&amp;year=2021&amp;type=national&amp;d=6","Results")</f>
        <v/>
      </c>
    </row>
    <row r="28">
      <c r="A28" t="inlineStr">
        <is>
          <t>27</t>
        </is>
      </c>
      <c r="B28" t="inlineStr">
        <is>
          <t>Florence Whiteley</t>
        </is>
      </c>
      <c r="C28" t="inlineStr">
        <is>
          <t>Huddersfield Star Wheelers</t>
        </is>
      </c>
      <c r="D28" t="inlineStr">
        <is>
          <t>28</t>
        </is>
      </c>
      <c r="E28">
        <f>HYPERLINK("https://www.britishcycling.org.uk/points?person_id=263990&amp;year=2021&amp;type=national&amp;d=6","Results")</f>
        <v/>
      </c>
    </row>
    <row r="29">
      <c r="A29" t="inlineStr">
        <is>
          <t>28</t>
        </is>
      </c>
      <c r="B29" t="inlineStr">
        <is>
          <t>Tallulah Butcher</t>
        </is>
      </c>
      <c r="C29" t="inlineStr">
        <is>
          <t>Lee Valley Youth Cycling Club</t>
        </is>
      </c>
      <c r="D29" t="inlineStr">
        <is>
          <t>26</t>
        </is>
      </c>
      <c r="E29">
        <f>HYPERLINK("https://www.britishcycling.org.uk/points?person_id=688843&amp;year=2021&amp;type=national&amp;d=6","Results")</f>
        <v/>
      </c>
    </row>
    <row r="30">
      <c r="A30" t="inlineStr">
        <is>
          <t>29</t>
        </is>
      </c>
      <c r="B30" t="inlineStr">
        <is>
          <t>Georgina Pasmore</t>
        </is>
      </c>
      <c r="C30" t="inlineStr">
        <is>
          <t>Welwyn Wheelers CC</t>
        </is>
      </c>
      <c r="D30" t="inlineStr">
        <is>
          <t>22</t>
        </is>
      </c>
      <c r="E30">
        <f>HYPERLINK("https://www.britishcycling.org.uk/points?person_id=615932&amp;year=2021&amp;type=national&amp;d=6","Results")</f>
        <v/>
      </c>
    </row>
    <row r="31">
      <c r="A31" t="inlineStr">
        <is>
          <t>30</t>
        </is>
      </c>
      <c r="B31" t="inlineStr">
        <is>
          <t>Bethany Bennett</t>
        </is>
      </c>
      <c r="C31" t="inlineStr">
        <is>
          <t>JRC-INTERFLON Race Team</t>
        </is>
      </c>
      <c r="D31" t="inlineStr">
        <is>
          <t>21</t>
        </is>
      </c>
      <c r="E31">
        <f>HYPERLINK("https://www.britishcycling.org.uk/points?person_id=222185&amp;year=2021&amp;type=national&amp;d=6","Results")</f>
        <v/>
      </c>
    </row>
    <row r="32">
      <c r="A32" t="inlineStr">
        <is>
          <t>31</t>
        </is>
      </c>
      <c r="B32" t="inlineStr">
        <is>
          <t>Ellen Webber</t>
        </is>
      </c>
      <c r="C32" t="inlineStr">
        <is>
          <t>Taw Velo</t>
        </is>
      </c>
      <c r="D32" t="inlineStr">
        <is>
          <t>21</t>
        </is>
      </c>
      <c r="E32">
        <f>HYPERLINK("https://www.britishcycling.org.uk/points?person_id=538529&amp;year=2021&amp;type=national&amp;d=6","Results")</f>
        <v/>
      </c>
    </row>
    <row r="33">
      <c r="A33" t="inlineStr">
        <is>
          <t>32</t>
        </is>
      </c>
      <c r="B33" t="inlineStr">
        <is>
          <t>Beatrix Kiehlmann</t>
        </is>
      </c>
      <c r="C33" t="inlineStr">
        <is>
          <t>Falcons Cycling Club Bishopbriggs</t>
        </is>
      </c>
      <c r="D33" t="inlineStr">
        <is>
          <t>20</t>
        </is>
      </c>
      <c r="E33">
        <f>HYPERLINK("https://www.britishcycling.org.uk/points?person_id=405787&amp;year=2021&amp;type=national&amp;d=6","Results")</f>
        <v/>
      </c>
    </row>
    <row r="34">
      <c r="A34" t="inlineStr">
        <is>
          <t>33</t>
        </is>
      </c>
      <c r="B34" t="inlineStr">
        <is>
          <t>Emelia Barker</t>
        </is>
      </c>
      <c r="C34" t="inlineStr">
        <is>
          <t>Red Rose Olympic CC</t>
        </is>
      </c>
      <c r="D34" t="inlineStr">
        <is>
          <t>19</t>
        </is>
      </c>
      <c r="E34">
        <f>HYPERLINK("https://www.britishcycling.org.uk/points?person_id=396705&amp;year=2021&amp;type=national&amp;d=6","Results")</f>
        <v/>
      </c>
    </row>
    <row r="35">
      <c r="A35" t="inlineStr">
        <is>
          <t>34</t>
        </is>
      </c>
      <c r="B35" t="inlineStr">
        <is>
          <t>Lucy Dalgleish</t>
        </is>
      </c>
      <c r="C35" t="inlineStr">
        <is>
          <t>Cog Set Papyrus Racing Club</t>
        </is>
      </c>
      <c r="D35" t="inlineStr">
        <is>
          <t>15</t>
        </is>
      </c>
      <c r="E35">
        <f>HYPERLINK("https://www.britishcycling.org.uk/points?person_id=253518&amp;year=2021&amp;type=national&amp;d=6","Results")</f>
        <v/>
      </c>
    </row>
    <row r="36">
      <c r="A36" t="inlineStr">
        <is>
          <t>35</t>
        </is>
      </c>
      <c r="B36" t="inlineStr">
        <is>
          <t>Freya Eccleston</t>
        </is>
      </c>
      <c r="C36" t="inlineStr">
        <is>
          <t>Palmer Park Velo RT</t>
        </is>
      </c>
      <c r="D36" t="inlineStr">
        <is>
          <t>13</t>
        </is>
      </c>
      <c r="E36">
        <f>HYPERLINK("https://www.britishcycling.org.uk/points?person_id=619987&amp;year=2021&amp;type=national&amp;d=6","Results")</f>
        <v/>
      </c>
    </row>
    <row r="37">
      <c r="A37" t="inlineStr">
        <is>
          <t>36</t>
        </is>
      </c>
      <c r="B37" t="inlineStr">
        <is>
          <t>Alice Orgill</t>
        </is>
      </c>
      <c r="C37" t="inlineStr">
        <is>
          <t>Team Empella Cyclo-Cross.Com</t>
        </is>
      </c>
      <c r="D37" t="inlineStr">
        <is>
          <t>13</t>
        </is>
      </c>
      <c r="E37">
        <f>HYPERLINK("https://www.britishcycling.org.uk/points?person_id=246926&amp;year=2021&amp;type=national&amp;d=6","Results")</f>
        <v/>
      </c>
    </row>
    <row r="38">
      <c r="A38" t="inlineStr">
        <is>
          <t>37</t>
        </is>
      </c>
      <c r="B38" t="inlineStr">
        <is>
          <t>Eva Newby</t>
        </is>
      </c>
      <c r="C38" t="inlineStr">
        <is>
          <t>RFDA</t>
        </is>
      </c>
      <c r="D38" t="inlineStr">
        <is>
          <t>11</t>
        </is>
      </c>
      <c r="E38">
        <f>HYPERLINK("https://www.britishcycling.org.uk/points?person_id=203496&amp;year=2021&amp;type=national&amp;d=6","Results")</f>
        <v/>
      </c>
    </row>
    <row r="39">
      <c r="A39" t="inlineStr">
        <is>
          <t>38</t>
        </is>
      </c>
      <c r="B39" t="inlineStr">
        <is>
          <t>Efa Williams</t>
        </is>
      </c>
      <c r="C39" t="inlineStr">
        <is>
          <t>Cardiff JIF</t>
        </is>
      </c>
      <c r="D39" t="inlineStr">
        <is>
          <t>10</t>
        </is>
      </c>
      <c r="E39">
        <f>HYPERLINK("https://www.britishcycling.org.uk/points?person_id=669661&amp;year=2021&amp;type=national&amp;d=6","Results")</f>
        <v/>
      </c>
    </row>
    <row r="40">
      <c r="A40" t="inlineStr">
        <is>
          <t>39</t>
        </is>
      </c>
      <c r="B40" t="inlineStr">
        <is>
          <t>Amy Loftus</t>
        </is>
      </c>
      <c r="C40" t="inlineStr">
        <is>
          <t>East Bradford Race Team</t>
        </is>
      </c>
      <c r="D40" t="inlineStr">
        <is>
          <t>9</t>
        </is>
      </c>
      <c r="E40">
        <f>HYPERLINK("https://www.britishcycling.org.uk/points?person_id=834778&amp;year=2021&amp;type=national&amp;d=6","Results")</f>
        <v/>
      </c>
    </row>
    <row r="41">
      <c r="A41" t="inlineStr">
        <is>
          <t>40</t>
        </is>
      </c>
      <c r="B41" t="inlineStr">
        <is>
          <t>Grace Nolan</t>
        </is>
      </c>
      <c r="C41" t="inlineStr"/>
      <c r="D41" t="inlineStr">
        <is>
          <t>8</t>
        </is>
      </c>
      <c r="E41">
        <f>HYPERLINK("https://www.britishcycling.org.uk/points?person_id=673023&amp;year=2021&amp;type=national&amp;d=6","Results")</f>
        <v/>
      </c>
    </row>
    <row r="42">
      <c r="A42" t="inlineStr">
        <is>
          <t>41</t>
        </is>
      </c>
      <c r="B42" t="inlineStr">
        <is>
          <t>Kayleigh Cooke</t>
        </is>
      </c>
      <c r="C42" t="inlineStr">
        <is>
          <t>Taw Velo</t>
        </is>
      </c>
      <c r="D42" t="inlineStr">
        <is>
          <t>7</t>
        </is>
      </c>
      <c r="E42">
        <f>HYPERLINK("https://www.britishcycling.org.uk/points?person_id=941960&amp;year=2021&amp;type=national&amp;d=6","Results")</f>
        <v/>
      </c>
    </row>
    <row r="43">
      <c r="A43" t="inlineStr">
        <is>
          <t>42</t>
        </is>
      </c>
      <c r="B43" t="inlineStr">
        <is>
          <t>Lindsay Toy</t>
        </is>
      </c>
      <c r="C43" t="inlineStr">
        <is>
          <t>Beeston RC</t>
        </is>
      </c>
      <c r="D43" t="inlineStr">
        <is>
          <t>7</t>
        </is>
      </c>
      <c r="E43">
        <f>HYPERLINK("https://www.britishcycling.org.uk/points?person_id=463061&amp;year=2021&amp;type=national&amp;d=6","Results")</f>
        <v/>
      </c>
    </row>
    <row r="44">
      <c r="A44" t="inlineStr">
        <is>
          <t>43</t>
        </is>
      </c>
      <c r="B44" t="inlineStr">
        <is>
          <t>Isla Blain</t>
        </is>
      </c>
      <c r="C44" t="inlineStr">
        <is>
          <t>Team Empella Cyclo-Cross.Com</t>
        </is>
      </c>
      <c r="D44" t="inlineStr">
        <is>
          <t>6</t>
        </is>
      </c>
      <c r="E44">
        <f>HYPERLINK("https://www.britishcycling.org.uk/points?person_id=135089&amp;year=2021&amp;type=national&amp;d=6","Results")</f>
        <v/>
      </c>
    </row>
    <row r="45">
      <c r="A45" t="inlineStr">
        <is>
          <t>44</t>
        </is>
      </c>
      <c r="B45" t="inlineStr">
        <is>
          <t>Grace Chambers</t>
        </is>
      </c>
      <c r="C45" t="inlineStr">
        <is>
          <t>Lincoln Wheelers CC</t>
        </is>
      </c>
      <c r="D45" t="inlineStr">
        <is>
          <t>6</t>
        </is>
      </c>
      <c r="E45">
        <f>HYPERLINK("https://www.britishcycling.org.uk/points?person_id=601044&amp;year=2021&amp;type=national&amp;d=6","Results")</f>
        <v/>
      </c>
    </row>
    <row r="46">
      <c r="A46" t="inlineStr">
        <is>
          <t>45</t>
        </is>
      </c>
      <c r="B46" t="inlineStr">
        <is>
          <t>Georgia Lancaster</t>
        </is>
      </c>
      <c r="C46" t="inlineStr">
        <is>
          <t>Sleaford Wheelers Cycling Club</t>
        </is>
      </c>
      <c r="D46" t="inlineStr">
        <is>
          <t>6</t>
        </is>
      </c>
      <c r="E46">
        <f>HYPERLINK("https://www.britishcycling.org.uk/points?person_id=449662&amp;year=2021&amp;type=national&amp;d=6","Results")</f>
        <v/>
      </c>
    </row>
    <row r="47">
      <c r="A47" t="inlineStr">
        <is>
          <t>46</t>
        </is>
      </c>
      <c r="B47" t="inlineStr">
        <is>
          <t>Erin Wood</t>
        </is>
      </c>
      <c r="C47" t="inlineStr">
        <is>
          <t>Bennachie Bike Bothy</t>
        </is>
      </c>
      <c r="D47" t="inlineStr">
        <is>
          <t>6</t>
        </is>
      </c>
      <c r="E47">
        <f>HYPERLINK("https://www.britishcycling.org.uk/points?person_id=655145&amp;year=2021&amp;type=national&amp;d=6","Results")</f>
        <v/>
      </c>
    </row>
    <row r="48">
      <c r="A48" t="inlineStr">
        <is>
          <t>47</t>
        </is>
      </c>
      <c r="B48" t="inlineStr">
        <is>
          <t>Isla Long</t>
        </is>
      </c>
      <c r="C48" t="inlineStr">
        <is>
          <t>Deeside Thistle CC</t>
        </is>
      </c>
      <c r="D48" t="inlineStr">
        <is>
          <t>5</t>
        </is>
      </c>
      <c r="E48">
        <f>HYPERLINK("https://www.britishcycling.org.uk/points?person_id=408026&amp;year=2021&amp;type=national&amp;d=6","Results")</f>
        <v/>
      </c>
    </row>
    <row r="49">
      <c r="A49" t="inlineStr">
        <is>
          <t>48</t>
        </is>
      </c>
      <c r="B49" t="inlineStr">
        <is>
          <t>Amy Harvey</t>
        </is>
      </c>
      <c r="C49" t="inlineStr">
        <is>
          <t>Verulam - reallymoving.com</t>
        </is>
      </c>
      <c r="D49" t="inlineStr">
        <is>
          <t>4</t>
        </is>
      </c>
      <c r="E49">
        <f>HYPERLINK("https://www.britishcycling.org.uk/points?person_id=649057&amp;year=2021&amp;type=national&amp;d=6","Results")</f>
        <v/>
      </c>
    </row>
    <row r="50">
      <c r="A50" t="inlineStr">
        <is>
          <t>49</t>
        </is>
      </c>
      <c r="B50" t="inlineStr">
        <is>
          <t>Shona Mosley</t>
        </is>
      </c>
      <c r="C50" t="inlineStr">
        <is>
          <t>JRC-INTERFLON Race Team</t>
        </is>
      </c>
      <c r="D50" t="inlineStr">
        <is>
          <t>4</t>
        </is>
      </c>
      <c r="E50">
        <f>HYPERLINK("https://www.britishcycling.org.uk/points?person_id=300945&amp;year=2021&amp;type=national&amp;d=6","Results")</f>
        <v/>
      </c>
    </row>
    <row r="51">
      <c r="A51" t="inlineStr">
        <is>
          <t>50</t>
        </is>
      </c>
      <c r="B51" t="inlineStr">
        <is>
          <t>Annabel Shunburne</t>
        </is>
      </c>
      <c r="C51" t="inlineStr">
        <is>
          <t>Matlock CC</t>
        </is>
      </c>
      <c r="D51" t="inlineStr">
        <is>
          <t>4</t>
        </is>
      </c>
      <c r="E51">
        <f>HYPERLINK("https://www.britishcycling.org.uk/points?person_id=548540&amp;year=2021&amp;type=national&amp;d=6","Results")</f>
        <v/>
      </c>
    </row>
    <row r="52">
      <c r="A52" t="inlineStr">
        <is>
          <t>51</t>
        </is>
      </c>
      <c r="B52" t="inlineStr">
        <is>
          <t>Sally Walsh</t>
        </is>
      </c>
      <c r="C52" t="inlineStr"/>
      <c r="D52" t="inlineStr">
        <is>
          <t>4</t>
        </is>
      </c>
      <c r="E52">
        <f>HYPERLINK("https://www.britishcycling.org.uk/points?person_id=987056&amp;year=2021&amp;type=national&amp;d=6","Results")</f>
        <v/>
      </c>
    </row>
    <row r="53">
      <c r="A53" t="inlineStr">
        <is>
          <t>52</t>
        </is>
      </c>
      <c r="B53" t="inlineStr">
        <is>
          <t>Ella Ruggles</t>
        </is>
      </c>
      <c r="C53" t="inlineStr">
        <is>
          <t>Verulam - reallymoving.com</t>
        </is>
      </c>
      <c r="D53" t="inlineStr">
        <is>
          <t>3</t>
        </is>
      </c>
      <c r="E53">
        <f>HYPERLINK("https://www.britishcycling.org.uk/points?person_id=616914&amp;year=2021&amp;type=national&amp;d=6","Results")</f>
        <v/>
      </c>
    </row>
    <row r="54">
      <c r="A54" t="inlineStr">
        <is>
          <t>53</t>
        </is>
      </c>
      <c r="B54" t="inlineStr">
        <is>
          <t>Ciara Simcock</t>
        </is>
      </c>
      <c r="C54" t="inlineStr"/>
      <c r="D54" t="inlineStr">
        <is>
          <t>3</t>
        </is>
      </c>
      <c r="E54">
        <f>HYPERLINK("https://www.britishcycling.org.uk/points?person_id=611989&amp;year=2021&amp;type=national&amp;d=6","Results")</f>
        <v/>
      </c>
    </row>
    <row r="55">
      <c r="A55" t="inlineStr">
        <is>
          <t>54</t>
        </is>
      </c>
      <c r="B55" t="inlineStr">
        <is>
          <t>Evie White</t>
        </is>
      </c>
      <c r="C55" t="inlineStr">
        <is>
          <t>Deeside Thistle CC</t>
        </is>
      </c>
      <c r="D55" t="inlineStr">
        <is>
          <t>3</t>
        </is>
      </c>
      <c r="E55">
        <f>HYPERLINK("https://www.britishcycling.org.uk/points?person_id=391897&amp;year=2021&amp;type=national&amp;d=6","Results")</f>
        <v/>
      </c>
    </row>
    <row r="56">
      <c r="A56" t="inlineStr">
        <is>
          <t>55</t>
        </is>
      </c>
      <c r="B56" t="inlineStr">
        <is>
          <t>Millie Breese</t>
        </is>
      </c>
      <c r="C56" t="inlineStr">
        <is>
          <t>Racing Metro 15</t>
        </is>
      </c>
      <c r="D56" t="inlineStr">
        <is>
          <t>2</t>
        </is>
      </c>
      <c r="E56">
        <f>HYPERLINK("https://www.britishcycling.org.uk/points?person_id=990171&amp;year=2021&amp;type=national&amp;d=6","Results")</f>
        <v/>
      </c>
    </row>
    <row r="57">
      <c r="A57" t="inlineStr">
        <is>
          <t>56</t>
        </is>
      </c>
      <c r="B57" t="inlineStr">
        <is>
          <t>Posie Forrester</t>
        </is>
      </c>
      <c r="C57" t="inlineStr">
        <is>
          <t>Cero - Cycle Division Racing Team</t>
        </is>
      </c>
      <c r="D57" t="inlineStr">
        <is>
          <t>2</t>
        </is>
      </c>
      <c r="E57">
        <f>HYPERLINK("https://www.britishcycling.org.uk/points?person_id=522391&amp;year=2021&amp;type=national&amp;d=6","Results")</f>
        <v/>
      </c>
    </row>
    <row r="58">
      <c r="A58" t="inlineStr">
        <is>
          <t>57</t>
        </is>
      </c>
      <c r="B58" t="inlineStr">
        <is>
          <t>Katie Galloway</t>
        </is>
      </c>
      <c r="C58" t="inlineStr">
        <is>
          <t>Edinburgh RC</t>
        </is>
      </c>
      <c r="D58" t="inlineStr">
        <is>
          <t>2</t>
        </is>
      </c>
      <c r="E58">
        <f>HYPERLINK("https://www.britishcycling.org.uk/points?person_id=396292&amp;year=2021&amp;type=national&amp;d=6","Results")</f>
        <v/>
      </c>
    </row>
    <row r="59">
      <c r="A59" t="inlineStr">
        <is>
          <t>58</t>
        </is>
      </c>
      <c r="B59" t="inlineStr">
        <is>
          <t>Lola Ellis</t>
        </is>
      </c>
      <c r="C59" t="inlineStr">
        <is>
          <t>Cheshire Maverick CC</t>
        </is>
      </c>
      <c r="D59" t="inlineStr">
        <is>
          <t>1</t>
        </is>
      </c>
      <c r="E59">
        <f>HYPERLINK("https://www.britishcycling.org.uk/points?person_id=539187&amp;year=2021&amp;type=national&amp;d=6","Results")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379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Anna Kay</t>
        </is>
      </c>
      <c r="C2" t="inlineStr">
        <is>
          <t>StarCasino Team</t>
        </is>
      </c>
      <c r="D2" t="inlineStr">
        <is>
          <t>938</t>
        </is>
      </c>
      <c r="E2">
        <f>HYPERLINK("https://www.britishcycling.org.uk/points?person_id=252892&amp;year=2021&amp;type=national&amp;d=6","Results")</f>
        <v/>
      </c>
    </row>
    <row r="3">
      <c r="A3" t="inlineStr">
        <is>
          <t>2</t>
        </is>
      </c>
      <c r="B3" t="inlineStr">
        <is>
          <t>Amira Mellor</t>
        </is>
      </c>
      <c r="C3" t="inlineStr">
        <is>
          <t>Spectra Wiggle p/b Vitus</t>
        </is>
      </c>
      <c r="D3" t="inlineStr">
        <is>
          <t>730</t>
        </is>
      </c>
      <c r="E3">
        <f>HYPERLINK("https://www.britishcycling.org.uk/points?person_id=13618&amp;year=2021&amp;type=national&amp;d=6","Results")</f>
        <v/>
      </c>
    </row>
    <row r="4">
      <c r="A4" t="inlineStr">
        <is>
          <t>3</t>
        </is>
      </c>
      <c r="B4" t="inlineStr">
        <is>
          <t>Xan Crees</t>
        </is>
      </c>
      <c r="C4" t="inlineStr">
        <is>
          <t>Spectra Wiggle p/b Vitus</t>
        </is>
      </c>
      <c r="D4" t="inlineStr">
        <is>
          <t>692</t>
        </is>
      </c>
      <c r="E4">
        <f>HYPERLINK("https://www.britishcycling.org.uk/points?person_id=224783&amp;year=2021&amp;type=national&amp;d=6","Results")</f>
        <v/>
      </c>
    </row>
    <row r="5">
      <c r="A5" t="inlineStr">
        <is>
          <t>4</t>
        </is>
      </c>
      <c r="B5" t="inlineStr">
        <is>
          <t>Amy Perryman</t>
        </is>
      </c>
      <c r="C5" t="inlineStr">
        <is>
          <t>Montezuma's Race Team</t>
        </is>
      </c>
      <c r="D5" t="inlineStr">
        <is>
          <t>551</t>
        </is>
      </c>
      <c r="E5">
        <f>HYPERLINK("https://www.britishcycling.org.uk/points?person_id=133552&amp;year=2021&amp;type=national&amp;d=6","Results")</f>
        <v/>
      </c>
    </row>
    <row r="6">
      <c r="A6" t="inlineStr">
        <is>
          <t>5</t>
        </is>
      </c>
      <c r="B6" t="inlineStr">
        <is>
          <t>Christina Wiejak</t>
        </is>
      </c>
      <c r="C6" t="inlineStr">
        <is>
          <t>Saint Piran WRT</t>
        </is>
      </c>
      <c r="D6" t="inlineStr">
        <is>
          <t>551</t>
        </is>
      </c>
      <c r="E6">
        <f>HYPERLINK("https://www.britishcycling.org.uk/points?person_id=177183&amp;year=2021&amp;type=national&amp;d=6","Results")</f>
        <v/>
      </c>
    </row>
    <row r="7">
      <c r="A7" t="inlineStr">
        <is>
          <t>6</t>
        </is>
      </c>
      <c r="B7" t="inlineStr">
        <is>
          <t>Ceris Styler</t>
        </is>
      </c>
      <c r="C7" t="inlineStr">
        <is>
          <t>Backstedt Bike Performance RC</t>
        </is>
      </c>
      <c r="D7" t="inlineStr">
        <is>
          <t>538</t>
        </is>
      </c>
      <c r="E7">
        <f>HYPERLINK("https://www.britishcycling.org.uk/points?person_id=3867&amp;year=2021&amp;type=national&amp;d=6","Results")</f>
        <v/>
      </c>
    </row>
    <row r="8">
      <c r="A8" t="inlineStr">
        <is>
          <t>7</t>
        </is>
      </c>
      <c r="B8" t="inlineStr">
        <is>
          <t>Annie Last</t>
        </is>
      </c>
      <c r="C8" t="inlineStr">
        <is>
          <t>SCOTT Racing</t>
        </is>
      </c>
      <c r="D8" t="inlineStr">
        <is>
          <t>525</t>
        </is>
      </c>
      <c r="E8">
        <f>HYPERLINK("https://www.britishcycling.org.uk/points?person_id=46212&amp;year=2021&amp;type=national&amp;d=6","Results")</f>
        <v/>
      </c>
    </row>
    <row r="9">
      <c r="A9" t="inlineStr">
        <is>
          <t>8</t>
        </is>
      </c>
      <c r="B9" t="inlineStr">
        <is>
          <t>Alderney Baker</t>
        </is>
      </c>
      <c r="C9" t="inlineStr">
        <is>
          <t>Team Empella Cyclo-Cross.Com</t>
        </is>
      </c>
      <c r="D9" t="inlineStr">
        <is>
          <t>522</t>
        </is>
      </c>
      <c r="E9">
        <f>HYPERLINK("https://www.britishcycling.org.uk/points?person_id=28775&amp;year=2021&amp;type=national&amp;d=6","Results")</f>
        <v/>
      </c>
    </row>
    <row r="10">
      <c r="A10" t="inlineStr">
        <is>
          <t>9</t>
        </is>
      </c>
      <c r="B10" t="inlineStr">
        <is>
          <t>Anna Flynn</t>
        </is>
      </c>
      <c r="C10" t="inlineStr">
        <is>
          <t>Edinburgh RC</t>
        </is>
      </c>
      <c r="D10" t="inlineStr">
        <is>
          <t>520</t>
        </is>
      </c>
      <c r="E10">
        <f>HYPERLINK("https://www.britishcycling.org.uk/points?person_id=127808&amp;year=2021&amp;type=national&amp;d=6","Results")</f>
        <v/>
      </c>
    </row>
    <row r="11">
      <c r="A11" t="inlineStr">
        <is>
          <t>10</t>
        </is>
      </c>
      <c r="B11" t="inlineStr">
        <is>
          <t>Harriet Harnden</t>
        </is>
      </c>
      <c r="C11" t="inlineStr">
        <is>
          <t>Trek Factory Racing XC</t>
        </is>
      </c>
      <c r="D11" t="inlineStr">
        <is>
          <t>478</t>
        </is>
      </c>
      <c r="E11">
        <f>HYPERLINK("https://www.britishcycling.org.uk/points?person_id=257228&amp;year=2021&amp;type=national&amp;d=6","Results")</f>
        <v/>
      </c>
    </row>
    <row r="12">
      <c r="A12" t="inlineStr">
        <is>
          <t>11</t>
        </is>
      </c>
      <c r="B12" t="inlineStr">
        <is>
          <t>Bethany Barnett</t>
        </is>
      </c>
      <c r="C12" t="inlineStr">
        <is>
          <t>AWOL Worx Galliard</t>
        </is>
      </c>
      <c r="D12" t="inlineStr">
        <is>
          <t>456</t>
        </is>
      </c>
      <c r="E12">
        <f>HYPERLINK("https://www.britishcycling.org.uk/points?person_id=463514&amp;year=2021&amp;type=national&amp;d=6","Results")</f>
        <v/>
      </c>
    </row>
    <row r="13">
      <c r="A13" t="inlineStr">
        <is>
          <t>12</t>
        </is>
      </c>
      <c r="B13" t="inlineStr">
        <is>
          <t>Adeline Moreau</t>
        </is>
      </c>
      <c r="C13" t="inlineStr">
        <is>
          <t>Sunday Echappée</t>
        </is>
      </c>
      <c r="D13" t="inlineStr">
        <is>
          <t>456</t>
        </is>
      </c>
      <c r="E13">
        <f>HYPERLINK("https://www.britishcycling.org.uk/points?person_id=324229&amp;year=2021&amp;type=national&amp;d=6","Results")</f>
        <v/>
      </c>
    </row>
    <row r="14">
      <c r="A14" t="inlineStr">
        <is>
          <t>13</t>
        </is>
      </c>
      <c r="B14" t="inlineStr">
        <is>
          <t>Ruby James</t>
        </is>
      </c>
      <c r="C14" t="inlineStr">
        <is>
          <t>Hope Factory Racing</t>
        </is>
      </c>
      <c r="D14" t="inlineStr">
        <is>
          <t>442</t>
        </is>
      </c>
      <c r="E14">
        <f>HYPERLINK("https://www.britishcycling.org.uk/points?person_id=53547&amp;year=2021&amp;type=national&amp;d=6","Results")</f>
        <v/>
      </c>
    </row>
    <row r="15">
      <c r="A15" t="inlineStr">
        <is>
          <t>14</t>
        </is>
      </c>
      <c r="B15" t="inlineStr">
        <is>
          <t>Zoe Backstedt</t>
        </is>
      </c>
      <c r="C15" t="inlineStr">
        <is>
          <t>Acrog-Tormans</t>
        </is>
      </c>
      <c r="D15" t="inlineStr">
        <is>
          <t>432</t>
        </is>
      </c>
      <c r="E15">
        <f>HYPERLINK("https://www.britishcycling.org.uk/points?person_id=59921&amp;year=2021&amp;type=national&amp;d=6","Results")</f>
        <v/>
      </c>
    </row>
    <row r="16">
      <c r="A16" t="inlineStr">
        <is>
          <t>15</t>
        </is>
      </c>
      <c r="B16" t="inlineStr">
        <is>
          <t>Josie Nelson</t>
        </is>
      </c>
      <c r="C16" t="inlineStr">
        <is>
          <t>Team Coop-Hitec Products</t>
        </is>
      </c>
      <c r="D16" t="inlineStr">
        <is>
          <t>408</t>
        </is>
      </c>
      <c r="E16">
        <f>HYPERLINK("https://www.britishcycling.org.uk/points?person_id=57038&amp;year=2021&amp;type=national&amp;d=6","Results")</f>
        <v/>
      </c>
    </row>
    <row r="17">
      <c r="A17" t="inlineStr">
        <is>
          <t>16</t>
        </is>
      </c>
      <c r="B17" t="inlineStr">
        <is>
          <t>Ffion James</t>
        </is>
      </c>
      <c r="C17" t="inlineStr">
        <is>
          <t>Hope Factory Racing</t>
        </is>
      </c>
      <c r="D17" t="inlineStr">
        <is>
          <t>407</t>
        </is>
      </c>
      <c r="E17">
        <f>HYPERLINK("https://www.britishcycling.org.uk/points?person_id=35364&amp;year=2021&amp;type=national&amp;d=6","Results")</f>
        <v/>
      </c>
    </row>
    <row r="18">
      <c r="A18" t="inlineStr">
        <is>
          <t>17</t>
        </is>
      </c>
      <c r="B18" t="inlineStr">
        <is>
          <t>Abbie Manley</t>
        </is>
      </c>
      <c r="C18" t="inlineStr">
        <is>
          <t>Montezuma's Race Team</t>
        </is>
      </c>
      <c r="D18" t="inlineStr">
        <is>
          <t>390</t>
        </is>
      </c>
      <c r="E18">
        <f>HYPERLINK("https://www.britishcycling.org.uk/points?person_id=229554&amp;year=2021&amp;type=national&amp;d=6","Results")</f>
        <v/>
      </c>
    </row>
    <row r="19">
      <c r="A19" t="inlineStr">
        <is>
          <t>18</t>
        </is>
      </c>
      <c r="B19" t="inlineStr">
        <is>
          <t>Lindy Brazier-Larkin</t>
        </is>
      </c>
      <c r="C19" t="inlineStr">
        <is>
          <t>Sarum Velo</t>
        </is>
      </c>
      <c r="D19" t="inlineStr">
        <is>
          <t>364</t>
        </is>
      </c>
      <c r="E19">
        <f>HYPERLINK("https://www.britishcycling.org.uk/points?person_id=518986&amp;year=2021&amp;type=national&amp;d=6","Results")</f>
        <v/>
      </c>
    </row>
    <row r="20">
      <c r="A20" t="inlineStr">
        <is>
          <t>19</t>
        </is>
      </c>
      <c r="B20" t="inlineStr">
        <is>
          <t>Millie Couzens</t>
        </is>
      </c>
      <c r="C20" t="inlineStr">
        <is>
          <t>Crelan-IKO</t>
        </is>
      </c>
      <c r="D20" t="inlineStr">
        <is>
          <t>363</t>
        </is>
      </c>
      <c r="E20">
        <f>HYPERLINK("https://www.britishcycling.org.uk/points?person_id=236028&amp;year=2021&amp;type=national&amp;d=6","Results")</f>
        <v/>
      </c>
    </row>
    <row r="21">
      <c r="A21" t="inlineStr">
        <is>
          <t>20</t>
        </is>
      </c>
      <c r="B21" t="inlineStr">
        <is>
          <t>Gemma Melton</t>
        </is>
      </c>
      <c r="C21" t="inlineStr">
        <is>
          <t>XRT - Elmy Cycles</t>
        </is>
      </c>
      <c r="D21" t="inlineStr">
        <is>
          <t>353</t>
        </is>
      </c>
      <c r="E21">
        <f>HYPERLINK("https://www.britishcycling.org.uk/points?person_id=359521&amp;year=2021&amp;type=national&amp;d=6","Results")</f>
        <v/>
      </c>
    </row>
    <row r="22">
      <c r="A22" t="inlineStr">
        <is>
          <t>21</t>
        </is>
      </c>
      <c r="B22" t="inlineStr">
        <is>
          <t>Elvita Branch</t>
        </is>
      </c>
      <c r="C22" t="inlineStr">
        <is>
          <t>C6 Bikes</t>
        </is>
      </c>
      <c r="D22" t="inlineStr">
        <is>
          <t>348</t>
        </is>
      </c>
      <c r="E22">
        <f>HYPERLINK("https://www.britishcycling.org.uk/points?person_id=452451&amp;year=2021&amp;type=national&amp;d=6","Results")</f>
        <v/>
      </c>
    </row>
    <row r="23">
      <c r="A23" t="inlineStr">
        <is>
          <t>22</t>
        </is>
      </c>
      <c r="B23" t="inlineStr">
        <is>
          <t>Ishbel Strathdee</t>
        </is>
      </c>
      <c r="C23" t="inlineStr">
        <is>
          <t>VeloRevolution-WPCycles</t>
        </is>
      </c>
      <c r="D23" t="inlineStr">
        <is>
          <t>328</t>
        </is>
      </c>
      <c r="E23">
        <f>HYPERLINK("https://www.britishcycling.org.uk/points?person_id=170909&amp;year=2021&amp;type=national&amp;d=6","Results")</f>
        <v/>
      </c>
    </row>
    <row r="24">
      <c r="A24" t="inlineStr">
        <is>
          <t>23</t>
        </is>
      </c>
      <c r="B24" t="inlineStr">
        <is>
          <t>Lotta Mansfield</t>
        </is>
      </c>
      <c r="C24" t="inlineStr">
        <is>
          <t>Montezuma's Race Team</t>
        </is>
      </c>
      <c r="D24" t="inlineStr">
        <is>
          <t>322</t>
        </is>
      </c>
      <c r="E24">
        <f>HYPERLINK("https://www.britishcycling.org.uk/points?person_id=185355&amp;year=2021&amp;type=national&amp;d=6","Results")</f>
        <v/>
      </c>
    </row>
    <row r="25">
      <c r="A25" t="inlineStr">
        <is>
          <t>24</t>
        </is>
      </c>
      <c r="B25" t="inlineStr">
        <is>
          <t>Rebecca Preece</t>
        </is>
      </c>
      <c r="C25" t="inlineStr">
        <is>
          <t>Hope Factory Racing</t>
        </is>
      </c>
      <c r="D25" t="inlineStr">
        <is>
          <t>306</t>
        </is>
      </c>
      <c r="E25">
        <f>HYPERLINK("https://www.britishcycling.org.uk/points?person_id=55960&amp;year=2021&amp;type=national&amp;d=6","Results")</f>
        <v/>
      </c>
    </row>
    <row r="26">
      <c r="A26" t="inlineStr">
        <is>
          <t>25</t>
        </is>
      </c>
      <c r="B26" t="inlineStr">
        <is>
          <t>Libby Greatorex</t>
        </is>
      </c>
      <c r="C26" t="inlineStr">
        <is>
          <t>www.cyclocrossrider.com</t>
        </is>
      </c>
      <c r="D26" t="inlineStr">
        <is>
          <t>293</t>
        </is>
      </c>
      <c r="E26">
        <f>HYPERLINK("https://www.britishcycling.org.uk/points?person_id=102377&amp;year=2021&amp;type=national&amp;d=6","Results")</f>
        <v/>
      </c>
    </row>
    <row r="27">
      <c r="A27" t="inlineStr">
        <is>
          <t>26</t>
        </is>
      </c>
      <c r="B27" t="inlineStr">
        <is>
          <t>Kate Robson</t>
        </is>
      </c>
      <c r="C27" t="inlineStr">
        <is>
          <t>Pedalon.co.uk</t>
        </is>
      </c>
      <c r="D27" t="inlineStr">
        <is>
          <t>288</t>
        </is>
      </c>
      <c r="E27">
        <f>HYPERLINK("https://www.britishcycling.org.uk/points?person_id=614714&amp;year=2021&amp;type=national&amp;d=6","Results")</f>
        <v/>
      </c>
    </row>
    <row r="28">
      <c r="A28" t="inlineStr">
        <is>
          <t>27</t>
        </is>
      </c>
      <c r="B28" t="inlineStr">
        <is>
          <t>Helen Pattinson</t>
        </is>
      </c>
      <c r="C28" t="inlineStr">
        <is>
          <t>Montezuma's Race Team</t>
        </is>
      </c>
      <c r="D28" t="inlineStr">
        <is>
          <t>268</t>
        </is>
      </c>
      <c r="E28">
        <f>HYPERLINK("https://www.britishcycling.org.uk/points?person_id=240019&amp;year=2021&amp;type=national&amp;d=6","Results")</f>
        <v/>
      </c>
    </row>
    <row r="29">
      <c r="A29" t="inlineStr">
        <is>
          <t>28</t>
        </is>
      </c>
      <c r="B29" t="inlineStr">
        <is>
          <t>Caroline Reuter</t>
        </is>
      </c>
      <c r="C29" t="inlineStr">
        <is>
          <t>Dulwich Paragon CC</t>
        </is>
      </c>
      <c r="D29" t="inlineStr">
        <is>
          <t>268</t>
        </is>
      </c>
      <c r="E29">
        <f>HYPERLINK("https://www.britishcycling.org.uk/points?person_id=387547&amp;year=2021&amp;type=national&amp;d=6","Results")</f>
        <v/>
      </c>
    </row>
    <row r="30">
      <c r="A30" t="inlineStr">
        <is>
          <t>29</t>
        </is>
      </c>
      <c r="B30" t="inlineStr">
        <is>
          <t>Maryka Sennema</t>
        </is>
      </c>
      <c r="C30" t="inlineStr">
        <is>
          <t>Cotswold Veldrijden</t>
        </is>
      </c>
      <c r="D30" t="inlineStr">
        <is>
          <t>264</t>
        </is>
      </c>
      <c r="E30">
        <f>HYPERLINK("https://www.britishcycling.org.uk/points?person_id=31228&amp;year=2021&amp;type=national&amp;d=6","Results")</f>
        <v/>
      </c>
    </row>
    <row r="31">
      <c r="A31" t="inlineStr">
        <is>
          <t>30</t>
        </is>
      </c>
      <c r="B31" t="inlineStr">
        <is>
          <t>Isla Rowntree</t>
        </is>
      </c>
      <c r="C31" t="inlineStr">
        <is>
          <t>Islabikes</t>
        </is>
      </c>
      <c r="D31" t="inlineStr">
        <is>
          <t>262</t>
        </is>
      </c>
      <c r="E31">
        <f>HYPERLINK("https://www.britishcycling.org.uk/points?person_id=21208&amp;year=2021&amp;type=national&amp;d=6","Results")</f>
        <v/>
      </c>
    </row>
    <row r="32">
      <c r="A32" t="inlineStr">
        <is>
          <t>31</t>
        </is>
      </c>
      <c r="B32" t="inlineStr">
        <is>
          <t>Charlotte-Louise McGreevy</t>
        </is>
      </c>
      <c r="C32" t="inlineStr">
        <is>
          <t>AWOL Worx Galliard</t>
        </is>
      </c>
      <c r="D32" t="inlineStr">
        <is>
          <t>252</t>
        </is>
      </c>
      <c r="E32">
        <f>HYPERLINK("https://www.britishcycling.org.uk/points?person_id=123280&amp;year=2021&amp;type=national&amp;d=6","Results")</f>
        <v/>
      </c>
    </row>
    <row r="33">
      <c r="A33" t="inlineStr">
        <is>
          <t>32</t>
        </is>
      </c>
      <c r="B33" t="inlineStr">
        <is>
          <t>Cassandra Mackintosh</t>
        </is>
      </c>
      <c r="C33" t="inlineStr">
        <is>
          <t>Rapha Cycling Club</t>
        </is>
      </c>
      <c r="D33" t="inlineStr">
        <is>
          <t>250</t>
        </is>
      </c>
      <c r="E33">
        <f>HYPERLINK("https://www.britishcycling.org.uk/points?person_id=477590&amp;year=2021&amp;type=national&amp;d=6","Results")</f>
        <v/>
      </c>
    </row>
    <row r="34">
      <c r="A34" t="inlineStr">
        <is>
          <t>33</t>
        </is>
      </c>
      <c r="B34" t="inlineStr">
        <is>
          <t>Kate Dixon</t>
        </is>
      </c>
      <c r="C34" t="inlineStr">
        <is>
          <t>Oscar Bravo</t>
        </is>
      </c>
      <c r="D34" t="inlineStr">
        <is>
          <t>244</t>
        </is>
      </c>
      <c r="E34">
        <f>HYPERLINK("https://www.britishcycling.org.uk/points?person_id=863211&amp;year=2021&amp;type=national&amp;d=6","Results")</f>
        <v/>
      </c>
    </row>
    <row r="35">
      <c r="A35" t="inlineStr">
        <is>
          <t>34</t>
        </is>
      </c>
      <c r="B35" t="inlineStr">
        <is>
          <t>Amelie Wayte</t>
        </is>
      </c>
      <c r="C35" t="inlineStr">
        <is>
          <t>JRC-INTERFLON Race Team</t>
        </is>
      </c>
      <c r="D35" t="inlineStr">
        <is>
          <t>241</t>
        </is>
      </c>
      <c r="E35">
        <f>HYPERLINK("https://www.britishcycling.org.uk/points?person_id=198760&amp;year=2021&amp;type=national&amp;d=6","Results")</f>
        <v/>
      </c>
    </row>
    <row r="36">
      <c r="A36" t="inlineStr">
        <is>
          <t>35</t>
        </is>
      </c>
      <c r="B36" t="inlineStr">
        <is>
          <t>Hope Inglis</t>
        </is>
      </c>
      <c r="C36" t="inlineStr">
        <is>
          <t>Brother UK-Orientation marketing</t>
        </is>
      </c>
      <c r="D36" t="inlineStr">
        <is>
          <t>240</t>
        </is>
      </c>
      <c r="E36">
        <f>HYPERLINK("https://www.britishcycling.org.uk/points?person_id=265182&amp;year=2021&amp;type=national&amp;d=6","Results")</f>
        <v/>
      </c>
    </row>
    <row r="37">
      <c r="A37" t="inlineStr">
        <is>
          <t>36</t>
        </is>
      </c>
      <c r="B37" t="inlineStr">
        <is>
          <t>Lucy Siddle</t>
        </is>
      </c>
      <c r="C37" t="inlineStr">
        <is>
          <t>Reifen Racing</t>
        </is>
      </c>
      <c r="D37" t="inlineStr">
        <is>
          <t>238</t>
        </is>
      </c>
      <c r="E37">
        <f>HYPERLINK("https://www.britishcycling.org.uk/points?person_id=400718&amp;year=2021&amp;type=national&amp;d=6","Results")</f>
        <v/>
      </c>
    </row>
    <row r="38">
      <c r="A38" t="inlineStr">
        <is>
          <t>37</t>
        </is>
      </c>
      <c r="B38" t="inlineStr">
        <is>
          <t>Hannah McClorey</t>
        </is>
      </c>
      <c r="C38" t="inlineStr">
        <is>
          <t>RFDA</t>
        </is>
      </c>
      <c r="D38" t="inlineStr">
        <is>
          <t>234</t>
        </is>
      </c>
      <c r="E38">
        <f>HYPERLINK("https://www.britishcycling.org.uk/points?person_id=444152&amp;year=2021&amp;type=national&amp;d=6","Results")</f>
        <v/>
      </c>
    </row>
    <row r="39">
      <c r="A39" t="inlineStr">
        <is>
          <t>38</t>
        </is>
      </c>
      <c r="B39" t="inlineStr">
        <is>
          <t>Catriona Ross</t>
        </is>
      </c>
      <c r="C39" t="inlineStr">
        <is>
          <t>Bridport CC</t>
        </is>
      </c>
      <c r="D39" t="inlineStr">
        <is>
          <t>224</t>
        </is>
      </c>
      <c r="E39">
        <f>HYPERLINK("https://www.britishcycling.org.uk/points?person_id=63101&amp;year=2021&amp;type=national&amp;d=6","Results")</f>
        <v/>
      </c>
    </row>
    <row r="40">
      <c r="A40" t="inlineStr">
        <is>
          <t>39</t>
        </is>
      </c>
      <c r="B40" t="inlineStr">
        <is>
          <t>Miriam Whitehurst</t>
        </is>
      </c>
      <c r="C40" t="inlineStr">
        <is>
          <t>Reflex Racing</t>
        </is>
      </c>
      <c r="D40" t="inlineStr">
        <is>
          <t>224</t>
        </is>
      </c>
      <c r="E40">
        <f>HYPERLINK("https://www.britishcycling.org.uk/points?person_id=47153&amp;year=2021&amp;type=national&amp;d=6","Results")</f>
        <v/>
      </c>
    </row>
    <row r="41">
      <c r="A41" t="inlineStr">
        <is>
          <t>40</t>
        </is>
      </c>
      <c r="B41" t="inlineStr">
        <is>
          <t>Elizabeth McKinnon</t>
        </is>
      </c>
      <c r="C41" t="inlineStr">
        <is>
          <t>Derwentside CC</t>
        </is>
      </c>
      <c r="D41" t="inlineStr">
        <is>
          <t>222</t>
        </is>
      </c>
      <c r="E41">
        <f>HYPERLINK("https://www.britishcycling.org.uk/points?person_id=388144&amp;year=2021&amp;type=national&amp;d=6","Results")</f>
        <v/>
      </c>
    </row>
    <row r="42">
      <c r="A42" t="inlineStr">
        <is>
          <t>41</t>
        </is>
      </c>
      <c r="B42" t="inlineStr">
        <is>
          <t>Catherine Kilburn</t>
        </is>
      </c>
      <c r="C42" t="inlineStr">
        <is>
          <t>Mid Devon CC</t>
        </is>
      </c>
      <c r="D42" t="inlineStr">
        <is>
          <t>220</t>
        </is>
      </c>
      <c r="E42">
        <f>HYPERLINK("https://www.britishcycling.org.uk/points?person_id=313214&amp;year=2021&amp;type=national&amp;d=6","Results")</f>
        <v/>
      </c>
    </row>
    <row r="43">
      <c r="A43" t="inlineStr">
        <is>
          <t>42</t>
        </is>
      </c>
      <c r="B43" t="inlineStr">
        <is>
          <t>Carly Ibbitson</t>
        </is>
      </c>
      <c r="C43" t="inlineStr">
        <is>
          <t>Fareham Wheelers Cycling Club</t>
        </is>
      </c>
      <c r="D43" t="inlineStr">
        <is>
          <t>219</t>
        </is>
      </c>
      <c r="E43">
        <f>HYPERLINK("https://www.britishcycling.org.uk/points?person_id=401053&amp;year=2021&amp;type=national&amp;d=6","Results")</f>
        <v/>
      </c>
    </row>
    <row r="44">
      <c r="A44" t="inlineStr">
        <is>
          <t>43</t>
        </is>
      </c>
      <c r="B44" t="inlineStr">
        <is>
          <t>Sian Botteley</t>
        </is>
      </c>
      <c r="C44" t="inlineStr">
        <is>
          <t>Brother UK-Orientation marketing</t>
        </is>
      </c>
      <c r="D44" t="inlineStr">
        <is>
          <t>216</t>
        </is>
      </c>
      <c r="E44">
        <f>HYPERLINK("https://www.britishcycling.org.uk/points?person_id=123730&amp;year=2021&amp;type=national&amp;d=6","Results")</f>
        <v/>
      </c>
    </row>
    <row r="45">
      <c r="A45" t="inlineStr">
        <is>
          <t>44</t>
        </is>
      </c>
      <c r="B45" t="inlineStr">
        <is>
          <t>Helen Ralston</t>
        </is>
      </c>
      <c r="C45" t="inlineStr">
        <is>
          <t>Paceline RT</t>
        </is>
      </c>
      <c r="D45" t="inlineStr">
        <is>
          <t>212</t>
        </is>
      </c>
      <c r="E45">
        <f>HYPERLINK("https://www.britishcycling.org.uk/points?person_id=129153&amp;year=2021&amp;type=national&amp;d=6","Results")</f>
        <v/>
      </c>
    </row>
    <row r="46">
      <c r="A46" t="inlineStr">
        <is>
          <t>45</t>
        </is>
      </c>
      <c r="B46" t="inlineStr">
        <is>
          <t>Tracy Wilkinson-Begg</t>
        </is>
      </c>
      <c r="C46" t="inlineStr">
        <is>
          <t>TWB - ON TIME RACE TEAM</t>
        </is>
      </c>
      <c r="D46" t="inlineStr">
        <is>
          <t>202</t>
        </is>
      </c>
      <c r="E46">
        <f>HYPERLINK("https://www.britishcycling.org.uk/points?person_id=604772&amp;year=2021&amp;type=national&amp;d=6","Results")</f>
        <v/>
      </c>
    </row>
    <row r="47">
      <c r="A47" t="inlineStr">
        <is>
          <t>46</t>
        </is>
      </c>
      <c r="B47" t="inlineStr">
        <is>
          <t>Nicola Davies</t>
        </is>
      </c>
      <c r="C47" t="inlineStr">
        <is>
          <t>www.cyclocrossrider.com</t>
        </is>
      </c>
      <c r="D47" t="inlineStr">
        <is>
          <t>201</t>
        </is>
      </c>
      <c r="E47">
        <f>HYPERLINK("https://www.britishcycling.org.uk/points?person_id=23143&amp;year=2021&amp;type=national&amp;d=6","Results")</f>
        <v/>
      </c>
    </row>
    <row r="48">
      <c r="A48" t="inlineStr">
        <is>
          <t>47</t>
        </is>
      </c>
      <c r="B48" t="inlineStr">
        <is>
          <t>India Lee</t>
        </is>
      </c>
      <c r="C48" t="inlineStr"/>
      <c r="D48" t="inlineStr">
        <is>
          <t>200</t>
        </is>
      </c>
      <c r="E48">
        <f>HYPERLINK("https://www.britishcycling.org.uk/points?person_id=261883&amp;year=2021&amp;type=national&amp;d=6","Results")</f>
        <v/>
      </c>
    </row>
    <row r="49">
      <c r="A49" t="inlineStr">
        <is>
          <t>48</t>
        </is>
      </c>
      <c r="B49" t="inlineStr">
        <is>
          <t>Heather Robinson</t>
        </is>
      </c>
      <c r="C49" t="inlineStr">
        <is>
          <t>Hetton Hawks Cycling Club</t>
        </is>
      </c>
      <c r="D49" t="inlineStr">
        <is>
          <t>200</t>
        </is>
      </c>
      <c r="E49">
        <f>HYPERLINK("https://www.britishcycling.org.uk/points?person_id=402642&amp;year=2021&amp;type=national&amp;d=6","Results")</f>
        <v/>
      </c>
    </row>
    <row r="50">
      <c r="A50" t="inlineStr">
        <is>
          <t>49</t>
        </is>
      </c>
      <c r="B50" t="inlineStr">
        <is>
          <t>Phoebe Skinner</t>
        </is>
      </c>
      <c r="C50" t="inlineStr">
        <is>
          <t>Derwentside CC</t>
        </is>
      </c>
      <c r="D50" t="inlineStr">
        <is>
          <t>199</t>
        </is>
      </c>
      <c r="E50">
        <f>HYPERLINK("https://www.britishcycling.org.uk/points?person_id=736104&amp;year=2021&amp;type=national&amp;d=6","Results")</f>
        <v/>
      </c>
    </row>
    <row r="51">
      <c r="A51" t="inlineStr">
        <is>
          <t>50</t>
        </is>
      </c>
      <c r="B51" t="inlineStr">
        <is>
          <t>Karen Heppenstall</t>
        </is>
      </c>
      <c r="C51" t="inlineStr"/>
      <c r="D51" t="inlineStr">
        <is>
          <t>198</t>
        </is>
      </c>
      <c r="E51">
        <f>HYPERLINK("https://www.britishcycling.org.uk/points?person_id=116361&amp;year=2021&amp;type=national&amp;d=6","Results")</f>
        <v/>
      </c>
    </row>
    <row r="52">
      <c r="A52" t="inlineStr">
        <is>
          <t>51</t>
        </is>
      </c>
      <c r="B52" t="inlineStr">
        <is>
          <t>Gemma Wilks</t>
        </is>
      </c>
      <c r="C52" t="inlineStr">
        <is>
          <t>Sotonia CC</t>
        </is>
      </c>
      <c r="D52" t="inlineStr">
        <is>
          <t>190</t>
        </is>
      </c>
      <c r="E52">
        <f>HYPERLINK("https://www.britishcycling.org.uk/points?person_id=469045&amp;year=2021&amp;type=national&amp;d=6","Results")</f>
        <v/>
      </c>
    </row>
    <row r="53">
      <c r="A53" t="inlineStr">
        <is>
          <t>52</t>
        </is>
      </c>
      <c r="B53" t="inlineStr">
        <is>
          <t>Michelle Paget</t>
        </is>
      </c>
      <c r="C53" t="inlineStr">
        <is>
          <t>Peddlamaniacs Cycle Club</t>
        </is>
      </c>
      <c r="D53" t="inlineStr">
        <is>
          <t>188</t>
        </is>
      </c>
      <c r="E53">
        <f>HYPERLINK("https://www.britishcycling.org.uk/points?person_id=98016&amp;year=2021&amp;type=national&amp;d=6","Results")</f>
        <v/>
      </c>
    </row>
    <row r="54">
      <c r="A54" t="inlineStr">
        <is>
          <t>53</t>
        </is>
      </c>
      <c r="B54" t="inlineStr">
        <is>
          <t>Jennifer Andrews</t>
        </is>
      </c>
      <c r="C54" t="inlineStr">
        <is>
          <t>1904 RT</t>
        </is>
      </c>
      <c r="D54" t="inlineStr">
        <is>
          <t>186</t>
        </is>
      </c>
      <c r="E54">
        <f>HYPERLINK("https://www.britishcycling.org.uk/points?person_id=439182&amp;year=2021&amp;type=national&amp;d=6","Results")</f>
        <v/>
      </c>
    </row>
    <row r="55">
      <c r="A55" t="inlineStr">
        <is>
          <t>54</t>
        </is>
      </c>
      <c r="B55" t="inlineStr">
        <is>
          <t>Holly Bradbrook</t>
        </is>
      </c>
      <c r="C55" t="inlineStr">
        <is>
          <t>Marsh Tracks Racing - Trek</t>
        </is>
      </c>
      <c r="D55" t="inlineStr">
        <is>
          <t>181</t>
        </is>
      </c>
      <c r="E55">
        <f>HYPERLINK("https://www.britishcycling.org.uk/points?person_id=447920&amp;year=2021&amp;type=national&amp;d=6","Results")</f>
        <v/>
      </c>
    </row>
    <row r="56">
      <c r="A56" t="inlineStr">
        <is>
          <t>55</t>
        </is>
      </c>
      <c r="B56" t="inlineStr">
        <is>
          <t>Victoria Peel</t>
        </is>
      </c>
      <c r="C56" t="inlineStr">
        <is>
          <t>Hope Factory Racing</t>
        </is>
      </c>
      <c r="D56" t="inlineStr">
        <is>
          <t>181</t>
        </is>
      </c>
      <c r="E56">
        <f>HYPERLINK("https://www.britishcycling.org.uk/points?person_id=852631&amp;year=2021&amp;type=national&amp;d=6","Results")</f>
        <v/>
      </c>
    </row>
    <row r="57">
      <c r="A57" t="inlineStr">
        <is>
          <t>56</t>
        </is>
      </c>
      <c r="B57" t="inlineStr">
        <is>
          <t>Zoe Codd</t>
        </is>
      </c>
      <c r="C57" t="inlineStr">
        <is>
          <t>Laatste Ronde! Coaching</t>
        </is>
      </c>
      <c r="D57" t="inlineStr">
        <is>
          <t>175</t>
        </is>
      </c>
      <c r="E57">
        <f>HYPERLINK("https://www.britishcycling.org.uk/points?person_id=416032&amp;year=2021&amp;type=national&amp;d=6","Results")</f>
        <v/>
      </c>
    </row>
    <row r="58">
      <c r="A58" t="inlineStr">
        <is>
          <t>57</t>
        </is>
      </c>
      <c r="B58" t="inlineStr">
        <is>
          <t>Cecilia Hime</t>
        </is>
      </c>
      <c r="C58" t="inlineStr">
        <is>
          <t>AWOL- O'Shea</t>
        </is>
      </c>
      <c r="D58" t="inlineStr">
        <is>
          <t>175</t>
        </is>
      </c>
      <c r="E58">
        <f>HYPERLINK("https://www.britishcycling.org.uk/points?person_id=263034&amp;year=2021&amp;type=national&amp;d=6","Results")</f>
        <v/>
      </c>
    </row>
    <row r="59">
      <c r="A59" t="inlineStr">
        <is>
          <t>58</t>
        </is>
      </c>
      <c r="B59" t="inlineStr">
        <is>
          <t>Florence Lissaman</t>
        </is>
      </c>
      <c r="C59" t="inlineStr">
        <is>
          <t>Newark Castle CC</t>
        </is>
      </c>
      <c r="D59" t="inlineStr">
        <is>
          <t>171</t>
        </is>
      </c>
      <c r="E59">
        <f>HYPERLINK("https://www.britishcycling.org.uk/points?person_id=318895&amp;year=2021&amp;type=national&amp;d=6","Results")</f>
        <v/>
      </c>
    </row>
    <row r="60">
      <c r="A60" t="inlineStr">
        <is>
          <t>59</t>
        </is>
      </c>
      <c r="B60" t="inlineStr">
        <is>
          <t>Mollie Bilner</t>
        </is>
      </c>
      <c r="C60" t="inlineStr">
        <is>
          <t>Fast Test Racing Team</t>
        </is>
      </c>
      <c r="D60" t="inlineStr">
        <is>
          <t>169</t>
        </is>
      </c>
      <c r="E60">
        <f>HYPERLINK("https://www.britishcycling.org.uk/points?person_id=749709&amp;year=2021&amp;type=national&amp;d=6","Results")</f>
        <v/>
      </c>
    </row>
    <row r="61">
      <c r="A61" t="inlineStr">
        <is>
          <t>60</t>
        </is>
      </c>
      <c r="B61" t="inlineStr">
        <is>
          <t>Genevieve Billington</t>
        </is>
      </c>
      <c r="C61" t="inlineStr">
        <is>
          <t>Bromsgrove Olympique CC</t>
        </is>
      </c>
      <c r="D61" t="inlineStr">
        <is>
          <t>160</t>
        </is>
      </c>
      <c r="E61">
        <f>HYPERLINK("https://www.britishcycling.org.uk/points?person_id=65655&amp;year=2021&amp;type=national&amp;d=6","Results")</f>
        <v/>
      </c>
    </row>
    <row r="62">
      <c r="A62" t="inlineStr">
        <is>
          <t>61</t>
        </is>
      </c>
      <c r="B62" t="inlineStr">
        <is>
          <t>Karen Summers</t>
        </is>
      </c>
      <c r="C62" t="inlineStr">
        <is>
          <t>Team Jewson-M.I.Racing</t>
        </is>
      </c>
      <c r="D62" t="inlineStr">
        <is>
          <t>160</t>
        </is>
      </c>
      <c r="E62">
        <f>HYPERLINK("https://www.britishcycling.org.uk/points?person_id=36899&amp;year=2021&amp;type=national&amp;d=6","Results")</f>
        <v/>
      </c>
    </row>
    <row r="63">
      <c r="A63" t="inlineStr">
        <is>
          <t>62</t>
        </is>
      </c>
      <c r="B63" t="inlineStr">
        <is>
          <t>Emma Porter</t>
        </is>
      </c>
      <c r="C63" t="inlineStr">
        <is>
          <t>Penge Cycle Club</t>
        </is>
      </c>
      <c r="D63" t="inlineStr">
        <is>
          <t>154</t>
        </is>
      </c>
      <c r="E63">
        <f>HYPERLINK("https://www.britishcycling.org.uk/points?person_id=430826&amp;year=2021&amp;type=national&amp;d=6","Results")</f>
        <v/>
      </c>
    </row>
    <row r="64">
      <c r="A64" t="inlineStr">
        <is>
          <t>63</t>
        </is>
      </c>
      <c r="B64" t="inlineStr">
        <is>
          <t>Joanne Thom</t>
        </is>
      </c>
      <c r="C64" t="inlineStr">
        <is>
          <t>Ronde Works Racing</t>
        </is>
      </c>
      <c r="D64" t="inlineStr">
        <is>
          <t>154</t>
        </is>
      </c>
      <c r="E64">
        <f>HYPERLINK("https://www.britishcycling.org.uk/points?person_id=232775&amp;year=2021&amp;type=national&amp;d=6","Results")</f>
        <v/>
      </c>
    </row>
    <row r="65">
      <c r="A65" t="inlineStr">
        <is>
          <t>64</t>
        </is>
      </c>
      <c r="B65" t="inlineStr">
        <is>
          <t>Laura Prime</t>
        </is>
      </c>
      <c r="C65" t="inlineStr">
        <is>
          <t>West Suffolk Wheelers</t>
        </is>
      </c>
      <c r="D65" t="inlineStr">
        <is>
          <t>153</t>
        </is>
      </c>
      <c r="E65">
        <f>HYPERLINK("https://www.britishcycling.org.uk/points?person_id=756655&amp;year=2021&amp;type=national&amp;d=6","Results")</f>
        <v/>
      </c>
    </row>
    <row r="66">
      <c r="A66" t="inlineStr">
        <is>
          <t>65</t>
        </is>
      </c>
      <c r="B66" t="inlineStr">
        <is>
          <t>Becky Robertson</t>
        </is>
      </c>
      <c r="C66" t="inlineStr">
        <is>
          <t>EpicOrange Race Team</t>
        </is>
      </c>
      <c r="D66" t="inlineStr">
        <is>
          <t>151</t>
        </is>
      </c>
      <c r="E66">
        <f>HYPERLINK("https://www.britishcycling.org.uk/points?person_id=750254&amp;year=2021&amp;type=national&amp;d=6","Results")</f>
        <v/>
      </c>
    </row>
    <row r="67">
      <c r="A67" t="inlineStr">
        <is>
          <t>66</t>
        </is>
      </c>
      <c r="B67" t="inlineStr">
        <is>
          <t>Daphne Jones</t>
        </is>
      </c>
      <c r="C67" t="inlineStr">
        <is>
          <t>Cero - Cycle Division Racing Team</t>
        </is>
      </c>
      <c r="D67" t="inlineStr">
        <is>
          <t>148</t>
        </is>
      </c>
      <c r="E67">
        <f>HYPERLINK("https://www.britishcycling.org.uk/points?person_id=385040&amp;year=2021&amp;type=national&amp;d=6","Results")</f>
        <v/>
      </c>
    </row>
    <row r="68">
      <c r="A68" t="inlineStr">
        <is>
          <t>67</t>
        </is>
      </c>
      <c r="B68" t="inlineStr">
        <is>
          <t>Abigail Miller</t>
        </is>
      </c>
      <c r="C68" t="inlineStr">
        <is>
          <t>WXC World Racing</t>
        </is>
      </c>
      <c r="D68" t="inlineStr">
        <is>
          <t>148</t>
        </is>
      </c>
      <c r="E68">
        <f>HYPERLINK("https://www.britishcycling.org.uk/points?person_id=532038&amp;year=2021&amp;type=national&amp;d=6","Results")</f>
        <v/>
      </c>
    </row>
    <row r="69">
      <c r="A69" t="inlineStr">
        <is>
          <t>68</t>
        </is>
      </c>
      <c r="B69" t="inlineStr">
        <is>
          <t>Katie Scotter</t>
        </is>
      </c>
      <c r="C69" t="inlineStr">
        <is>
          <t>ViCiOUS VELO</t>
        </is>
      </c>
      <c r="D69" t="inlineStr">
        <is>
          <t>148</t>
        </is>
      </c>
      <c r="E69">
        <f>HYPERLINK("https://www.britishcycling.org.uk/points?person_id=26555&amp;year=2021&amp;type=national&amp;d=6","Results")</f>
        <v/>
      </c>
    </row>
    <row r="70">
      <c r="A70" t="inlineStr">
        <is>
          <t>69</t>
        </is>
      </c>
      <c r="B70" t="inlineStr">
        <is>
          <t>Lydia Brookes</t>
        </is>
      </c>
      <c r="C70" t="inlineStr">
        <is>
          <t>Les Filles Racing Team</t>
        </is>
      </c>
      <c r="D70" t="inlineStr">
        <is>
          <t>147</t>
        </is>
      </c>
      <c r="E70">
        <f>HYPERLINK("https://www.britishcycling.org.uk/points?person_id=272508&amp;year=2021&amp;type=national&amp;d=6","Results")</f>
        <v/>
      </c>
    </row>
    <row r="71">
      <c r="A71" t="inlineStr">
        <is>
          <t>70</t>
        </is>
      </c>
      <c r="B71" t="inlineStr">
        <is>
          <t>Emma Jane Hornsby</t>
        </is>
      </c>
      <c r="C71" t="inlineStr">
        <is>
          <t>VC Londres</t>
        </is>
      </c>
      <c r="D71" t="inlineStr">
        <is>
          <t>144</t>
        </is>
      </c>
      <c r="E71">
        <f>HYPERLINK("https://www.britishcycling.org.uk/points?person_id=317494&amp;year=2021&amp;type=national&amp;d=6","Results")</f>
        <v/>
      </c>
    </row>
    <row r="72">
      <c r="A72" t="inlineStr">
        <is>
          <t>71</t>
        </is>
      </c>
      <c r="B72" t="inlineStr">
        <is>
          <t>Kate Eedy</t>
        </is>
      </c>
      <c r="C72" t="inlineStr">
        <is>
          <t>Team Empella Cyclo-Cross.Com</t>
        </is>
      </c>
      <c r="D72" t="inlineStr">
        <is>
          <t>143</t>
        </is>
      </c>
      <c r="E72">
        <f>HYPERLINK("https://www.britishcycling.org.uk/points?person_id=23987&amp;year=2021&amp;type=national&amp;d=6","Results")</f>
        <v/>
      </c>
    </row>
    <row r="73">
      <c r="A73" t="inlineStr">
        <is>
          <t>72</t>
        </is>
      </c>
      <c r="B73" t="inlineStr">
        <is>
          <t>Sarah Toms</t>
        </is>
      </c>
      <c r="C73" t="inlineStr">
        <is>
          <t>Royal Air Force CA</t>
        </is>
      </c>
      <c r="D73" t="inlineStr">
        <is>
          <t>142</t>
        </is>
      </c>
      <c r="E73">
        <f>HYPERLINK("https://www.britishcycling.org.uk/points?person_id=710940&amp;year=2021&amp;type=national&amp;d=6","Results")</f>
        <v/>
      </c>
    </row>
    <row r="74">
      <c r="A74" t="inlineStr">
        <is>
          <t>73</t>
        </is>
      </c>
      <c r="B74" t="inlineStr">
        <is>
          <t>Laura Lawson</t>
        </is>
      </c>
      <c r="C74" t="inlineStr">
        <is>
          <t>Velobants.cc</t>
        </is>
      </c>
      <c r="D74" t="inlineStr">
        <is>
          <t>141</t>
        </is>
      </c>
      <c r="E74">
        <f>HYPERLINK("https://www.britishcycling.org.uk/points?person_id=130359&amp;year=2021&amp;type=national&amp;d=6","Results")</f>
        <v/>
      </c>
    </row>
    <row r="75">
      <c r="A75" t="inlineStr">
        <is>
          <t>74</t>
        </is>
      </c>
      <c r="B75" t="inlineStr">
        <is>
          <t>Deborah Smith</t>
        </is>
      </c>
      <c r="C75" t="inlineStr">
        <is>
          <t>Nova Race Team</t>
        </is>
      </c>
      <c r="D75" t="inlineStr">
        <is>
          <t>139</t>
        </is>
      </c>
      <c r="E75">
        <f>HYPERLINK("https://www.britishcycling.org.uk/points?person_id=643247&amp;year=2021&amp;type=national&amp;d=6","Results")</f>
        <v/>
      </c>
    </row>
    <row r="76">
      <c r="A76" t="inlineStr">
        <is>
          <t>75</t>
        </is>
      </c>
      <c r="B76" t="inlineStr">
        <is>
          <t>Amy Henchoz</t>
        </is>
      </c>
      <c r="C76" t="inlineStr"/>
      <c r="D76" t="inlineStr">
        <is>
          <t>136</t>
        </is>
      </c>
      <c r="E76">
        <f>HYPERLINK("https://www.britishcycling.org.uk/points?person_id=1012336&amp;year=2021&amp;type=national&amp;d=6","Results")</f>
        <v/>
      </c>
    </row>
    <row r="77">
      <c r="A77" t="inlineStr">
        <is>
          <t>76</t>
        </is>
      </c>
      <c r="B77" t="inlineStr">
        <is>
          <t>Emily Ashwood</t>
        </is>
      </c>
      <c r="C77" t="inlineStr">
        <is>
          <t>AWOL Worx Galliard</t>
        </is>
      </c>
      <c r="D77" t="inlineStr">
        <is>
          <t>135</t>
        </is>
      </c>
      <c r="E77">
        <f>HYPERLINK("https://www.britishcycling.org.uk/points?person_id=116772&amp;year=2021&amp;type=national&amp;d=6","Results")</f>
        <v/>
      </c>
    </row>
    <row r="78">
      <c r="A78" t="inlineStr">
        <is>
          <t>77</t>
        </is>
      </c>
      <c r="B78" t="inlineStr">
        <is>
          <t>Melissa Baker</t>
        </is>
      </c>
      <c r="C78" t="inlineStr">
        <is>
          <t>Team Empella Cyclo-Cross.Com</t>
        </is>
      </c>
      <c r="D78" t="inlineStr">
        <is>
          <t>135</t>
        </is>
      </c>
      <c r="E78">
        <f>HYPERLINK("https://www.britishcycling.org.uk/points?person_id=281746&amp;year=2021&amp;type=national&amp;d=6","Results")</f>
        <v/>
      </c>
    </row>
    <row r="79">
      <c r="A79" t="inlineStr">
        <is>
          <t>78</t>
        </is>
      </c>
      <c r="B79" t="inlineStr">
        <is>
          <t>Amy Drysdale</t>
        </is>
      </c>
      <c r="C79" t="inlineStr">
        <is>
          <t>Army Cycling Union</t>
        </is>
      </c>
      <c r="D79" t="inlineStr">
        <is>
          <t>134</t>
        </is>
      </c>
      <c r="E79">
        <f>HYPERLINK("https://www.britishcycling.org.uk/points?person_id=857067&amp;year=2021&amp;type=national&amp;d=6","Results")</f>
        <v/>
      </c>
    </row>
    <row r="80">
      <c r="A80" t="inlineStr">
        <is>
          <t>79</t>
        </is>
      </c>
      <c r="B80" t="inlineStr">
        <is>
          <t>Natalie Jenks</t>
        </is>
      </c>
      <c r="C80" t="inlineStr">
        <is>
          <t>Morvelo Magspeed Racing</t>
        </is>
      </c>
      <c r="D80" t="inlineStr">
        <is>
          <t>133</t>
        </is>
      </c>
      <c r="E80">
        <f>HYPERLINK("https://www.britishcycling.org.uk/points?person_id=870930&amp;year=2021&amp;type=national&amp;d=6","Results")</f>
        <v/>
      </c>
    </row>
    <row r="81">
      <c r="A81" t="inlineStr">
        <is>
          <t>80</t>
        </is>
      </c>
      <c r="B81" t="inlineStr">
        <is>
          <t>Joanne Newstead</t>
        </is>
      </c>
      <c r="C81" t="inlineStr">
        <is>
          <t>XRT - Elmy Cycles</t>
        </is>
      </c>
      <c r="D81" t="inlineStr">
        <is>
          <t>132</t>
        </is>
      </c>
      <c r="E81">
        <f>HYPERLINK("https://www.britishcycling.org.uk/points?person_id=13888&amp;year=2021&amp;type=national&amp;d=6","Results")</f>
        <v/>
      </c>
    </row>
    <row r="82">
      <c r="A82" t="inlineStr">
        <is>
          <t>81</t>
        </is>
      </c>
      <c r="B82" t="inlineStr">
        <is>
          <t>Joanne Clarke</t>
        </is>
      </c>
      <c r="C82" t="inlineStr">
        <is>
          <t>Velo Club Venta</t>
        </is>
      </c>
      <c r="D82" t="inlineStr">
        <is>
          <t>131</t>
        </is>
      </c>
      <c r="E82">
        <f>HYPERLINK("https://www.britishcycling.org.uk/points?person_id=869514&amp;year=2021&amp;type=national&amp;d=6","Results")</f>
        <v/>
      </c>
    </row>
    <row r="83">
      <c r="A83" t="inlineStr">
        <is>
          <t>82</t>
        </is>
      </c>
      <c r="B83" t="inlineStr">
        <is>
          <t>Madeleine Davy</t>
        </is>
      </c>
      <c r="C83" t="inlineStr">
        <is>
          <t>C and N Cycles RT</t>
        </is>
      </c>
      <c r="D83" t="inlineStr">
        <is>
          <t>131</t>
        </is>
      </c>
      <c r="E83">
        <f>HYPERLINK("https://www.britishcycling.org.uk/points?person_id=200168&amp;year=2021&amp;type=national&amp;d=6","Results")</f>
        <v/>
      </c>
    </row>
    <row r="84">
      <c r="A84" t="inlineStr">
        <is>
          <t>83</t>
        </is>
      </c>
      <c r="B84" t="inlineStr">
        <is>
          <t>Freya Whiteside</t>
        </is>
      </c>
      <c r="C84" t="inlineStr">
        <is>
          <t>PH-MAS - Paul Milnes Cycles</t>
        </is>
      </c>
      <c r="D84" t="inlineStr">
        <is>
          <t>130</t>
        </is>
      </c>
      <c r="E84">
        <f>HYPERLINK("https://www.britishcycling.org.uk/points?person_id=395535&amp;year=2021&amp;type=national&amp;d=6","Results")</f>
        <v/>
      </c>
    </row>
    <row r="85">
      <c r="A85" t="inlineStr">
        <is>
          <t>84</t>
        </is>
      </c>
      <c r="B85" t="inlineStr">
        <is>
          <t>Tracey Fletcher</t>
        </is>
      </c>
      <c r="C85" t="inlineStr">
        <is>
          <t>Morvelo Magspeed Racing</t>
        </is>
      </c>
      <c r="D85" t="inlineStr">
        <is>
          <t>129</t>
        </is>
      </c>
      <c r="E85">
        <f>HYPERLINK("https://www.britishcycling.org.uk/points?person_id=27758&amp;year=2021&amp;type=national&amp;d=6","Results")</f>
        <v/>
      </c>
    </row>
    <row r="86">
      <c r="A86" t="inlineStr">
        <is>
          <t>85</t>
        </is>
      </c>
      <c r="B86" t="inlineStr">
        <is>
          <t>Gemma Felstead</t>
        </is>
      </c>
      <c r="C86" t="inlineStr">
        <is>
          <t>Veloccino Squadra Donne</t>
        </is>
      </c>
      <c r="D86" t="inlineStr">
        <is>
          <t>128</t>
        </is>
      </c>
      <c r="E86">
        <f>HYPERLINK("https://www.britishcycling.org.uk/points?person_id=585180&amp;year=2021&amp;type=national&amp;d=6","Results")</f>
        <v/>
      </c>
    </row>
    <row r="87">
      <c r="A87" t="inlineStr">
        <is>
          <t>86</t>
        </is>
      </c>
      <c r="B87" t="inlineStr">
        <is>
          <t>Lily Young</t>
        </is>
      </c>
      <c r="C87" t="inlineStr">
        <is>
          <t>PH-MAS - Paul Milnes Cycles</t>
        </is>
      </c>
      <c r="D87" t="inlineStr">
        <is>
          <t>128</t>
        </is>
      </c>
      <c r="E87">
        <f>HYPERLINK("https://www.britishcycling.org.uk/points?person_id=427497&amp;year=2021&amp;type=national&amp;d=6","Results")</f>
        <v/>
      </c>
    </row>
    <row r="88">
      <c r="A88" t="inlineStr">
        <is>
          <t>87</t>
        </is>
      </c>
      <c r="B88" t="inlineStr">
        <is>
          <t>Harriet Limb</t>
        </is>
      </c>
      <c r="C88" t="inlineStr">
        <is>
          <t>WXC World Racing</t>
        </is>
      </c>
      <c r="D88" t="inlineStr">
        <is>
          <t>127</t>
        </is>
      </c>
      <c r="E88">
        <f>HYPERLINK("https://www.britishcycling.org.uk/points?person_id=234445&amp;year=2021&amp;type=national&amp;d=6","Results")</f>
        <v/>
      </c>
    </row>
    <row r="89">
      <c r="A89" t="inlineStr">
        <is>
          <t>88</t>
        </is>
      </c>
      <c r="B89" t="inlineStr">
        <is>
          <t>Abbie Taylor</t>
        </is>
      </c>
      <c r="C89" t="inlineStr">
        <is>
          <t>Spectra Wiggle p/b Vitus</t>
        </is>
      </c>
      <c r="D89" t="inlineStr">
        <is>
          <t>124</t>
        </is>
      </c>
      <c r="E89">
        <f>HYPERLINK("https://www.britishcycling.org.uk/points?person_id=66959&amp;year=2021&amp;type=national&amp;d=6","Results")</f>
        <v/>
      </c>
    </row>
    <row r="90">
      <c r="A90" t="inlineStr">
        <is>
          <t>89</t>
        </is>
      </c>
      <c r="B90" t="inlineStr">
        <is>
          <t>Bethany Crumpton</t>
        </is>
      </c>
      <c r="C90" t="inlineStr">
        <is>
          <t>Spectra Wiggle p/b Vitus</t>
        </is>
      </c>
      <c r="D90" t="inlineStr">
        <is>
          <t>123</t>
        </is>
      </c>
      <c r="E90">
        <f>HYPERLINK("https://www.britishcycling.org.uk/points?person_id=62402&amp;year=2021&amp;type=national&amp;d=6","Results")</f>
        <v/>
      </c>
    </row>
    <row r="91">
      <c r="A91" t="inlineStr">
        <is>
          <t>90</t>
        </is>
      </c>
      <c r="B91" t="inlineStr">
        <is>
          <t>Eva Marshall</t>
        </is>
      </c>
      <c r="C91" t="inlineStr">
        <is>
          <t>EDCO Wheels CC</t>
        </is>
      </c>
      <c r="D91" t="inlineStr">
        <is>
          <t>123</t>
        </is>
      </c>
      <c r="E91">
        <f>HYPERLINK("https://www.britishcycling.org.uk/points?person_id=937666&amp;year=2021&amp;type=national&amp;d=6","Results")</f>
        <v/>
      </c>
    </row>
    <row r="92">
      <c r="A92" t="inlineStr">
        <is>
          <t>91</t>
        </is>
      </c>
      <c r="B92" t="inlineStr">
        <is>
          <t>Celia Brown</t>
        </is>
      </c>
      <c r="C92" t="inlineStr">
        <is>
          <t>Beacon Roads CC</t>
        </is>
      </c>
      <c r="D92" t="inlineStr">
        <is>
          <t>121</t>
        </is>
      </c>
      <c r="E92">
        <f>HYPERLINK("https://www.britishcycling.org.uk/points?person_id=35533&amp;year=2021&amp;type=national&amp;d=6","Results")</f>
        <v/>
      </c>
    </row>
    <row r="93">
      <c r="A93" t="inlineStr">
        <is>
          <t>92</t>
        </is>
      </c>
      <c r="B93" t="inlineStr">
        <is>
          <t>Sarah Hickman</t>
        </is>
      </c>
      <c r="C93" t="inlineStr">
        <is>
          <t>Nova Race Team</t>
        </is>
      </c>
      <c r="D93" t="inlineStr">
        <is>
          <t>120</t>
        </is>
      </c>
      <c r="E93">
        <f>HYPERLINK("https://www.britishcycling.org.uk/points?person_id=353828&amp;year=2021&amp;type=national&amp;d=6","Results")</f>
        <v/>
      </c>
    </row>
    <row r="94">
      <c r="A94" t="inlineStr">
        <is>
          <t>93</t>
        </is>
      </c>
      <c r="B94" t="inlineStr">
        <is>
          <t>Clare Parkin</t>
        </is>
      </c>
      <c r="C94" t="inlineStr">
        <is>
          <t>Bath Cycling Club</t>
        </is>
      </c>
      <c r="D94" t="inlineStr">
        <is>
          <t>119</t>
        </is>
      </c>
      <c r="E94">
        <f>HYPERLINK("https://www.britishcycling.org.uk/points?person_id=425837&amp;year=2021&amp;type=national&amp;d=6","Results")</f>
        <v/>
      </c>
    </row>
    <row r="95">
      <c r="A95" t="inlineStr">
        <is>
          <t>94</t>
        </is>
      </c>
      <c r="B95" t="inlineStr">
        <is>
          <t>Kate Robinson</t>
        </is>
      </c>
      <c r="C95" t="inlineStr">
        <is>
          <t>Macclesfield Wheelers</t>
        </is>
      </c>
      <c r="D95" t="inlineStr">
        <is>
          <t>119</t>
        </is>
      </c>
      <c r="E95">
        <f>HYPERLINK("https://www.britishcycling.org.uk/points?person_id=339738&amp;year=2021&amp;type=national&amp;d=6","Results")</f>
        <v/>
      </c>
    </row>
    <row r="96">
      <c r="A96" t="inlineStr">
        <is>
          <t>95</t>
        </is>
      </c>
      <c r="B96" t="inlineStr">
        <is>
          <t>Ruth Taylor</t>
        </is>
      </c>
      <c r="C96" t="inlineStr">
        <is>
          <t>Element Cycling Team</t>
        </is>
      </c>
      <c r="D96" t="inlineStr">
        <is>
          <t>119</t>
        </is>
      </c>
      <c r="E96">
        <f>HYPERLINK("https://www.britishcycling.org.uk/points?person_id=139134&amp;year=2021&amp;type=national&amp;d=6","Results")</f>
        <v/>
      </c>
    </row>
    <row r="97">
      <c r="A97" t="inlineStr">
        <is>
          <t>96</t>
        </is>
      </c>
      <c r="B97" t="inlineStr">
        <is>
          <t>Rebecca Laurel</t>
        </is>
      </c>
      <c r="C97" t="inlineStr">
        <is>
          <t>Leicester Forest CC</t>
        </is>
      </c>
      <c r="D97" t="inlineStr">
        <is>
          <t>118</t>
        </is>
      </c>
      <c r="E97">
        <f>HYPERLINK("https://www.britishcycling.org.uk/points?person_id=293325&amp;year=2021&amp;type=national&amp;d=6","Results")</f>
        <v/>
      </c>
    </row>
    <row r="98">
      <c r="A98" t="inlineStr">
        <is>
          <t>97</t>
        </is>
      </c>
      <c r="B98" t="inlineStr">
        <is>
          <t>Anastasia Bowler</t>
        </is>
      </c>
      <c r="C98" t="inlineStr">
        <is>
          <t>AS Test Team</t>
        </is>
      </c>
      <c r="D98" t="inlineStr">
        <is>
          <t>117</t>
        </is>
      </c>
      <c r="E98">
        <f>HYPERLINK("https://www.britishcycling.org.uk/points?person_id=888694&amp;year=2021&amp;type=national&amp;d=6","Results")</f>
        <v/>
      </c>
    </row>
    <row r="99">
      <c r="A99" t="inlineStr">
        <is>
          <t>98</t>
        </is>
      </c>
      <c r="B99" t="inlineStr">
        <is>
          <t>Nicky Hughes</t>
        </is>
      </c>
      <c r="C99" t="inlineStr"/>
      <c r="D99" t="inlineStr">
        <is>
          <t>117</t>
        </is>
      </c>
      <c r="E99">
        <f>HYPERLINK("https://www.britishcycling.org.uk/points?person_id=37490&amp;year=2021&amp;type=national&amp;d=6","Results")</f>
        <v/>
      </c>
    </row>
    <row r="100">
      <c r="A100" t="inlineStr">
        <is>
          <t>99</t>
        </is>
      </c>
      <c r="B100" t="inlineStr">
        <is>
          <t>Lynsey Whitley</t>
        </is>
      </c>
      <c r="C100" t="inlineStr">
        <is>
          <t>Chester RC</t>
        </is>
      </c>
      <c r="D100" t="inlineStr">
        <is>
          <t>116</t>
        </is>
      </c>
      <c r="E100">
        <f>HYPERLINK("https://www.britishcycling.org.uk/points?person_id=411912&amp;year=2021&amp;type=national&amp;d=6","Results")</f>
        <v/>
      </c>
    </row>
    <row r="101">
      <c r="A101" t="inlineStr">
        <is>
          <t>100</t>
        </is>
      </c>
      <c r="B101" t="inlineStr">
        <is>
          <t>Fran Whyte</t>
        </is>
      </c>
      <c r="C101" t="inlineStr">
        <is>
          <t>Velobants.cc</t>
        </is>
      </c>
      <c r="D101" t="inlineStr">
        <is>
          <t>115</t>
        </is>
      </c>
      <c r="E101">
        <f>HYPERLINK("https://www.britishcycling.org.uk/points?person_id=262068&amp;year=2021&amp;type=national&amp;d=6","Results")</f>
        <v/>
      </c>
    </row>
    <row r="102">
      <c r="A102" t="inlineStr">
        <is>
          <t>101</t>
        </is>
      </c>
      <c r="B102" t="inlineStr">
        <is>
          <t>Imogen Chastell</t>
        </is>
      </c>
      <c r="C102" t="inlineStr">
        <is>
          <t>Brother UK-Orientation marketing</t>
        </is>
      </c>
      <c r="D102" t="inlineStr">
        <is>
          <t>114</t>
        </is>
      </c>
      <c r="E102">
        <f>HYPERLINK("https://www.britishcycling.org.uk/points?person_id=238826&amp;year=2021&amp;type=national&amp;d=6","Results")</f>
        <v/>
      </c>
    </row>
    <row r="103">
      <c r="A103" t="inlineStr">
        <is>
          <t>102</t>
        </is>
      </c>
      <c r="B103" t="inlineStr">
        <is>
          <t>Caroline Harvey</t>
        </is>
      </c>
      <c r="C103" t="inlineStr">
        <is>
          <t>Peebles CC</t>
        </is>
      </c>
      <c r="D103" t="inlineStr">
        <is>
          <t>114</t>
        </is>
      </c>
      <c r="E103">
        <f>HYPERLINK("https://www.britishcycling.org.uk/points?person_id=508653&amp;year=2021&amp;type=national&amp;d=6","Results")</f>
        <v/>
      </c>
    </row>
    <row r="104">
      <c r="A104" t="inlineStr">
        <is>
          <t>103</t>
        </is>
      </c>
      <c r="B104" t="inlineStr">
        <is>
          <t>Natasha Reddy</t>
        </is>
      </c>
      <c r="C104" t="inlineStr">
        <is>
          <t>BIANCHI HUNT MORVELO</t>
        </is>
      </c>
      <c r="D104" t="inlineStr">
        <is>
          <t>114</t>
        </is>
      </c>
      <c r="E104">
        <f>HYPERLINK("https://www.britishcycling.org.uk/points?person_id=307112&amp;year=2021&amp;type=national&amp;d=6","Results")</f>
        <v/>
      </c>
    </row>
    <row r="105">
      <c r="A105" t="inlineStr">
        <is>
          <t>104</t>
        </is>
      </c>
      <c r="B105" t="inlineStr">
        <is>
          <t>Julia Behnsen</t>
        </is>
      </c>
      <c r="C105" t="inlineStr">
        <is>
          <t>Port Sunlight Whls CC</t>
        </is>
      </c>
      <c r="D105" t="inlineStr">
        <is>
          <t>106</t>
        </is>
      </c>
      <c r="E105">
        <f>HYPERLINK("https://www.britishcycling.org.uk/points?person_id=527263&amp;year=2021&amp;type=national&amp;d=6","Results")</f>
        <v/>
      </c>
    </row>
    <row r="106">
      <c r="A106" t="inlineStr">
        <is>
          <t>105</t>
        </is>
      </c>
      <c r="B106" t="inlineStr">
        <is>
          <t>Jo Malpass</t>
        </is>
      </c>
      <c r="C106" t="inlineStr">
        <is>
          <t>Sprockets Cycle Club</t>
        </is>
      </c>
      <c r="D106" t="inlineStr">
        <is>
          <t>106</t>
        </is>
      </c>
      <c r="E106">
        <f>HYPERLINK("https://www.britishcycling.org.uk/points?person_id=277779&amp;year=2021&amp;type=national&amp;d=6","Results")</f>
        <v/>
      </c>
    </row>
    <row r="107">
      <c r="A107" t="inlineStr">
        <is>
          <t>106</t>
        </is>
      </c>
      <c r="B107" t="inlineStr">
        <is>
          <t>Bethany Bennett</t>
        </is>
      </c>
      <c r="C107" t="inlineStr">
        <is>
          <t>JRC-INTERFLON Race Team</t>
        </is>
      </c>
      <c r="D107" t="inlineStr">
        <is>
          <t>104</t>
        </is>
      </c>
      <c r="E107">
        <f>HYPERLINK("https://www.britishcycling.org.uk/points?person_id=222185&amp;year=2021&amp;type=national&amp;d=6","Results")</f>
        <v/>
      </c>
    </row>
    <row r="108">
      <c r="A108" t="inlineStr">
        <is>
          <t>107</t>
        </is>
      </c>
      <c r="B108" t="inlineStr">
        <is>
          <t>Samantha Fawcett</t>
        </is>
      </c>
      <c r="C108" t="inlineStr">
        <is>
          <t>Veloccino Squadra Donne</t>
        </is>
      </c>
      <c r="D108" t="inlineStr">
        <is>
          <t>103</t>
        </is>
      </c>
      <c r="E108">
        <f>HYPERLINK("https://www.britishcycling.org.uk/points?person_id=532289&amp;year=2021&amp;type=national&amp;d=6","Results")</f>
        <v/>
      </c>
    </row>
    <row r="109">
      <c r="A109" t="inlineStr">
        <is>
          <t>108</t>
        </is>
      </c>
      <c r="B109" t="inlineStr">
        <is>
          <t>Freya Evans</t>
        </is>
      </c>
      <c r="C109" t="inlineStr">
        <is>
          <t>Cero - Cycle Division Racing Team</t>
        </is>
      </c>
      <c r="D109" t="inlineStr">
        <is>
          <t>102</t>
        </is>
      </c>
      <c r="E109">
        <f>HYPERLINK("https://www.britishcycling.org.uk/points?person_id=197073&amp;year=2021&amp;type=national&amp;d=6","Results")</f>
        <v/>
      </c>
    </row>
    <row r="110">
      <c r="A110" t="inlineStr">
        <is>
          <t>109</t>
        </is>
      </c>
      <c r="B110" t="inlineStr">
        <is>
          <t>Evie Steed</t>
        </is>
      </c>
      <c r="C110" t="inlineStr">
        <is>
          <t>Sherwood Pines Cycles Forme</t>
        </is>
      </c>
      <c r="D110" t="inlineStr">
        <is>
          <t>102</t>
        </is>
      </c>
      <c r="E110">
        <f>HYPERLINK("https://www.britishcycling.org.uk/points?person_id=309238&amp;year=2021&amp;type=national&amp;d=6","Results")</f>
        <v/>
      </c>
    </row>
    <row r="111">
      <c r="A111" t="inlineStr">
        <is>
          <t>110</t>
        </is>
      </c>
      <c r="B111" t="inlineStr">
        <is>
          <t>Elspeth Grace</t>
        </is>
      </c>
      <c r="C111" t="inlineStr">
        <is>
          <t>Welwyn Wheelers CC</t>
        </is>
      </c>
      <c r="D111" t="inlineStr">
        <is>
          <t>100</t>
        </is>
      </c>
      <c r="E111">
        <f>HYPERLINK("https://www.britishcycling.org.uk/points?person_id=269927&amp;year=2021&amp;type=national&amp;d=6","Results")</f>
        <v/>
      </c>
    </row>
    <row r="112">
      <c r="A112" t="inlineStr">
        <is>
          <t>111</t>
        </is>
      </c>
      <c r="B112" t="inlineStr">
        <is>
          <t>Katie Hadnum</t>
        </is>
      </c>
      <c r="C112" t="inlineStr">
        <is>
          <t>PH-MAS - Paul Milnes Cycles</t>
        </is>
      </c>
      <c r="D112" t="inlineStr">
        <is>
          <t>100</t>
        </is>
      </c>
      <c r="E112">
        <f>HYPERLINK("https://www.britishcycling.org.uk/points?person_id=325697&amp;year=2021&amp;type=national&amp;d=6","Results")</f>
        <v/>
      </c>
    </row>
    <row r="113">
      <c r="A113" t="inlineStr">
        <is>
          <t>112</t>
        </is>
      </c>
      <c r="B113" t="inlineStr">
        <is>
          <t>Amy Mourne</t>
        </is>
      </c>
      <c r="C113" t="inlineStr">
        <is>
          <t>Shibden Cycling Club</t>
        </is>
      </c>
      <c r="D113" t="inlineStr">
        <is>
          <t>100</t>
        </is>
      </c>
      <c r="E113">
        <f>HYPERLINK("https://www.britishcycling.org.uk/points?person_id=358925&amp;year=2021&amp;type=national&amp;d=6","Results")</f>
        <v/>
      </c>
    </row>
    <row r="114">
      <c r="A114" t="inlineStr">
        <is>
          <t>113</t>
        </is>
      </c>
      <c r="B114" t="inlineStr">
        <is>
          <t>Molli Keenor</t>
        </is>
      </c>
      <c r="C114" t="inlineStr">
        <is>
          <t>JRC-INTERFLON Race Team</t>
        </is>
      </c>
      <c r="D114" t="inlineStr">
        <is>
          <t>98</t>
        </is>
      </c>
      <c r="E114">
        <f>HYPERLINK("https://www.britishcycling.org.uk/points?person_id=129788&amp;year=2021&amp;type=national&amp;d=6","Results")</f>
        <v/>
      </c>
    </row>
    <row r="115">
      <c r="A115" t="inlineStr">
        <is>
          <t>114</t>
        </is>
      </c>
      <c r="B115" t="inlineStr">
        <is>
          <t>Heidi Gould</t>
        </is>
      </c>
      <c r="C115" t="inlineStr">
        <is>
          <t>Tri UK</t>
        </is>
      </c>
      <c r="D115" t="inlineStr">
        <is>
          <t>97</t>
        </is>
      </c>
      <c r="E115">
        <f>HYPERLINK("https://www.britishcycling.org.uk/points?person_id=181932&amp;year=2021&amp;type=national&amp;d=6","Results")</f>
        <v/>
      </c>
    </row>
    <row r="116">
      <c r="A116" t="inlineStr">
        <is>
          <t>115</t>
        </is>
      </c>
      <c r="B116" t="inlineStr">
        <is>
          <t>Melanie Paddington</t>
        </is>
      </c>
      <c r="C116" t="inlineStr">
        <is>
          <t>Newdales Cycles RT</t>
        </is>
      </c>
      <c r="D116" t="inlineStr">
        <is>
          <t>97</t>
        </is>
      </c>
      <c r="E116">
        <f>HYPERLINK("https://www.britishcycling.org.uk/points?person_id=198717&amp;year=2021&amp;type=national&amp;d=6","Results")</f>
        <v/>
      </c>
    </row>
    <row r="117">
      <c r="A117" t="inlineStr">
        <is>
          <t>116</t>
        </is>
      </c>
      <c r="B117" t="inlineStr">
        <is>
          <t>Lucy Dalgleish</t>
        </is>
      </c>
      <c r="C117" t="inlineStr">
        <is>
          <t>Cog Set Papyrus Racing Club</t>
        </is>
      </c>
      <c r="D117" t="inlineStr">
        <is>
          <t>96</t>
        </is>
      </c>
      <c r="E117">
        <f>HYPERLINK("https://www.britishcycling.org.uk/points?person_id=253518&amp;year=2021&amp;type=national&amp;d=6","Results")</f>
        <v/>
      </c>
    </row>
    <row r="118">
      <c r="A118" t="inlineStr">
        <is>
          <t>117</t>
        </is>
      </c>
      <c r="B118" t="inlineStr">
        <is>
          <t>Alison Kinloch</t>
        </is>
      </c>
      <c r="C118" t="inlineStr">
        <is>
          <t>PH-MAS - Paul Milnes Cycles</t>
        </is>
      </c>
      <c r="D118" t="inlineStr">
        <is>
          <t>94</t>
        </is>
      </c>
      <c r="E118">
        <f>HYPERLINK("https://www.britishcycling.org.uk/points?person_id=180763&amp;year=2021&amp;type=national&amp;d=6","Results")</f>
        <v/>
      </c>
    </row>
    <row r="119">
      <c r="A119" t="inlineStr">
        <is>
          <t>118</t>
        </is>
      </c>
      <c r="B119" t="inlineStr">
        <is>
          <t>Katy Simcock</t>
        </is>
      </c>
      <c r="C119" t="inlineStr">
        <is>
          <t>Trek Bicycle Club</t>
        </is>
      </c>
      <c r="D119" t="inlineStr">
        <is>
          <t>92</t>
        </is>
      </c>
      <c r="E119">
        <f>HYPERLINK("https://www.britishcycling.org.uk/points?person_id=31162&amp;year=2021&amp;type=national&amp;d=6","Results")</f>
        <v/>
      </c>
    </row>
    <row r="120">
      <c r="A120" t="inlineStr">
        <is>
          <t>119</t>
        </is>
      </c>
      <c r="B120" t="inlineStr">
        <is>
          <t>Elizabeth Hughes</t>
        </is>
      </c>
      <c r="C120" t="inlineStr">
        <is>
          <t>Team Watto-LDN</t>
        </is>
      </c>
      <c r="D120" t="inlineStr">
        <is>
          <t>89</t>
        </is>
      </c>
      <c r="E120">
        <f>HYPERLINK("https://www.britishcycling.org.uk/points?person_id=409283&amp;year=2021&amp;type=national&amp;d=6","Results")</f>
        <v/>
      </c>
    </row>
    <row r="121">
      <c r="A121" t="inlineStr">
        <is>
          <t>120</t>
        </is>
      </c>
      <c r="B121" t="inlineStr">
        <is>
          <t>Nicola Powell</t>
        </is>
      </c>
      <c r="C121" t="inlineStr">
        <is>
          <t>Fast Test Racing Team</t>
        </is>
      </c>
      <c r="D121" t="inlineStr">
        <is>
          <t>88</t>
        </is>
      </c>
      <c r="E121">
        <f>HYPERLINK("https://www.britishcycling.org.uk/points?person_id=506772&amp;year=2021&amp;type=national&amp;d=6","Results")</f>
        <v/>
      </c>
    </row>
    <row r="122">
      <c r="A122" t="inlineStr">
        <is>
          <t>121</t>
        </is>
      </c>
      <c r="B122" t="inlineStr">
        <is>
          <t>Helen Dussek</t>
        </is>
      </c>
      <c r="C122" t="inlineStr">
        <is>
          <t>Nottingham Clarion CC</t>
        </is>
      </c>
      <c r="D122" t="inlineStr">
        <is>
          <t>87</t>
        </is>
      </c>
      <c r="E122">
        <f>HYPERLINK("https://www.britishcycling.org.uk/points?person_id=139207&amp;year=2021&amp;type=national&amp;d=6","Results")</f>
        <v/>
      </c>
    </row>
    <row r="123">
      <c r="A123" t="inlineStr">
        <is>
          <t>122</t>
        </is>
      </c>
      <c r="B123" t="inlineStr">
        <is>
          <t>Grace Whitehouse</t>
        </is>
      </c>
      <c r="C123" t="inlineStr">
        <is>
          <t>WarVena Racing Team</t>
        </is>
      </c>
      <c r="D123" t="inlineStr">
        <is>
          <t>87</t>
        </is>
      </c>
      <c r="E123">
        <f>HYPERLINK("https://www.britishcycling.org.uk/points?person_id=178440&amp;year=2021&amp;type=national&amp;d=6","Results")</f>
        <v/>
      </c>
    </row>
    <row r="124">
      <c r="A124" t="inlineStr">
        <is>
          <t>123</t>
        </is>
      </c>
      <c r="B124" t="inlineStr">
        <is>
          <t>Clare Dallimore</t>
        </is>
      </c>
      <c r="C124" t="inlineStr">
        <is>
          <t>Cardiff Ajax CC</t>
        </is>
      </c>
      <c r="D124" t="inlineStr">
        <is>
          <t>86</t>
        </is>
      </c>
      <c r="E124">
        <f>HYPERLINK("https://www.britishcycling.org.uk/points?person_id=315252&amp;year=2021&amp;type=national&amp;d=6","Results")</f>
        <v/>
      </c>
    </row>
    <row r="125">
      <c r="A125" t="inlineStr">
        <is>
          <t>124</t>
        </is>
      </c>
      <c r="B125" t="inlineStr">
        <is>
          <t>Kari Eilertsen</t>
        </is>
      </c>
      <c r="C125" t="inlineStr">
        <is>
          <t>Alltrax Cycling Club</t>
        </is>
      </c>
      <c r="D125" t="inlineStr">
        <is>
          <t>83</t>
        </is>
      </c>
      <c r="E125">
        <f>HYPERLINK("https://www.britishcycling.org.uk/points?person_id=607682&amp;year=2021&amp;type=national&amp;d=6","Results")</f>
        <v/>
      </c>
    </row>
    <row r="126">
      <c r="A126" t="inlineStr">
        <is>
          <t>125</t>
        </is>
      </c>
      <c r="B126" t="inlineStr">
        <is>
          <t>Connie Hayes</t>
        </is>
      </c>
      <c r="C126" t="inlineStr">
        <is>
          <t>AWOL- O'Shea</t>
        </is>
      </c>
      <c r="D126" t="inlineStr">
        <is>
          <t>83</t>
        </is>
      </c>
      <c r="E126">
        <f>HYPERLINK("https://www.britishcycling.org.uk/points?person_id=185026&amp;year=2021&amp;type=national&amp;d=6","Results")</f>
        <v/>
      </c>
    </row>
    <row r="127">
      <c r="A127" t="inlineStr">
        <is>
          <t>126</t>
        </is>
      </c>
      <c r="B127" t="inlineStr">
        <is>
          <t>Roisin Lally</t>
        </is>
      </c>
      <c r="C127" t="inlineStr">
        <is>
          <t>Scott Quanta Racing</t>
        </is>
      </c>
      <c r="D127" t="inlineStr">
        <is>
          <t>83</t>
        </is>
      </c>
      <c r="E127">
        <f>HYPERLINK("https://www.britishcycling.org.uk/points?person_id=174279&amp;year=2021&amp;type=national&amp;d=6","Results")</f>
        <v/>
      </c>
    </row>
    <row r="128">
      <c r="A128" t="inlineStr">
        <is>
          <t>127</t>
        </is>
      </c>
      <c r="B128" t="inlineStr">
        <is>
          <t>Caroline Cunningham</t>
        </is>
      </c>
      <c r="C128" t="inlineStr">
        <is>
          <t>North Tyneside Riders</t>
        </is>
      </c>
      <c r="D128" t="inlineStr">
        <is>
          <t>82</t>
        </is>
      </c>
      <c r="E128">
        <f>HYPERLINK("https://www.britishcycling.org.uk/points?person_id=524130&amp;year=2021&amp;type=national&amp;d=6","Results")</f>
        <v/>
      </c>
    </row>
    <row r="129">
      <c r="A129" t="inlineStr">
        <is>
          <t>128</t>
        </is>
      </c>
      <c r="B129" t="inlineStr">
        <is>
          <t>Tracy Bremner</t>
        </is>
      </c>
      <c r="C129" t="inlineStr">
        <is>
          <t>Pedalon.co.uk</t>
        </is>
      </c>
      <c r="D129" t="inlineStr">
        <is>
          <t>80</t>
        </is>
      </c>
      <c r="E129">
        <f>HYPERLINK("https://www.britishcycling.org.uk/points?person_id=336093&amp;year=2021&amp;type=national&amp;d=6","Results")</f>
        <v/>
      </c>
    </row>
    <row r="130">
      <c r="A130" t="inlineStr">
        <is>
          <t>129</t>
        </is>
      </c>
      <c r="B130" t="inlineStr">
        <is>
          <t>Georgina Wise</t>
        </is>
      </c>
      <c r="C130" t="inlineStr">
        <is>
          <t>Crawley Wheelers Race Team</t>
        </is>
      </c>
      <c r="D130" t="inlineStr">
        <is>
          <t>80</t>
        </is>
      </c>
      <c r="E130">
        <f>HYPERLINK("https://www.britishcycling.org.uk/points?person_id=943659&amp;year=2021&amp;type=national&amp;d=6","Results")</f>
        <v/>
      </c>
    </row>
    <row r="131">
      <c r="A131" t="inlineStr">
        <is>
          <t>130</t>
        </is>
      </c>
      <c r="B131" t="inlineStr">
        <is>
          <t>Clare Hoskins</t>
        </is>
      </c>
      <c r="C131" t="inlineStr">
        <is>
          <t>Cardiff JIF</t>
        </is>
      </c>
      <c r="D131" t="inlineStr">
        <is>
          <t>78</t>
        </is>
      </c>
      <c r="E131">
        <f>HYPERLINK("https://www.britishcycling.org.uk/points?person_id=64594&amp;year=2021&amp;type=national&amp;d=6","Results")</f>
        <v/>
      </c>
    </row>
    <row r="132">
      <c r="A132" t="inlineStr">
        <is>
          <t>131</t>
        </is>
      </c>
      <c r="B132" t="inlineStr">
        <is>
          <t>Oana Dragomir</t>
        </is>
      </c>
      <c r="C132" t="inlineStr">
        <is>
          <t>Sotonia CC</t>
        </is>
      </c>
      <c r="D132" t="inlineStr">
        <is>
          <t>77</t>
        </is>
      </c>
      <c r="E132">
        <f>HYPERLINK("https://www.britishcycling.org.uk/points?person_id=1015512&amp;year=2021&amp;type=national&amp;d=6","Results")</f>
        <v/>
      </c>
    </row>
    <row r="133">
      <c r="A133" t="inlineStr">
        <is>
          <t>132</t>
        </is>
      </c>
      <c r="B133" t="inlineStr">
        <is>
          <t>Kacey Eyeington</t>
        </is>
      </c>
      <c r="C133" t="inlineStr">
        <is>
          <t>Derwentside CC</t>
        </is>
      </c>
      <c r="D133" t="inlineStr">
        <is>
          <t>77</t>
        </is>
      </c>
      <c r="E133">
        <f>HYPERLINK("https://www.britishcycling.org.uk/points?person_id=190070&amp;year=2021&amp;type=national&amp;d=6","Results")</f>
        <v/>
      </c>
    </row>
    <row r="134">
      <c r="A134" t="inlineStr">
        <is>
          <t>133</t>
        </is>
      </c>
      <c r="B134" t="inlineStr">
        <is>
          <t>Kerry Jago</t>
        </is>
      </c>
      <c r="C134" t="inlineStr"/>
      <c r="D134" t="inlineStr">
        <is>
          <t>77</t>
        </is>
      </c>
      <c r="E134">
        <f>HYPERLINK("https://www.britishcycling.org.uk/points?person_id=547488&amp;year=2021&amp;type=national&amp;d=6","Results")</f>
        <v/>
      </c>
    </row>
    <row r="135">
      <c r="A135" t="inlineStr">
        <is>
          <t>134</t>
        </is>
      </c>
      <c r="B135" t="inlineStr">
        <is>
          <t>Lucy Williams</t>
        </is>
      </c>
      <c r="C135" t="inlineStr">
        <is>
          <t>Crawley Wheelers Race Team</t>
        </is>
      </c>
      <c r="D135" t="inlineStr">
        <is>
          <t>77</t>
        </is>
      </c>
      <c r="E135">
        <f>HYPERLINK("https://www.britishcycling.org.uk/points?person_id=676225&amp;year=2021&amp;type=national&amp;d=6","Results")</f>
        <v/>
      </c>
    </row>
    <row r="136">
      <c r="A136" t="inlineStr">
        <is>
          <t>135</t>
        </is>
      </c>
      <c r="B136" t="inlineStr">
        <is>
          <t>Meg Pugh</t>
        </is>
      </c>
      <c r="C136" t="inlineStr">
        <is>
          <t>Dulwich Paragon CC</t>
        </is>
      </c>
      <c r="D136" t="inlineStr">
        <is>
          <t>75</t>
        </is>
      </c>
      <c r="E136">
        <f>HYPERLINK("https://www.britishcycling.org.uk/points?person_id=234166&amp;year=2021&amp;type=national&amp;d=6","Results")</f>
        <v/>
      </c>
    </row>
    <row r="137">
      <c r="A137" t="inlineStr">
        <is>
          <t>136</t>
        </is>
      </c>
      <c r="B137" t="inlineStr">
        <is>
          <t>Victoria Strila</t>
        </is>
      </c>
      <c r="C137" t="inlineStr">
        <is>
          <t>TW1 Racing</t>
        </is>
      </c>
      <c r="D137" t="inlineStr">
        <is>
          <t>75</t>
        </is>
      </c>
      <c r="E137">
        <f>HYPERLINK("https://www.britishcycling.org.uk/points?person_id=202214&amp;year=2021&amp;type=national&amp;d=6","Results")</f>
        <v/>
      </c>
    </row>
    <row r="138">
      <c r="A138" t="inlineStr">
        <is>
          <t>137</t>
        </is>
      </c>
      <c r="B138" t="inlineStr">
        <is>
          <t>Monica Greenwood</t>
        </is>
      </c>
      <c r="C138" t="inlineStr">
        <is>
          <t>Macclesfield Wheelers</t>
        </is>
      </c>
      <c r="D138" t="inlineStr">
        <is>
          <t>74</t>
        </is>
      </c>
      <c r="E138">
        <f>HYPERLINK("https://www.britishcycling.org.uk/points?person_id=67517&amp;year=2021&amp;type=national&amp;d=6","Results")</f>
        <v/>
      </c>
    </row>
    <row r="139">
      <c r="A139" t="inlineStr">
        <is>
          <t>138</t>
        </is>
      </c>
      <c r="B139" t="inlineStr">
        <is>
          <t>Melanie Annable</t>
        </is>
      </c>
      <c r="C139" t="inlineStr">
        <is>
          <t>Allen Valley Velo</t>
        </is>
      </c>
      <c r="D139" t="inlineStr">
        <is>
          <t>73</t>
        </is>
      </c>
      <c r="E139">
        <f>HYPERLINK("https://www.britishcycling.org.uk/points?person_id=527440&amp;year=2021&amp;type=national&amp;d=6","Results")</f>
        <v/>
      </c>
    </row>
    <row r="140">
      <c r="A140" t="inlineStr">
        <is>
          <t>139</t>
        </is>
      </c>
      <c r="B140" t="inlineStr">
        <is>
          <t>Charlotte Evans</t>
        </is>
      </c>
      <c r="C140" t="inlineStr">
        <is>
          <t>Cwmcarn Paragon Cycling Club</t>
        </is>
      </c>
      <c r="D140" t="inlineStr">
        <is>
          <t>73</t>
        </is>
      </c>
      <c r="E140">
        <f>HYPERLINK("https://www.britishcycling.org.uk/points?person_id=566711&amp;year=2021&amp;type=national&amp;d=6","Results")</f>
        <v/>
      </c>
    </row>
    <row r="141">
      <c r="A141" t="inlineStr">
        <is>
          <t>140</t>
        </is>
      </c>
      <c r="B141" t="inlineStr">
        <is>
          <t>Hannah Payton</t>
        </is>
      </c>
      <c r="C141" t="inlineStr">
        <is>
          <t>Spectra Wiggle p/b Vitus</t>
        </is>
      </c>
      <c r="D141" t="inlineStr">
        <is>
          <t>73</t>
        </is>
      </c>
      <c r="E141">
        <f>HYPERLINK("https://www.britishcycling.org.uk/points?person_id=9523&amp;year=2021&amp;type=national&amp;d=6","Results")</f>
        <v/>
      </c>
    </row>
    <row r="142">
      <c r="A142" t="inlineStr">
        <is>
          <t>141</t>
        </is>
      </c>
      <c r="B142" t="inlineStr">
        <is>
          <t>Alison Bagnall</t>
        </is>
      </c>
      <c r="C142" t="inlineStr">
        <is>
          <t>ROTOR Race Team</t>
        </is>
      </c>
      <c r="D142" t="inlineStr">
        <is>
          <t>72</t>
        </is>
      </c>
      <c r="E142">
        <f>HYPERLINK("https://www.britishcycling.org.uk/points?person_id=540393&amp;year=2021&amp;type=national&amp;d=6","Results")</f>
        <v/>
      </c>
    </row>
    <row r="143">
      <c r="A143" t="inlineStr">
        <is>
          <t>142</t>
        </is>
      </c>
      <c r="B143" t="inlineStr">
        <is>
          <t>Carolyn Speirs</t>
        </is>
      </c>
      <c r="C143" t="inlineStr">
        <is>
          <t>Kendal Cycle Club</t>
        </is>
      </c>
      <c r="D143" t="inlineStr">
        <is>
          <t>72</t>
        </is>
      </c>
      <c r="E143">
        <f>HYPERLINK("https://www.britishcycling.org.uk/points?person_id=43271&amp;year=2021&amp;type=national&amp;d=6","Results")</f>
        <v/>
      </c>
    </row>
    <row r="144">
      <c r="A144" t="inlineStr">
        <is>
          <t>143</t>
        </is>
      </c>
      <c r="B144" t="inlineStr">
        <is>
          <t>Hannah Bayes</t>
        </is>
      </c>
      <c r="C144" t="inlineStr">
        <is>
          <t>Saint Piran WRT</t>
        </is>
      </c>
      <c r="D144" t="inlineStr">
        <is>
          <t>71</t>
        </is>
      </c>
      <c r="E144">
        <f>HYPERLINK("https://www.britishcycling.org.uk/points?person_id=497572&amp;year=2021&amp;type=national&amp;d=6","Results")</f>
        <v/>
      </c>
    </row>
    <row r="145">
      <c r="A145" t="inlineStr">
        <is>
          <t>144</t>
        </is>
      </c>
      <c r="B145" t="inlineStr">
        <is>
          <t>Heidi Robus-Toner</t>
        </is>
      </c>
      <c r="C145" t="inlineStr">
        <is>
          <t>VC Deal</t>
        </is>
      </c>
      <c r="D145" t="inlineStr">
        <is>
          <t>71</t>
        </is>
      </c>
      <c r="E145">
        <f>HYPERLINK("https://www.britishcycling.org.uk/points?person_id=1016748&amp;year=2021&amp;type=national&amp;d=6","Results")</f>
        <v/>
      </c>
    </row>
    <row r="146">
      <c r="A146" t="inlineStr">
        <is>
          <t>145</t>
        </is>
      </c>
      <c r="B146" t="inlineStr">
        <is>
          <t>Lucy Gadd</t>
        </is>
      </c>
      <c r="C146" t="inlineStr">
        <is>
          <t>Storey Racing</t>
        </is>
      </c>
      <c r="D146" t="inlineStr">
        <is>
          <t>70</t>
        </is>
      </c>
      <c r="E146">
        <f>HYPERLINK("https://www.britishcycling.org.uk/points?person_id=178473&amp;year=2021&amp;type=national&amp;d=6","Results")</f>
        <v/>
      </c>
    </row>
    <row r="147">
      <c r="A147" t="inlineStr">
        <is>
          <t>146</t>
        </is>
      </c>
      <c r="B147" t="inlineStr">
        <is>
          <t>Elena McGorum</t>
        </is>
      </c>
      <c r="C147" t="inlineStr">
        <is>
          <t>Peebles CC</t>
        </is>
      </c>
      <c r="D147" t="inlineStr">
        <is>
          <t>69</t>
        </is>
      </c>
      <c r="E147">
        <f>HYPERLINK("https://www.britishcycling.org.uk/points?person_id=134753&amp;year=2021&amp;type=national&amp;d=6","Results")</f>
        <v/>
      </c>
    </row>
    <row r="148">
      <c r="A148" t="inlineStr">
        <is>
          <t>147</t>
        </is>
      </c>
      <c r="B148" t="inlineStr">
        <is>
          <t>Jessica Wood</t>
        </is>
      </c>
      <c r="C148" t="inlineStr">
        <is>
          <t>Army Cycling Union</t>
        </is>
      </c>
      <c r="D148" t="inlineStr">
        <is>
          <t>69</t>
        </is>
      </c>
      <c r="E148">
        <f>HYPERLINK("https://www.britishcycling.org.uk/points?person_id=801003&amp;year=2021&amp;type=national&amp;d=6","Results")</f>
        <v/>
      </c>
    </row>
    <row r="149">
      <c r="A149" t="inlineStr">
        <is>
          <t>148</t>
        </is>
      </c>
      <c r="B149" t="inlineStr">
        <is>
          <t>Gail Dillon</t>
        </is>
      </c>
      <c r="C149" t="inlineStr">
        <is>
          <t>Shibden Cycling Club</t>
        </is>
      </c>
      <c r="D149" t="inlineStr">
        <is>
          <t>66</t>
        </is>
      </c>
      <c r="E149">
        <f>HYPERLINK("https://www.britishcycling.org.uk/points?person_id=1025023&amp;year=2021&amp;type=national&amp;d=6","Results")</f>
        <v/>
      </c>
    </row>
    <row r="150">
      <c r="A150" t="inlineStr">
        <is>
          <t>149</t>
        </is>
      </c>
      <c r="B150" t="inlineStr">
        <is>
          <t>Lauren Humphreys</t>
        </is>
      </c>
      <c r="C150" t="inlineStr">
        <is>
          <t>Team Boompods</t>
        </is>
      </c>
      <c r="D150" t="inlineStr">
        <is>
          <t>66</t>
        </is>
      </c>
      <c r="E150">
        <f>HYPERLINK("https://www.britishcycling.org.uk/points?person_id=76028&amp;year=2021&amp;type=national&amp;d=6","Results")</f>
        <v/>
      </c>
    </row>
    <row r="151">
      <c r="A151" t="inlineStr">
        <is>
          <t>150</t>
        </is>
      </c>
      <c r="B151" t="inlineStr">
        <is>
          <t>Efa Williams</t>
        </is>
      </c>
      <c r="C151" t="inlineStr">
        <is>
          <t>Cardiff JIF</t>
        </is>
      </c>
      <c r="D151" t="inlineStr">
        <is>
          <t>65</t>
        </is>
      </c>
      <c r="E151">
        <f>HYPERLINK("https://www.britishcycling.org.uk/points?person_id=669661&amp;year=2021&amp;type=national&amp;d=6","Results")</f>
        <v/>
      </c>
    </row>
    <row r="152">
      <c r="A152" t="inlineStr">
        <is>
          <t>151</t>
        </is>
      </c>
      <c r="B152" t="inlineStr">
        <is>
          <t>Jackie Shute</t>
        </is>
      </c>
      <c r="C152" t="inlineStr">
        <is>
          <t>Mid Devon CC</t>
        </is>
      </c>
      <c r="D152" t="inlineStr">
        <is>
          <t>64</t>
        </is>
      </c>
      <c r="E152">
        <f>HYPERLINK("https://www.britishcycling.org.uk/points?person_id=395528&amp;year=2021&amp;type=national&amp;d=6","Results")</f>
        <v/>
      </c>
    </row>
    <row r="153">
      <c r="A153" t="inlineStr">
        <is>
          <t>152</t>
        </is>
      </c>
      <c r="B153" t="inlineStr">
        <is>
          <t>Amy Bird</t>
        </is>
      </c>
      <c r="C153" t="inlineStr">
        <is>
          <t>Kettering CC</t>
        </is>
      </c>
      <c r="D153" t="inlineStr">
        <is>
          <t>63</t>
        </is>
      </c>
      <c r="E153">
        <f>HYPERLINK("https://www.britishcycling.org.uk/points?person_id=886250&amp;year=2021&amp;type=national&amp;d=6","Results")</f>
        <v/>
      </c>
    </row>
    <row r="154">
      <c r="A154" t="inlineStr">
        <is>
          <t>153</t>
        </is>
      </c>
      <c r="B154" t="inlineStr">
        <is>
          <t>Lizzie Jewitt</t>
        </is>
      </c>
      <c r="C154" t="inlineStr"/>
      <c r="D154" t="inlineStr">
        <is>
          <t>62</t>
        </is>
      </c>
      <c r="E154">
        <f>HYPERLINK("https://www.britishcycling.org.uk/points?person_id=844519&amp;year=2021&amp;type=national&amp;d=6","Results")</f>
        <v/>
      </c>
    </row>
    <row r="155">
      <c r="A155" t="inlineStr">
        <is>
          <t>154</t>
        </is>
      </c>
      <c r="B155" t="inlineStr">
        <is>
          <t>Eleanor Humphries</t>
        </is>
      </c>
      <c r="C155" t="inlineStr">
        <is>
          <t>Welland Valley CC</t>
        </is>
      </c>
      <c r="D155" t="inlineStr">
        <is>
          <t>60</t>
        </is>
      </c>
      <c r="E155">
        <f>HYPERLINK("https://www.britishcycling.org.uk/points?person_id=1026409&amp;year=2021&amp;type=national&amp;d=6","Results")</f>
        <v/>
      </c>
    </row>
    <row r="156">
      <c r="A156" t="inlineStr">
        <is>
          <t>155</t>
        </is>
      </c>
      <c r="B156" t="inlineStr">
        <is>
          <t>Helen Jackson</t>
        </is>
      </c>
      <c r="C156" t="inlineStr">
        <is>
          <t>Kendal Cycle Club</t>
        </is>
      </c>
      <c r="D156" t="inlineStr">
        <is>
          <t>59</t>
        </is>
      </c>
      <c r="E156">
        <f>HYPERLINK("https://www.britishcycling.org.uk/points?person_id=74479&amp;year=2021&amp;type=national&amp;d=6","Results")</f>
        <v/>
      </c>
    </row>
    <row r="157">
      <c r="A157" t="inlineStr">
        <is>
          <t>156</t>
        </is>
      </c>
      <c r="B157" t="inlineStr">
        <is>
          <t>Matilda McKibben</t>
        </is>
      </c>
      <c r="C157" t="inlineStr">
        <is>
          <t>Liv Cycling Club - Halo Films</t>
        </is>
      </c>
      <c r="D157" t="inlineStr">
        <is>
          <t>56</t>
        </is>
      </c>
      <c r="E157">
        <f>HYPERLINK("https://www.britishcycling.org.uk/points?person_id=688319&amp;year=2021&amp;type=national&amp;d=6","Results")</f>
        <v/>
      </c>
    </row>
    <row r="158">
      <c r="A158" t="inlineStr">
        <is>
          <t>157</t>
        </is>
      </c>
      <c r="B158" t="inlineStr">
        <is>
          <t>Hannah Rainger</t>
        </is>
      </c>
      <c r="C158" t="inlineStr">
        <is>
          <t>Propello</t>
        </is>
      </c>
      <c r="D158" t="inlineStr">
        <is>
          <t>56</t>
        </is>
      </c>
      <c r="E158">
        <f>HYPERLINK("https://www.britishcycling.org.uk/points?person_id=540568&amp;year=2021&amp;type=national&amp;d=6","Results")</f>
        <v/>
      </c>
    </row>
    <row r="159">
      <c r="A159" t="inlineStr">
        <is>
          <t>158</t>
        </is>
      </c>
      <c r="B159" t="inlineStr">
        <is>
          <t>Nicola Kent</t>
        </is>
      </c>
      <c r="C159" t="inlineStr">
        <is>
          <t>Whitby Wheelers CC</t>
        </is>
      </c>
      <c r="D159" t="inlineStr">
        <is>
          <t>55</t>
        </is>
      </c>
      <c r="E159">
        <f>HYPERLINK("https://www.britishcycling.org.uk/points?person_id=487749&amp;year=2021&amp;type=national&amp;d=6","Results")</f>
        <v/>
      </c>
    </row>
    <row r="160">
      <c r="A160" t="inlineStr">
        <is>
          <t>159</t>
        </is>
      </c>
      <c r="B160" t="inlineStr">
        <is>
          <t>Hannah Quay</t>
        </is>
      </c>
      <c r="C160" t="inlineStr">
        <is>
          <t>Reading CC</t>
        </is>
      </c>
      <c r="D160" t="inlineStr">
        <is>
          <t>55</t>
        </is>
      </c>
      <c r="E160">
        <f>HYPERLINK("https://www.britishcycling.org.uk/points?person_id=850579&amp;year=2021&amp;type=national&amp;d=6","Results")</f>
        <v/>
      </c>
    </row>
    <row r="161">
      <c r="A161" t="inlineStr">
        <is>
          <t>160</t>
        </is>
      </c>
      <c r="B161" t="inlineStr">
        <is>
          <t>Janet Marsden</t>
        </is>
      </c>
      <c r="C161" t="inlineStr"/>
      <c r="D161" t="inlineStr">
        <is>
          <t>53</t>
        </is>
      </c>
      <c r="E161">
        <f>HYPERLINK("https://www.britishcycling.org.uk/points?person_id=100970&amp;year=2021&amp;type=national&amp;d=6","Results")</f>
        <v/>
      </c>
    </row>
    <row r="162">
      <c r="A162" t="inlineStr">
        <is>
          <t>161</t>
        </is>
      </c>
      <c r="B162" t="inlineStr">
        <is>
          <t>Karly Millar</t>
        </is>
      </c>
      <c r="C162" t="inlineStr">
        <is>
          <t>SR Albannach</t>
        </is>
      </c>
      <c r="D162" t="inlineStr">
        <is>
          <t>52</t>
        </is>
      </c>
      <c r="E162">
        <f>HYPERLINK("https://www.britishcycling.org.uk/points?person_id=333911&amp;year=2021&amp;type=national&amp;d=6","Results")</f>
        <v/>
      </c>
    </row>
    <row r="163">
      <c r="A163" t="inlineStr">
        <is>
          <t>162</t>
        </is>
      </c>
      <c r="B163" t="inlineStr">
        <is>
          <t>Claire Nott</t>
        </is>
      </c>
      <c r="C163" t="inlineStr">
        <is>
          <t>Army Cycling Union</t>
        </is>
      </c>
      <c r="D163" t="inlineStr">
        <is>
          <t>50</t>
        </is>
      </c>
      <c r="E163">
        <f>HYPERLINK("https://www.britishcycling.org.uk/points?person_id=554230&amp;year=2021&amp;type=national&amp;d=6","Results")</f>
        <v/>
      </c>
    </row>
    <row r="164">
      <c r="A164" t="inlineStr">
        <is>
          <t>163</t>
        </is>
      </c>
      <c r="B164" t="inlineStr">
        <is>
          <t>Kate Dance</t>
        </is>
      </c>
      <c r="C164" t="inlineStr">
        <is>
          <t>Datalynx-Parenesis Cycling</t>
        </is>
      </c>
      <c r="D164" t="inlineStr">
        <is>
          <t>49</t>
        </is>
      </c>
      <c r="E164">
        <f>HYPERLINK("https://www.britishcycling.org.uk/points?person_id=611435&amp;year=2021&amp;type=national&amp;d=6","Results")</f>
        <v/>
      </c>
    </row>
    <row r="165">
      <c r="A165" t="inlineStr">
        <is>
          <t>164</t>
        </is>
      </c>
      <c r="B165" t="inlineStr">
        <is>
          <t>Eva Newby</t>
        </is>
      </c>
      <c r="C165" t="inlineStr">
        <is>
          <t>RFDA</t>
        </is>
      </c>
      <c r="D165" t="inlineStr">
        <is>
          <t>49</t>
        </is>
      </c>
      <c r="E165">
        <f>HYPERLINK("https://www.britishcycling.org.uk/points?person_id=203496&amp;year=2021&amp;type=national&amp;d=6","Results")</f>
        <v/>
      </c>
    </row>
    <row r="166">
      <c r="A166" t="inlineStr">
        <is>
          <t>165</t>
        </is>
      </c>
      <c r="B166" t="inlineStr">
        <is>
          <t>Saffron Pineger</t>
        </is>
      </c>
      <c r="C166" t="inlineStr">
        <is>
          <t>Brixton Cycles Club</t>
        </is>
      </c>
      <c r="D166" t="inlineStr">
        <is>
          <t>49</t>
        </is>
      </c>
      <c r="E166">
        <f>HYPERLINK("https://www.britishcycling.org.uk/points?person_id=652064&amp;year=2021&amp;type=national&amp;d=6","Results")</f>
        <v/>
      </c>
    </row>
    <row r="167">
      <c r="A167" t="inlineStr">
        <is>
          <t>166</t>
        </is>
      </c>
      <c r="B167" t="inlineStr">
        <is>
          <t>Suzanne Warren</t>
        </is>
      </c>
      <c r="C167" t="inlineStr">
        <is>
          <t>Cardiff Ajax CC</t>
        </is>
      </c>
      <c r="D167" t="inlineStr">
        <is>
          <t>49</t>
        </is>
      </c>
      <c r="E167">
        <f>HYPERLINK("https://www.britishcycling.org.uk/points?person_id=105889&amp;year=2021&amp;type=national&amp;d=6","Results")</f>
        <v/>
      </c>
    </row>
    <row r="168">
      <c r="A168" t="inlineStr">
        <is>
          <t>167</t>
        </is>
      </c>
      <c r="B168" t="inlineStr">
        <is>
          <t>Sarah Grimshaw</t>
        </is>
      </c>
      <c r="C168" t="inlineStr">
        <is>
          <t>Element Cycling Team</t>
        </is>
      </c>
      <c r="D168" t="inlineStr">
        <is>
          <t>48</t>
        </is>
      </c>
      <c r="E168">
        <f>HYPERLINK("https://www.britishcycling.org.uk/points?person_id=321195&amp;year=2021&amp;type=national&amp;d=6","Results")</f>
        <v/>
      </c>
    </row>
    <row r="169">
      <c r="A169" t="inlineStr">
        <is>
          <t>168</t>
        </is>
      </c>
      <c r="B169" t="inlineStr">
        <is>
          <t>Gemma Hutchins</t>
        </is>
      </c>
      <c r="C169" t="inlineStr">
        <is>
          <t>Blaydon Cycle Club</t>
        </is>
      </c>
      <c r="D169" t="inlineStr">
        <is>
          <t>48</t>
        </is>
      </c>
      <c r="E169">
        <f>HYPERLINK("https://www.britishcycling.org.uk/points?person_id=372751&amp;year=2021&amp;type=national&amp;d=6","Results")</f>
        <v/>
      </c>
    </row>
    <row r="170">
      <c r="A170" t="inlineStr">
        <is>
          <t>169</t>
        </is>
      </c>
      <c r="B170" t="inlineStr">
        <is>
          <t>Donna Short</t>
        </is>
      </c>
      <c r="C170" t="inlineStr">
        <is>
          <t>Cotswold Veldrijden</t>
        </is>
      </c>
      <c r="D170" t="inlineStr">
        <is>
          <t>48</t>
        </is>
      </c>
      <c r="E170">
        <f>HYPERLINK("https://www.britishcycling.org.uk/points?person_id=98988&amp;year=2021&amp;type=national&amp;d=6","Results")</f>
        <v/>
      </c>
    </row>
    <row r="171">
      <c r="A171" t="inlineStr">
        <is>
          <t>170</t>
        </is>
      </c>
      <c r="B171" t="inlineStr">
        <is>
          <t>Chloe Hinchliffe</t>
        </is>
      </c>
      <c r="C171" t="inlineStr">
        <is>
          <t>RFDA</t>
        </is>
      </c>
      <c r="D171" t="inlineStr">
        <is>
          <t>47</t>
        </is>
      </c>
      <c r="E171">
        <f>HYPERLINK("https://www.britishcycling.org.uk/points?person_id=371059&amp;year=2021&amp;type=national&amp;d=6","Results")</f>
        <v/>
      </c>
    </row>
    <row r="172">
      <c r="A172" t="inlineStr">
        <is>
          <t>171</t>
        </is>
      </c>
      <c r="B172" t="inlineStr">
        <is>
          <t>Heidi Blunden</t>
        </is>
      </c>
      <c r="C172" t="inlineStr">
        <is>
          <t>73Degrees CC</t>
        </is>
      </c>
      <c r="D172" t="inlineStr">
        <is>
          <t>46</t>
        </is>
      </c>
      <c r="E172">
        <f>HYPERLINK("https://www.britishcycling.org.uk/points?person_id=261788&amp;year=2021&amp;type=national&amp;d=6","Results")</f>
        <v/>
      </c>
    </row>
    <row r="173">
      <c r="A173" t="inlineStr">
        <is>
          <t>172</t>
        </is>
      </c>
      <c r="B173" t="inlineStr">
        <is>
          <t>Grace Cooper</t>
        </is>
      </c>
      <c r="C173" t="inlineStr">
        <is>
          <t>Barrow Central Wheelers</t>
        </is>
      </c>
      <c r="D173" t="inlineStr">
        <is>
          <t>46</t>
        </is>
      </c>
      <c r="E173">
        <f>HYPERLINK("https://www.britishcycling.org.uk/points?person_id=1028117&amp;year=2021&amp;type=national&amp;d=6","Results")</f>
        <v/>
      </c>
    </row>
    <row r="174">
      <c r="A174" t="inlineStr">
        <is>
          <t>173</t>
        </is>
      </c>
      <c r="B174" t="inlineStr">
        <is>
          <t>Catherine Hughes</t>
        </is>
      </c>
      <c r="C174" t="inlineStr">
        <is>
          <t>Ilkeston Cycle Club</t>
        </is>
      </c>
      <c r="D174" t="inlineStr">
        <is>
          <t>46</t>
        </is>
      </c>
      <c r="E174">
        <f>HYPERLINK("https://www.britishcycling.org.uk/points?person_id=478788&amp;year=2021&amp;type=national&amp;d=6","Results")</f>
        <v/>
      </c>
    </row>
    <row r="175">
      <c r="A175" t="inlineStr">
        <is>
          <t>174</t>
        </is>
      </c>
      <c r="B175" t="inlineStr">
        <is>
          <t>Nikola Matthews</t>
        </is>
      </c>
      <c r="C175" t="inlineStr">
        <is>
          <t>Shibden Cycling Club</t>
        </is>
      </c>
      <c r="D175" t="inlineStr">
        <is>
          <t>46</t>
        </is>
      </c>
      <c r="E175">
        <f>HYPERLINK("https://www.britishcycling.org.uk/points?person_id=104952&amp;year=2021&amp;type=national&amp;d=6","Results")</f>
        <v/>
      </c>
    </row>
    <row r="176">
      <c r="A176" t="inlineStr">
        <is>
          <t>175</t>
        </is>
      </c>
      <c r="B176" t="inlineStr">
        <is>
          <t>Emily Smith</t>
        </is>
      </c>
      <c r="C176" t="inlineStr"/>
      <c r="D176" t="inlineStr">
        <is>
          <t>46</t>
        </is>
      </c>
      <c r="E176">
        <f>HYPERLINK("https://www.britishcycling.org.uk/points?person_id=380645&amp;year=2021&amp;type=national&amp;d=6","Results")</f>
        <v/>
      </c>
    </row>
    <row r="177">
      <c r="A177" t="inlineStr">
        <is>
          <t>176</t>
        </is>
      </c>
      <c r="B177" t="inlineStr">
        <is>
          <t>Ellie Dilks</t>
        </is>
      </c>
      <c r="C177" t="inlineStr">
        <is>
          <t>Team Empella Cyclo-Cross.Com</t>
        </is>
      </c>
      <c r="D177" t="inlineStr">
        <is>
          <t>45</t>
        </is>
      </c>
      <c r="E177">
        <f>HYPERLINK("https://www.britishcycling.org.uk/points?person_id=464081&amp;year=2021&amp;type=national&amp;d=6","Results")</f>
        <v/>
      </c>
    </row>
    <row r="178">
      <c r="A178" t="inlineStr">
        <is>
          <t>177</t>
        </is>
      </c>
      <c r="B178" t="inlineStr">
        <is>
          <t>Sophie Ramsden</t>
        </is>
      </c>
      <c r="C178" t="inlineStr">
        <is>
          <t>Leicester University Cycling Team</t>
        </is>
      </c>
      <c r="D178" t="inlineStr">
        <is>
          <t>45</t>
        </is>
      </c>
      <c r="E178">
        <f>HYPERLINK("https://www.britishcycling.org.uk/points?person_id=331647&amp;year=2021&amp;type=national&amp;d=6","Results")</f>
        <v/>
      </c>
    </row>
    <row r="179">
      <c r="A179" t="inlineStr">
        <is>
          <t>178</t>
        </is>
      </c>
      <c r="B179" t="inlineStr">
        <is>
          <t>Kate Taylor</t>
        </is>
      </c>
      <c r="C179" t="inlineStr">
        <is>
          <t>Liverpool University Cycling Club</t>
        </is>
      </c>
      <c r="D179" t="inlineStr">
        <is>
          <t>45</t>
        </is>
      </c>
      <c r="E179">
        <f>HYPERLINK("https://www.britishcycling.org.uk/points?person_id=177765&amp;year=2021&amp;type=national&amp;d=6","Results")</f>
        <v/>
      </c>
    </row>
    <row r="180">
      <c r="A180" t="inlineStr">
        <is>
          <t>179</t>
        </is>
      </c>
      <c r="B180" t="inlineStr">
        <is>
          <t>Millie Breese</t>
        </is>
      </c>
      <c r="C180" t="inlineStr">
        <is>
          <t>Racing Metro 15</t>
        </is>
      </c>
      <c r="D180" t="inlineStr">
        <is>
          <t>44</t>
        </is>
      </c>
      <c r="E180">
        <f>HYPERLINK("https://www.britishcycling.org.uk/points?person_id=990171&amp;year=2021&amp;type=national&amp;d=6","Results")</f>
        <v/>
      </c>
    </row>
    <row r="181">
      <c r="A181" t="inlineStr">
        <is>
          <t>180</t>
        </is>
      </c>
      <c r="B181" t="inlineStr">
        <is>
          <t>Claire Jones</t>
        </is>
      </c>
      <c r="C181" t="inlineStr">
        <is>
          <t>Clifton CC</t>
        </is>
      </c>
      <c r="D181" t="inlineStr">
        <is>
          <t>44</t>
        </is>
      </c>
      <c r="E181">
        <f>HYPERLINK("https://www.britishcycling.org.uk/points?person_id=1028416&amp;year=2021&amp;type=national&amp;d=6","Results")</f>
        <v/>
      </c>
    </row>
    <row r="182">
      <c r="A182" t="inlineStr">
        <is>
          <t>181</t>
        </is>
      </c>
      <c r="B182" t="inlineStr">
        <is>
          <t>Lucy Hart</t>
        </is>
      </c>
      <c r="C182" t="inlineStr">
        <is>
          <t>Cero - Cycle Division Racing Team</t>
        </is>
      </c>
      <c r="D182" t="inlineStr">
        <is>
          <t>43</t>
        </is>
      </c>
      <c r="E182">
        <f>HYPERLINK("https://www.britishcycling.org.uk/points?person_id=387650&amp;year=2021&amp;type=national&amp;d=6","Results")</f>
        <v/>
      </c>
    </row>
    <row r="183">
      <c r="A183" t="inlineStr">
        <is>
          <t>182</t>
        </is>
      </c>
      <c r="B183" t="inlineStr">
        <is>
          <t>Tallulah Butcher</t>
        </is>
      </c>
      <c r="C183" t="inlineStr">
        <is>
          <t>Lee Valley Youth Cycling Club</t>
        </is>
      </c>
      <c r="D183" t="inlineStr">
        <is>
          <t>42</t>
        </is>
      </c>
      <c r="E183">
        <f>HYPERLINK("https://www.britishcycling.org.uk/points?person_id=688843&amp;year=2021&amp;type=national&amp;d=6","Results")</f>
        <v/>
      </c>
    </row>
    <row r="184">
      <c r="A184" t="inlineStr">
        <is>
          <t>183</t>
        </is>
      </c>
      <c r="B184" t="inlineStr">
        <is>
          <t>Ashia Reeder</t>
        </is>
      </c>
      <c r="C184" t="inlineStr">
        <is>
          <t>Orwell Velo</t>
        </is>
      </c>
      <c r="D184" t="inlineStr">
        <is>
          <t>42</t>
        </is>
      </c>
      <c r="E184">
        <f>HYPERLINK("https://www.britishcycling.org.uk/points?person_id=232697&amp;year=2021&amp;type=national&amp;d=6","Results")</f>
        <v/>
      </c>
    </row>
    <row r="185">
      <c r="A185" t="inlineStr">
        <is>
          <t>184</t>
        </is>
      </c>
      <c r="B185" t="inlineStr">
        <is>
          <t>Claire Hughes</t>
        </is>
      </c>
      <c r="C185" t="inlineStr">
        <is>
          <t>Peddlamaniacs Cycle Club</t>
        </is>
      </c>
      <c r="D185" t="inlineStr">
        <is>
          <t>41</t>
        </is>
      </c>
      <c r="E185">
        <f>HYPERLINK("https://www.britishcycling.org.uk/points?person_id=316827&amp;year=2021&amp;type=national&amp;d=6","Results")</f>
        <v/>
      </c>
    </row>
    <row r="186">
      <c r="A186" t="inlineStr">
        <is>
          <t>185</t>
        </is>
      </c>
      <c r="B186" t="inlineStr">
        <is>
          <t>Amy Roberts</t>
        </is>
      </c>
      <c r="C186" t="inlineStr">
        <is>
          <t>Spectra Wiggle p/b Vitus</t>
        </is>
      </c>
      <c r="D186" t="inlineStr">
        <is>
          <t>40</t>
        </is>
      </c>
      <c r="E186">
        <f>HYPERLINK("https://www.britishcycling.org.uk/points?person_id=17384&amp;year=2021&amp;type=national&amp;d=6","Results")</f>
        <v/>
      </c>
    </row>
    <row r="187">
      <c r="A187" t="inlineStr">
        <is>
          <t>186</t>
        </is>
      </c>
      <c r="B187" t="inlineStr">
        <is>
          <t>Lisa Mansell</t>
        </is>
      </c>
      <c r="C187" t="inlineStr">
        <is>
          <t>Big Maggys</t>
        </is>
      </c>
      <c r="D187" t="inlineStr">
        <is>
          <t>39</t>
        </is>
      </c>
      <c r="E187">
        <f>HYPERLINK("https://www.britishcycling.org.uk/points?person_id=409443&amp;year=2021&amp;type=national&amp;d=6","Results")</f>
        <v/>
      </c>
    </row>
    <row r="188">
      <c r="A188" t="inlineStr">
        <is>
          <t>187</t>
        </is>
      </c>
      <c r="B188" t="inlineStr">
        <is>
          <t>Jacqui Simcock</t>
        </is>
      </c>
      <c r="C188" t="inlineStr">
        <is>
          <t>Team JMC</t>
        </is>
      </c>
      <c r="D188" t="inlineStr">
        <is>
          <t>39</t>
        </is>
      </c>
      <c r="E188">
        <f>HYPERLINK("https://www.britishcycling.org.uk/points?person_id=357380&amp;year=2021&amp;type=national&amp;d=6","Results")</f>
        <v/>
      </c>
    </row>
    <row r="189">
      <c r="A189" t="inlineStr">
        <is>
          <t>188</t>
        </is>
      </c>
      <c r="B189" t="inlineStr">
        <is>
          <t>Toni Senior</t>
        </is>
      </c>
      <c r="C189" t="inlineStr">
        <is>
          <t>Rugby Velo</t>
        </is>
      </c>
      <c r="D189" t="inlineStr">
        <is>
          <t>37</t>
        </is>
      </c>
      <c r="E189">
        <f>HYPERLINK("https://www.britishcycling.org.uk/points?person_id=656970&amp;year=2021&amp;type=national&amp;d=6","Results")</f>
        <v/>
      </c>
    </row>
    <row r="190">
      <c r="A190" t="inlineStr">
        <is>
          <t>189</t>
        </is>
      </c>
      <c r="B190" t="inlineStr">
        <is>
          <t>Rebecca Jones</t>
        </is>
      </c>
      <c r="C190" t="inlineStr">
        <is>
          <t>Klatsch.</t>
        </is>
      </c>
      <c r="D190" t="inlineStr">
        <is>
          <t>36</t>
        </is>
      </c>
      <c r="E190">
        <f>HYPERLINK("https://www.britishcycling.org.uk/points?person_id=79398&amp;year=2021&amp;type=national&amp;d=6","Results")</f>
        <v/>
      </c>
    </row>
    <row r="191">
      <c r="A191" t="inlineStr">
        <is>
          <t>190</t>
        </is>
      </c>
      <c r="B191" t="inlineStr">
        <is>
          <t>Holly Jones</t>
        </is>
      </c>
      <c r="C191" t="inlineStr">
        <is>
          <t>VC Londres</t>
        </is>
      </c>
      <c r="D191" t="inlineStr">
        <is>
          <t>36</t>
        </is>
      </c>
      <c r="E191">
        <f>HYPERLINK("https://www.britishcycling.org.uk/points?person_id=498608&amp;year=2021&amp;type=national&amp;d=6","Results")</f>
        <v/>
      </c>
    </row>
    <row r="192">
      <c r="A192" t="inlineStr">
        <is>
          <t>191</t>
        </is>
      </c>
      <c r="B192" t="inlineStr">
        <is>
          <t>Lisa Addis</t>
        </is>
      </c>
      <c r="C192" t="inlineStr">
        <is>
          <t>Morvelo Magspeed Racing</t>
        </is>
      </c>
      <c r="D192" t="inlineStr">
        <is>
          <t>35</t>
        </is>
      </c>
      <c r="E192">
        <f>HYPERLINK("https://www.britishcycling.org.uk/points?person_id=992722&amp;year=2021&amp;type=national&amp;d=6","Results")</f>
        <v/>
      </c>
    </row>
    <row r="193">
      <c r="A193" t="inlineStr">
        <is>
          <t>192</t>
        </is>
      </c>
      <c r="B193" t="inlineStr">
        <is>
          <t>Emma Bexson</t>
        </is>
      </c>
      <c r="C193" t="inlineStr">
        <is>
          <t>Stratford CC</t>
        </is>
      </c>
      <c r="D193" t="inlineStr">
        <is>
          <t>35</t>
        </is>
      </c>
      <c r="E193">
        <f>HYPERLINK("https://www.britishcycling.org.uk/points?person_id=189726&amp;year=2021&amp;type=national&amp;d=6","Results")</f>
        <v/>
      </c>
    </row>
    <row r="194">
      <c r="A194" t="inlineStr">
        <is>
          <t>193</t>
        </is>
      </c>
      <c r="B194" t="inlineStr">
        <is>
          <t>Kate Mactear</t>
        </is>
      </c>
      <c r="C194" t="inlineStr">
        <is>
          <t>Bristol South CC</t>
        </is>
      </c>
      <c r="D194" t="inlineStr">
        <is>
          <t>35</t>
        </is>
      </c>
      <c r="E194">
        <f>HYPERLINK("https://www.britishcycling.org.uk/points?person_id=316928&amp;year=2021&amp;type=national&amp;d=6","Results")</f>
        <v/>
      </c>
    </row>
    <row r="195">
      <c r="A195" t="inlineStr">
        <is>
          <t>194</t>
        </is>
      </c>
      <c r="B195" t="inlineStr">
        <is>
          <t>Sally Reid</t>
        </is>
      </c>
      <c r="C195" t="inlineStr">
        <is>
          <t>Morvelo Magspeed Racing</t>
        </is>
      </c>
      <c r="D195" t="inlineStr">
        <is>
          <t>35</t>
        </is>
      </c>
      <c r="E195">
        <f>HYPERLINK("https://www.britishcycling.org.uk/points?person_id=333365&amp;year=2021&amp;type=national&amp;d=6","Results")</f>
        <v/>
      </c>
    </row>
    <row r="196">
      <c r="A196" t="inlineStr">
        <is>
          <t>195</t>
        </is>
      </c>
      <c r="B196" t="inlineStr">
        <is>
          <t>Lindsay Newman</t>
        </is>
      </c>
      <c r="C196" t="inlineStr">
        <is>
          <t>Pedal Power Loughborough</t>
        </is>
      </c>
      <c r="D196" t="inlineStr">
        <is>
          <t>34</t>
        </is>
      </c>
      <c r="E196">
        <f>HYPERLINK("https://www.britishcycling.org.uk/points?person_id=334954&amp;year=2021&amp;type=national&amp;d=6","Results")</f>
        <v/>
      </c>
    </row>
    <row r="197">
      <c r="A197" t="inlineStr">
        <is>
          <t>196</t>
        </is>
      </c>
      <c r="B197" t="inlineStr">
        <is>
          <t>Phoebe Roche</t>
        </is>
      </c>
      <c r="C197" t="inlineStr">
        <is>
          <t>WXC World Racing</t>
        </is>
      </c>
      <c r="D197" t="inlineStr">
        <is>
          <t>34</t>
        </is>
      </c>
      <c r="E197">
        <f>HYPERLINK("https://www.britishcycling.org.uk/points?person_id=574071&amp;year=2021&amp;type=national&amp;d=6","Results")</f>
        <v/>
      </c>
    </row>
    <row r="198">
      <c r="A198" t="inlineStr">
        <is>
          <t>197</t>
        </is>
      </c>
      <c r="B198" t="inlineStr">
        <is>
          <t>Steph Rorke</t>
        </is>
      </c>
      <c r="C198" t="inlineStr">
        <is>
          <t>Cotswold Veldrijden</t>
        </is>
      </c>
      <c r="D198" t="inlineStr">
        <is>
          <t>34</t>
        </is>
      </c>
      <c r="E198">
        <f>HYPERLINK("https://www.britishcycling.org.uk/points?person_id=847627&amp;year=2021&amp;type=national&amp;d=6","Results")</f>
        <v/>
      </c>
    </row>
    <row r="199">
      <c r="A199" t="inlineStr">
        <is>
          <t>198</t>
        </is>
      </c>
      <c r="B199" t="inlineStr">
        <is>
          <t>Joanne Howes</t>
        </is>
      </c>
      <c r="C199" t="inlineStr">
        <is>
          <t>Sleaford Wheelers Cycling Club</t>
        </is>
      </c>
      <c r="D199" t="inlineStr">
        <is>
          <t>33</t>
        </is>
      </c>
      <c r="E199">
        <f>HYPERLINK("https://www.britishcycling.org.uk/points?person_id=751391&amp;year=2021&amp;type=national&amp;d=6","Results")</f>
        <v/>
      </c>
    </row>
    <row r="200">
      <c r="A200" t="inlineStr">
        <is>
          <t>199</t>
        </is>
      </c>
      <c r="B200" t="inlineStr">
        <is>
          <t>Grace Nolan</t>
        </is>
      </c>
      <c r="C200" t="inlineStr"/>
      <c r="D200" t="inlineStr">
        <is>
          <t>33</t>
        </is>
      </c>
      <c r="E200">
        <f>HYPERLINK("https://www.britishcycling.org.uk/points?person_id=673023&amp;year=2021&amp;type=national&amp;d=6","Results")</f>
        <v/>
      </c>
    </row>
    <row r="201">
      <c r="A201" t="inlineStr">
        <is>
          <t>200</t>
        </is>
      </c>
      <c r="B201" t="inlineStr">
        <is>
          <t>Katie Pratt</t>
        </is>
      </c>
      <c r="C201" t="inlineStr">
        <is>
          <t>Royal Navy &amp; Royal Marines CA</t>
        </is>
      </c>
      <c r="D201" t="inlineStr">
        <is>
          <t>33</t>
        </is>
      </c>
      <c r="E201">
        <f>HYPERLINK("https://www.britishcycling.org.uk/points?person_id=881268&amp;year=2021&amp;type=national&amp;d=6","Results")</f>
        <v/>
      </c>
    </row>
    <row r="202">
      <c r="A202" t="inlineStr">
        <is>
          <t>201</t>
        </is>
      </c>
      <c r="B202" t="inlineStr">
        <is>
          <t>Tracy Henderson</t>
        </is>
      </c>
      <c r="C202" t="inlineStr">
        <is>
          <t>North Tyneside Riders</t>
        </is>
      </c>
      <c r="D202" t="inlineStr">
        <is>
          <t>32</t>
        </is>
      </c>
      <c r="E202">
        <f>HYPERLINK("https://www.britishcycling.org.uk/points?person_id=646606&amp;year=2021&amp;type=national&amp;d=6","Results")</f>
        <v/>
      </c>
    </row>
    <row r="203">
      <c r="A203" t="inlineStr">
        <is>
          <t>202</t>
        </is>
      </c>
      <c r="B203" t="inlineStr">
        <is>
          <t>Ellen Inglis</t>
        </is>
      </c>
      <c r="C203" t="inlineStr">
        <is>
          <t>Brother UK-Orientation marketing</t>
        </is>
      </c>
      <c r="D203" t="inlineStr">
        <is>
          <t>32</t>
        </is>
      </c>
      <c r="E203">
        <f>HYPERLINK("https://www.britishcycling.org.uk/points?person_id=265301&amp;year=2021&amp;type=national&amp;d=6","Results")</f>
        <v/>
      </c>
    </row>
    <row r="204">
      <c r="A204" t="inlineStr">
        <is>
          <t>203</t>
        </is>
      </c>
      <c r="B204" t="inlineStr">
        <is>
          <t>Isla Short</t>
        </is>
      </c>
      <c r="C204" t="inlineStr"/>
      <c r="D204" t="inlineStr">
        <is>
          <t>32</t>
        </is>
      </c>
      <c r="E204">
        <f>HYPERLINK("https://www.britishcycling.org.uk/points?person_id=125692&amp;year=2021&amp;type=national&amp;d=6","Results")</f>
        <v/>
      </c>
    </row>
    <row r="205">
      <c r="A205" t="inlineStr">
        <is>
          <t>204</t>
        </is>
      </c>
      <c r="B205" t="inlineStr">
        <is>
          <t>Dalila Lecky</t>
        </is>
      </c>
      <c r="C205" t="inlineStr">
        <is>
          <t>Dulwich Paragon CC</t>
        </is>
      </c>
      <c r="D205" t="inlineStr">
        <is>
          <t>31</t>
        </is>
      </c>
      <c r="E205">
        <f>HYPERLINK("https://www.britishcycling.org.uk/points?person_id=268107&amp;year=2021&amp;type=national&amp;d=6","Results")</f>
        <v/>
      </c>
    </row>
    <row r="206">
      <c r="A206" t="inlineStr">
        <is>
          <t>205</t>
        </is>
      </c>
      <c r="B206" t="inlineStr">
        <is>
          <t>Claire Maynard</t>
        </is>
      </c>
      <c r="C206" t="inlineStr">
        <is>
          <t>Dulwich Paragon CC</t>
        </is>
      </c>
      <c r="D206" t="inlineStr">
        <is>
          <t>31</t>
        </is>
      </c>
      <c r="E206">
        <f>HYPERLINK("https://www.britishcycling.org.uk/points?person_id=691365&amp;year=2021&amp;type=national&amp;d=6","Results")</f>
        <v/>
      </c>
    </row>
    <row r="207">
      <c r="A207" t="inlineStr">
        <is>
          <t>206</t>
        </is>
      </c>
      <c r="B207" t="inlineStr">
        <is>
          <t>Louise Wainwright</t>
        </is>
      </c>
      <c r="C207" t="inlineStr">
        <is>
          <t>Bolsover &amp; District Cycling Club</t>
        </is>
      </c>
      <c r="D207" t="inlineStr">
        <is>
          <t>31</t>
        </is>
      </c>
      <c r="E207">
        <f>HYPERLINK("https://www.britishcycling.org.uk/points?person_id=15656&amp;year=2021&amp;type=national&amp;d=6","Results")</f>
        <v/>
      </c>
    </row>
    <row r="208">
      <c r="A208" t="inlineStr">
        <is>
          <t>207</t>
        </is>
      </c>
      <c r="B208" t="inlineStr">
        <is>
          <t>Ellen Webber</t>
        </is>
      </c>
      <c r="C208" t="inlineStr">
        <is>
          <t>Taw Velo</t>
        </is>
      </c>
      <c r="D208" t="inlineStr">
        <is>
          <t>31</t>
        </is>
      </c>
      <c r="E208">
        <f>HYPERLINK("https://www.britishcycling.org.uk/points?person_id=538529&amp;year=2021&amp;type=national&amp;d=6","Results")</f>
        <v/>
      </c>
    </row>
    <row r="209">
      <c r="A209" t="inlineStr">
        <is>
          <t>208</t>
        </is>
      </c>
      <c r="B209" t="inlineStr">
        <is>
          <t>Donna Goodwin</t>
        </is>
      </c>
      <c r="C209" t="inlineStr">
        <is>
          <t>Louth Cycle Centre RT</t>
        </is>
      </c>
      <c r="D209" t="inlineStr">
        <is>
          <t>30</t>
        </is>
      </c>
      <c r="E209">
        <f>HYPERLINK("https://www.britishcycling.org.uk/points?person_id=423791&amp;year=2021&amp;type=national&amp;d=6","Results")</f>
        <v/>
      </c>
    </row>
    <row r="210">
      <c r="A210" t="inlineStr">
        <is>
          <t>209</t>
        </is>
      </c>
      <c r="B210" t="inlineStr">
        <is>
          <t>Jodie Janes</t>
        </is>
      </c>
      <c r="C210" t="inlineStr">
        <is>
          <t>Velobants.cc</t>
        </is>
      </c>
      <c r="D210" t="inlineStr">
        <is>
          <t>30</t>
        </is>
      </c>
      <c r="E210">
        <f>HYPERLINK("https://www.britishcycling.org.uk/points?person_id=646858&amp;year=2021&amp;type=national&amp;d=6","Results")</f>
        <v/>
      </c>
    </row>
    <row r="211">
      <c r="A211" t="inlineStr">
        <is>
          <t>210</t>
        </is>
      </c>
      <c r="B211" t="inlineStr">
        <is>
          <t>Grace Norman</t>
        </is>
      </c>
      <c r="C211" t="inlineStr">
        <is>
          <t>Vanelli-Project Go</t>
        </is>
      </c>
      <c r="D211" t="inlineStr">
        <is>
          <t>30</t>
        </is>
      </c>
      <c r="E211">
        <f>HYPERLINK("https://www.britishcycling.org.uk/points?person_id=970370&amp;year=2021&amp;type=national&amp;d=6","Results")</f>
        <v/>
      </c>
    </row>
    <row r="212">
      <c r="A212" t="inlineStr">
        <is>
          <t>211</t>
        </is>
      </c>
      <c r="B212" t="inlineStr">
        <is>
          <t>Karen Tostee</t>
        </is>
      </c>
      <c r="C212" t="inlineStr">
        <is>
          <t>Hub Vélo</t>
        </is>
      </c>
      <c r="D212" t="inlineStr">
        <is>
          <t>29</t>
        </is>
      </c>
      <c r="E212">
        <f>HYPERLINK("https://www.britishcycling.org.uk/points?person_id=681414&amp;year=2021&amp;type=national&amp;d=6","Results")</f>
        <v/>
      </c>
    </row>
    <row r="213">
      <c r="A213" t="inlineStr">
        <is>
          <t>212</t>
        </is>
      </c>
      <c r="B213" t="inlineStr">
        <is>
          <t>Florence Whiteley</t>
        </is>
      </c>
      <c r="C213" t="inlineStr">
        <is>
          <t>Huddersfield Star Wheelers</t>
        </is>
      </c>
      <c r="D213" t="inlineStr">
        <is>
          <t>29</t>
        </is>
      </c>
      <c r="E213">
        <f>HYPERLINK("https://www.britishcycling.org.uk/points?person_id=263990&amp;year=2021&amp;type=national&amp;d=6","Results")</f>
        <v/>
      </c>
    </row>
    <row r="214">
      <c r="A214" t="inlineStr">
        <is>
          <t>213</t>
        </is>
      </c>
      <c r="B214" t="inlineStr">
        <is>
          <t>Rebecca Dawes</t>
        </is>
      </c>
      <c r="C214" t="inlineStr">
        <is>
          <t>RFDA</t>
        </is>
      </c>
      <c r="D214" t="inlineStr">
        <is>
          <t>27</t>
        </is>
      </c>
      <c r="E214">
        <f>HYPERLINK("https://www.britishcycling.org.uk/points?person_id=431352&amp;year=2021&amp;type=national&amp;d=6","Results")</f>
        <v/>
      </c>
    </row>
    <row r="215">
      <c r="A215" t="inlineStr">
        <is>
          <t>214</t>
        </is>
      </c>
      <c r="B215" t="inlineStr">
        <is>
          <t>Megan Dickerson</t>
        </is>
      </c>
      <c r="C215" t="inlineStr">
        <is>
          <t>SKODA DSI Cycling Academy</t>
        </is>
      </c>
      <c r="D215" t="inlineStr">
        <is>
          <t>27</t>
        </is>
      </c>
      <c r="E215">
        <f>HYPERLINK("https://www.britishcycling.org.uk/points?person_id=537414&amp;year=2021&amp;type=national&amp;d=6","Results")</f>
        <v/>
      </c>
    </row>
    <row r="216">
      <c r="A216" t="inlineStr">
        <is>
          <t>215</t>
        </is>
      </c>
      <c r="B216" t="inlineStr">
        <is>
          <t>Libby Bell</t>
        </is>
      </c>
      <c r="C216" t="inlineStr">
        <is>
          <t>Garden Shed UK-Ribble-Verge Sport</t>
        </is>
      </c>
      <c r="D216" t="inlineStr">
        <is>
          <t>26</t>
        </is>
      </c>
      <c r="E216">
        <f>HYPERLINK("https://www.britishcycling.org.uk/points?person_id=441969&amp;year=2021&amp;type=national&amp;d=6","Results")</f>
        <v/>
      </c>
    </row>
    <row r="217">
      <c r="A217" t="inlineStr">
        <is>
          <t>216</t>
        </is>
      </c>
      <c r="B217" t="inlineStr">
        <is>
          <t>Ruby Carleton</t>
        </is>
      </c>
      <c r="C217" t="inlineStr">
        <is>
          <t>Abergavenny Road Club</t>
        </is>
      </c>
      <c r="D217" t="inlineStr">
        <is>
          <t>26</t>
        </is>
      </c>
      <c r="E217">
        <f>HYPERLINK("https://www.britishcycling.org.uk/points?person_id=789763&amp;year=2021&amp;type=national&amp;d=6","Results")</f>
        <v/>
      </c>
    </row>
    <row r="218">
      <c r="A218" t="inlineStr">
        <is>
          <t>217</t>
        </is>
      </c>
      <c r="B218" t="inlineStr">
        <is>
          <t>Christine Robson</t>
        </is>
      </c>
      <c r="C218" t="inlineStr">
        <is>
          <t>VC Londres</t>
        </is>
      </c>
      <c r="D218" t="inlineStr">
        <is>
          <t>26</t>
        </is>
      </c>
      <c r="E218">
        <f>HYPERLINK("https://www.britishcycling.org.uk/points?person_id=286615&amp;year=2021&amp;type=national&amp;d=6","Results")</f>
        <v/>
      </c>
    </row>
    <row r="219">
      <c r="A219" t="inlineStr">
        <is>
          <t>218</t>
        </is>
      </c>
      <c r="B219" t="inlineStr">
        <is>
          <t>Maddi Smith</t>
        </is>
      </c>
      <c r="C219" t="inlineStr">
        <is>
          <t>Bolsover &amp; District Cycling Club</t>
        </is>
      </c>
      <c r="D219" t="inlineStr">
        <is>
          <t>26</t>
        </is>
      </c>
      <c r="E219">
        <f>HYPERLINK("https://www.britishcycling.org.uk/points?person_id=228103&amp;year=2021&amp;type=national&amp;d=6","Results")</f>
        <v/>
      </c>
    </row>
    <row r="220">
      <c r="A220" t="inlineStr">
        <is>
          <t>219</t>
        </is>
      </c>
      <c r="B220" t="inlineStr">
        <is>
          <t>Laura Cunningham</t>
        </is>
      </c>
      <c r="C220" t="inlineStr">
        <is>
          <t>West Lothian Clarion CC</t>
        </is>
      </c>
      <c r="D220" t="inlineStr">
        <is>
          <t>25</t>
        </is>
      </c>
      <c r="E220">
        <f>HYPERLINK("https://www.britishcycling.org.uk/points?person_id=621027&amp;year=2021&amp;type=national&amp;d=6","Results")</f>
        <v/>
      </c>
    </row>
    <row r="221">
      <c r="A221" t="inlineStr">
        <is>
          <t>220</t>
        </is>
      </c>
      <c r="B221" t="inlineStr">
        <is>
          <t>Kathryn Gohl</t>
        </is>
      </c>
      <c r="C221" t="inlineStr">
        <is>
          <t>Nice Brew Racing</t>
        </is>
      </c>
      <c r="D221" t="inlineStr">
        <is>
          <t>25</t>
        </is>
      </c>
      <c r="E221">
        <f>HYPERLINK("https://www.britishcycling.org.uk/points?person_id=732383&amp;year=2021&amp;type=national&amp;d=6","Results")</f>
        <v/>
      </c>
    </row>
    <row r="222">
      <c r="A222" t="inlineStr">
        <is>
          <t>221</t>
        </is>
      </c>
      <c r="B222" t="inlineStr">
        <is>
          <t>Petra Wiltshire</t>
        </is>
      </c>
      <c r="C222" t="inlineStr">
        <is>
          <t>Pronto Bikes</t>
        </is>
      </c>
      <c r="D222" t="inlineStr">
        <is>
          <t>25</t>
        </is>
      </c>
      <c r="E222">
        <f>HYPERLINK("https://www.britishcycling.org.uk/points?person_id=59110&amp;year=2021&amp;type=national&amp;d=6","Results")</f>
        <v/>
      </c>
    </row>
    <row r="223">
      <c r="A223" t="inlineStr">
        <is>
          <t>222</t>
        </is>
      </c>
      <c r="B223" t="inlineStr">
        <is>
          <t>Lydia Gould</t>
        </is>
      </c>
      <c r="C223" t="inlineStr">
        <is>
          <t>Velo Club Venta</t>
        </is>
      </c>
      <c r="D223" t="inlineStr">
        <is>
          <t>24</t>
        </is>
      </c>
      <c r="E223">
        <f>HYPERLINK("https://www.britishcycling.org.uk/points?person_id=25383&amp;year=2021&amp;type=national&amp;d=6","Results")</f>
        <v/>
      </c>
    </row>
    <row r="224">
      <c r="A224" t="inlineStr">
        <is>
          <t>223</t>
        </is>
      </c>
      <c r="B224" t="inlineStr">
        <is>
          <t>Sophie Roberts</t>
        </is>
      </c>
      <c r="C224" t="inlineStr">
        <is>
          <t>Penge Cycle Club</t>
        </is>
      </c>
      <c r="D224" t="inlineStr">
        <is>
          <t>24</t>
        </is>
      </c>
      <c r="E224">
        <f>HYPERLINK("https://www.britishcycling.org.uk/points?person_id=920919&amp;year=2021&amp;type=national&amp;d=6","Results")</f>
        <v/>
      </c>
    </row>
    <row r="225">
      <c r="A225" t="inlineStr">
        <is>
          <t>224</t>
        </is>
      </c>
      <c r="B225" t="inlineStr">
        <is>
          <t>Jessica Cobbe</t>
        </is>
      </c>
      <c r="C225" t="inlineStr">
        <is>
          <t>ROTOR Race Team</t>
        </is>
      </c>
      <c r="D225" t="inlineStr">
        <is>
          <t>23</t>
        </is>
      </c>
      <c r="E225">
        <f>HYPERLINK("https://www.britishcycling.org.uk/points?person_id=292779&amp;year=2021&amp;type=national&amp;d=6","Results")</f>
        <v/>
      </c>
    </row>
    <row r="226">
      <c r="A226" t="inlineStr">
        <is>
          <t>225</t>
        </is>
      </c>
      <c r="B226" t="inlineStr">
        <is>
          <t>Harriet Evans</t>
        </is>
      </c>
      <c r="C226" t="inlineStr">
        <is>
          <t>Welland Valley CC</t>
        </is>
      </c>
      <c r="D226" t="inlineStr">
        <is>
          <t>23</t>
        </is>
      </c>
      <c r="E226">
        <f>HYPERLINK("https://www.britishcycling.org.uk/points?person_id=538258&amp;year=2021&amp;type=national&amp;d=6","Results")</f>
        <v/>
      </c>
    </row>
    <row r="227">
      <c r="A227" t="inlineStr">
        <is>
          <t>226</t>
        </is>
      </c>
      <c r="B227" t="inlineStr">
        <is>
          <t>Karen Payton</t>
        </is>
      </c>
      <c r="C227" t="inlineStr"/>
      <c r="D227" t="inlineStr">
        <is>
          <t>23</t>
        </is>
      </c>
      <c r="E227">
        <f>HYPERLINK("https://www.britishcycling.org.uk/points?person_id=37432&amp;year=2021&amp;type=national&amp;d=6","Results")</f>
        <v/>
      </c>
    </row>
    <row r="228">
      <c r="A228" t="inlineStr">
        <is>
          <t>227</t>
        </is>
      </c>
      <c r="B228" t="inlineStr">
        <is>
          <t>Phoebe Sneddon</t>
        </is>
      </c>
      <c r="C228" t="inlineStr">
        <is>
          <t>Morvelo Magspeed Racing</t>
        </is>
      </c>
      <c r="D228" t="inlineStr">
        <is>
          <t>23</t>
        </is>
      </c>
      <c r="E228">
        <f>HYPERLINK("https://www.britishcycling.org.uk/points?person_id=121201&amp;year=2021&amp;type=national&amp;d=6","Results")</f>
        <v/>
      </c>
    </row>
    <row r="229">
      <c r="A229" t="inlineStr">
        <is>
          <t>228</t>
        </is>
      </c>
      <c r="B229" t="inlineStr">
        <is>
          <t>Sue McIntyre</t>
        </is>
      </c>
      <c r="C229" t="inlineStr">
        <is>
          <t>Walden Velo</t>
        </is>
      </c>
      <c r="D229" t="inlineStr">
        <is>
          <t>22</t>
        </is>
      </c>
      <c r="E229">
        <f>HYPERLINK("https://www.britishcycling.org.uk/points?person_id=124805&amp;year=2021&amp;type=national&amp;d=6","Results")</f>
        <v/>
      </c>
    </row>
    <row r="230">
      <c r="A230" t="inlineStr">
        <is>
          <t>229</t>
        </is>
      </c>
      <c r="B230" t="inlineStr">
        <is>
          <t>Elizabeth McKie</t>
        </is>
      </c>
      <c r="C230" t="inlineStr">
        <is>
          <t>Verulam - reallymoving.com</t>
        </is>
      </c>
      <c r="D230" t="inlineStr">
        <is>
          <t>22</t>
        </is>
      </c>
      <c r="E230">
        <f>HYPERLINK("https://www.britishcycling.org.uk/points?person_id=137605&amp;year=2021&amp;type=national&amp;d=6","Results")</f>
        <v/>
      </c>
    </row>
    <row r="231">
      <c r="A231" t="inlineStr">
        <is>
          <t>230</t>
        </is>
      </c>
      <c r="B231" t="inlineStr">
        <is>
          <t>Alison Stagg</t>
        </is>
      </c>
      <c r="C231" t="inlineStr">
        <is>
          <t>VC Deal</t>
        </is>
      </c>
      <c r="D231" t="inlineStr">
        <is>
          <t>22</t>
        </is>
      </c>
      <c r="E231">
        <f>HYPERLINK("https://www.britishcycling.org.uk/points?person_id=322677&amp;year=2021&amp;type=national&amp;d=6","Results")</f>
        <v/>
      </c>
    </row>
    <row r="232">
      <c r="A232" t="inlineStr">
        <is>
          <t>231</t>
        </is>
      </c>
      <c r="B232" t="inlineStr">
        <is>
          <t>Alexandra Thomas</t>
        </is>
      </c>
      <c r="C232" t="inlineStr">
        <is>
          <t>Army Cycling Union</t>
        </is>
      </c>
      <c r="D232" t="inlineStr">
        <is>
          <t>22</t>
        </is>
      </c>
      <c r="E232">
        <f>HYPERLINK("https://www.britishcycling.org.uk/points?person_id=952090&amp;year=2021&amp;type=national&amp;d=6","Results")</f>
        <v/>
      </c>
    </row>
    <row r="233">
      <c r="A233" t="inlineStr">
        <is>
          <t>232</t>
        </is>
      </c>
      <c r="B233" t="inlineStr">
        <is>
          <t>Abigail Corsie</t>
        </is>
      </c>
      <c r="C233" t="inlineStr">
        <is>
          <t>Dundee Wheelers CC</t>
        </is>
      </c>
      <c r="D233" t="inlineStr">
        <is>
          <t>21</t>
        </is>
      </c>
      <c r="E233">
        <f>HYPERLINK("https://www.britishcycling.org.uk/points?person_id=823847&amp;year=2021&amp;type=national&amp;d=6","Results")</f>
        <v/>
      </c>
    </row>
    <row r="234">
      <c r="A234" t="inlineStr">
        <is>
          <t>233</t>
        </is>
      </c>
      <c r="B234" t="inlineStr">
        <is>
          <t>Laura Greenhalgh</t>
        </is>
      </c>
      <c r="C234" t="inlineStr">
        <is>
          <t>VeloRevolution-WPCycles</t>
        </is>
      </c>
      <c r="D234" t="inlineStr">
        <is>
          <t>21</t>
        </is>
      </c>
      <c r="E234">
        <f>HYPERLINK("https://www.britishcycling.org.uk/points?person_id=246513&amp;year=2021&amp;type=national&amp;d=6","Results")</f>
        <v/>
      </c>
    </row>
    <row r="235">
      <c r="A235" t="inlineStr">
        <is>
          <t>234</t>
        </is>
      </c>
      <c r="B235" t="inlineStr">
        <is>
          <t>Fiona Jolly</t>
        </is>
      </c>
      <c r="C235" t="inlineStr">
        <is>
          <t>Kenilworth Wheelers CC</t>
        </is>
      </c>
      <c r="D235" t="inlineStr">
        <is>
          <t>21</t>
        </is>
      </c>
      <c r="E235">
        <f>HYPERLINK("https://www.britishcycling.org.uk/points?person_id=402369&amp;year=2021&amp;type=national&amp;d=6","Results")</f>
        <v/>
      </c>
    </row>
    <row r="236">
      <c r="A236" t="inlineStr">
        <is>
          <t>235</t>
        </is>
      </c>
      <c r="B236" t="inlineStr">
        <is>
          <t>Sharn Hooper</t>
        </is>
      </c>
      <c r="C236" t="inlineStr">
        <is>
          <t>WXC World Racing</t>
        </is>
      </c>
      <c r="D236" t="inlineStr">
        <is>
          <t>20</t>
        </is>
      </c>
      <c r="E236">
        <f>HYPERLINK("https://www.britishcycling.org.uk/points?person_id=318484&amp;year=2021&amp;type=national&amp;d=6","Results")</f>
        <v/>
      </c>
    </row>
    <row r="237">
      <c r="A237" t="inlineStr">
        <is>
          <t>236</t>
        </is>
      </c>
      <c r="B237" t="inlineStr">
        <is>
          <t>Lauren Johnston</t>
        </is>
      </c>
      <c r="C237" t="inlineStr">
        <is>
          <t>Livingston Cycling Club</t>
        </is>
      </c>
      <c r="D237" t="inlineStr">
        <is>
          <t>20</t>
        </is>
      </c>
      <c r="E237">
        <f>HYPERLINK("https://www.britishcycling.org.uk/points?person_id=731761&amp;year=2021&amp;type=national&amp;d=6","Results")</f>
        <v/>
      </c>
    </row>
    <row r="238">
      <c r="A238" t="inlineStr">
        <is>
          <t>237</t>
        </is>
      </c>
      <c r="B238" t="inlineStr">
        <is>
          <t>Lucy Lee</t>
        </is>
      </c>
      <c r="C238" t="inlineStr">
        <is>
          <t>Team LDN - Brother UK</t>
        </is>
      </c>
      <c r="D238" t="inlineStr">
        <is>
          <t>20</t>
        </is>
      </c>
      <c r="E238">
        <f>HYPERLINK("https://www.britishcycling.org.uk/points?person_id=228457&amp;year=2021&amp;type=national&amp;d=6","Results")</f>
        <v/>
      </c>
    </row>
    <row r="239">
      <c r="A239" t="inlineStr">
        <is>
          <t>238</t>
        </is>
      </c>
      <c r="B239" t="inlineStr">
        <is>
          <t>Bonnie Lynn</t>
        </is>
      </c>
      <c r="C239" t="inlineStr">
        <is>
          <t>Didcot Phoenix CC</t>
        </is>
      </c>
      <c r="D239" t="inlineStr">
        <is>
          <t>20</t>
        </is>
      </c>
      <c r="E239">
        <f>HYPERLINK("https://www.britishcycling.org.uk/points?person_id=1024520&amp;year=2021&amp;type=national&amp;d=6","Results")</f>
        <v/>
      </c>
    </row>
    <row r="240">
      <c r="A240" t="inlineStr">
        <is>
          <t>239</t>
        </is>
      </c>
      <c r="B240" t="inlineStr">
        <is>
          <t>Eleanor Strathdee</t>
        </is>
      </c>
      <c r="C240" t="inlineStr"/>
      <c r="D240" t="inlineStr">
        <is>
          <t>20</t>
        </is>
      </c>
      <c r="E240">
        <f>HYPERLINK("https://www.britishcycling.org.uk/points?person_id=170908&amp;year=2021&amp;type=national&amp;d=6","Results")</f>
        <v/>
      </c>
    </row>
    <row r="241">
      <c r="A241" t="inlineStr">
        <is>
          <t>240</t>
        </is>
      </c>
      <c r="B241" t="inlineStr">
        <is>
          <t>Helen Webb</t>
        </is>
      </c>
      <c r="C241" t="inlineStr">
        <is>
          <t>Sussex Nomads CC</t>
        </is>
      </c>
      <c r="D241" t="inlineStr">
        <is>
          <t>20</t>
        </is>
      </c>
      <c r="E241">
        <f>HYPERLINK("https://www.britishcycling.org.uk/points?person_id=556296&amp;year=2021&amp;type=national&amp;d=6","Results")</f>
        <v/>
      </c>
    </row>
    <row r="242">
      <c r="A242" t="inlineStr">
        <is>
          <t>241</t>
        </is>
      </c>
      <c r="B242" t="inlineStr">
        <is>
          <t>Elizabeth Archer</t>
        </is>
      </c>
      <c r="C242" t="inlineStr">
        <is>
          <t>Team Milton Keynes</t>
        </is>
      </c>
      <c r="D242" t="inlineStr">
        <is>
          <t>19</t>
        </is>
      </c>
      <c r="E242">
        <f>HYPERLINK("https://www.britishcycling.org.uk/points?person_id=803335&amp;year=2021&amp;type=national&amp;d=6","Results")</f>
        <v/>
      </c>
    </row>
    <row r="243">
      <c r="A243" t="inlineStr">
        <is>
          <t>242</t>
        </is>
      </c>
      <c r="B243" t="inlineStr">
        <is>
          <t>Chloe Dilks</t>
        </is>
      </c>
      <c r="C243" t="inlineStr">
        <is>
          <t>Team Empella Cyclo-Cross.Com</t>
        </is>
      </c>
      <c r="D243" t="inlineStr">
        <is>
          <t>19</t>
        </is>
      </c>
      <c r="E243">
        <f>HYPERLINK("https://www.britishcycling.org.uk/points?person_id=464080&amp;year=2021&amp;type=national&amp;d=6","Results")</f>
        <v/>
      </c>
    </row>
    <row r="244">
      <c r="A244" t="inlineStr">
        <is>
          <t>243</t>
        </is>
      </c>
      <c r="B244" t="inlineStr">
        <is>
          <t>Helen Nicholls</t>
        </is>
      </c>
      <c r="C244" t="inlineStr">
        <is>
          <t>Valkyrie Race Team</t>
        </is>
      </c>
      <c r="D244" t="inlineStr">
        <is>
          <t>19</t>
        </is>
      </c>
      <c r="E244">
        <f>HYPERLINK("https://www.britishcycling.org.uk/points?person_id=242387&amp;year=2021&amp;type=national&amp;d=6","Results")</f>
        <v/>
      </c>
    </row>
    <row r="245">
      <c r="A245" t="inlineStr">
        <is>
          <t>244</t>
        </is>
      </c>
      <c r="B245" t="inlineStr">
        <is>
          <t>Laura Powell</t>
        </is>
      </c>
      <c r="C245" t="inlineStr">
        <is>
          <t>Team Empella Cyclo-Cross.Com</t>
        </is>
      </c>
      <c r="D245" t="inlineStr">
        <is>
          <t>19</t>
        </is>
      </c>
      <c r="E245">
        <f>HYPERLINK("https://www.britishcycling.org.uk/points?person_id=977250&amp;year=2021&amp;type=national&amp;d=6","Results")</f>
        <v/>
      </c>
    </row>
    <row r="246">
      <c r="A246" t="inlineStr">
        <is>
          <t>245</t>
        </is>
      </c>
      <c r="B246" t="inlineStr">
        <is>
          <t>Nadine Thomas</t>
        </is>
      </c>
      <c r="C246" t="inlineStr">
        <is>
          <t>INFLITE</t>
        </is>
      </c>
      <c r="D246" t="inlineStr">
        <is>
          <t>19</t>
        </is>
      </c>
      <c r="E246">
        <f>HYPERLINK("https://www.britishcycling.org.uk/points?person_id=332931&amp;year=2021&amp;type=national&amp;d=6","Results")</f>
        <v/>
      </c>
    </row>
    <row r="247">
      <c r="A247" t="inlineStr">
        <is>
          <t>246</t>
        </is>
      </c>
      <c r="B247" t="inlineStr">
        <is>
          <t>Lucy Buckley</t>
        </is>
      </c>
      <c r="C247" t="inlineStr">
        <is>
          <t>Team Empella Cyclo-Cross.Com</t>
        </is>
      </c>
      <c r="D247" t="inlineStr">
        <is>
          <t>18</t>
        </is>
      </c>
      <c r="E247">
        <f>HYPERLINK("https://www.britishcycling.org.uk/points?person_id=527316&amp;year=2021&amp;type=national&amp;d=6","Results")</f>
        <v/>
      </c>
    </row>
    <row r="248">
      <c r="A248" t="inlineStr">
        <is>
          <t>247</t>
        </is>
      </c>
      <c r="B248" t="inlineStr">
        <is>
          <t>Rosie Day</t>
        </is>
      </c>
      <c r="C248" t="inlineStr">
        <is>
          <t>Brixton Cycles Club</t>
        </is>
      </c>
      <c r="D248" t="inlineStr">
        <is>
          <t>18</t>
        </is>
      </c>
      <c r="E248">
        <f>HYPERLINK("https://www.britishcycling.org.uk/points?person_id=952034&amp;year=2021&amp;type=national&amp;d=6","Results")</f>
        <v/>
      </c>
    </row>
    <row r="249">
      <c r="A249" t="inlineStr">
        <is>
          <t>248</t>
        </is>
      </c>
      <c r="B249" t="inlineStr">
        <is>
          <t>Alicia Lisle</t>
        </is>
      </c>
      <c r="C249" t="inlineStr">
        <is>
          <t>Team Empella Cyclo-Cross.Com</t>
        </is>
      </c>
      <c r="D249" t="inlineStr">
        <is>
          <t>18</t>
        </is>
      </c>
      <c r="E249">
        <f>HYPERLINK("https://www.britishcycling.org.uk/points?person_id=497812&amp;year=2021&amp;type=national&amp;d=6","Results")</f>
        <v/>
      </c>
    </row>
    <row r="250">
      <c r="A250" t="inlineStr">
        <is>
          <t>249</t>
        </is>
      </c>
      <c r="B250" t="inlineStr">
        <is>
          <t>Helen Sharp</t>
        </is>
      </c>
      <c r="C250" t="inlineStr">
        <is>
          <t>Boot Out Breast Cancer C.C</t>
        </is>
      </c>
      <c r="D250" t="inlineStr">
        <is>
          <t>18</t>
        </is>
      </c>
      <c r="E250">
        <f>HYPERLINK("https://www.britishcycling.org.uk/points?person_id=650095&amp;year=2021&amp;type=national&amp;d=6","Results")</f>
        <v/>
      </c>
    </row>
    <row r="251">
      <c r="A251" t="inlineStr">
        <is>
          <t>250</t>
        </is>
      </c>
      <c r="B251" t="inlineStr">
        <is>
          <t>Melanie Smith</t>
        </is>
      </c>
      <c r="C251" t="inlineStr">
        <is>
          <t>Cotswold Veldrijden</t>
        </is>
      </c>
      <c r="D251" t="inlineStr">
        <is>
          <t>18</t>
        </is>
      </c>
      <c r="E251">
        <f>HYPERLINK("https://www.britishcycling.org.uk/points?person_id=663096&amp;year=2021&amp;type=national&amp;d=6","Results")</f>
        <v/>
      </c>
    </row>
    <row r="252">
      <c r="A252" t="inlineStr">
        <is>
          <t>251</t>
        </is>
      </c>
      <c r="B252" t="inlineStr">
        <is>
          <t>Lynn Bland</t>
        </is>
      </c>
      <c r="C252" t="inlineStr">
        <is>
          <t>Norton Wheelers</t>
        </is>
      </c>
      <c r="D252" t="inlineStr">
        <is>
          <t>17</t>
        </is>
      </c>
      <c r="E252">
        <f>HYPERLINK("https://www.britishcycling.org.uk/points?person_id=71298&amp;year=2021&amp;type=national&amp;d=6","Results")</f>
        <v/>
      </c>
    </row>
    <row r="253">
      <c r="A253" t="inlineStr">
        <is>
          <t>252</t>
        </is>
      </c>
      <c r="B253" t="inlineStr">
        <is>
          <t>Nicola Hartle</t>
        </is>
      </c>
      <c r="C253" t="inlineStr">
        <is>
          <t>PH-MAS - Paul Milnes Cycles</t>
        </is>
      </c>
      <c r="D253" t="inlineStr">
        <is>
          <t>17</t>
        </is>
      </c>
      <c r="E253">
        <f>HYPERLINK("https://www.britishcycling.org.uk/points?person_id=24304&amp;year=2021&amp;type=national&amp;d=6","Results")</f>
        <v/>
      </c>
    </row>
    <row r="254">
      <c r="A254" t="inlineStr">
        <is>
          <t>253</t>
        </is>
      </c>
      <c r="B254" t="inlineStr">
        <is>
          <t>Caroline Mansfield</t>
        </is>
      </c>
      <c r="C254" t="inlineStr">
        <is>
          <t>Morvelo Magspeed Racing</t>
        </is>
      </c>
      <c r="D254" t="inlineStr">
        <is>
          <t>17</t>
        </is>
      </c>
      <c r="E254">
        <f>HYPERLINK("https://www.britishcycling.org.uk/points?person_id=179243&amp;year=2021&amp;type=national&amp;d=6","Results")</f>
        <v/>
      </c>
    </row>
    <row r="255">
      <c r="A255" t="inlineStr">
        <is>
          <t>254</t>
        </is>
      </c>
      <c r="B255" t="inlineStr">
        <is>
          <t>Emma Payne</t>
        </is>
      </c>
      <c r="C255" t="inlineStr">
        <is>
          <t>Bolsover &amp; District Cycling Club</t>
        </is>
      </c>
      <c r="D255" t="inlineStr">
        <is>
          <t>17</t>
        </is>
      </c>
      <c r="E255">
        <f>HYPERLINK("https://www.britishcycling.org.uk/points?person_id=70779&amp;year=2021&amp;type=national&amp;d=6","Results")</f>
        <v/>
      </c>
    </row>
    <row r="256">
      <c r="A256" t="inlineStr">
        <is>
          <t>255</t>
        </is>
      </c>
      <c r="B256" t="inlineStr">
        <is>
          <t>Emelia Barker</t>
        </is>
      </c>
      <c r="C256" t="inlineStr">
        <is>
          <t>Red Rose Olympic CC</t>
        </is>
      </c>
      <c r="D256" t="inlineStr">
        <is>
          <t>16</t>
        </is>
      </c>
      <c r="E256">
        <f>HYPERLINK("https://www.britishcycling.org.uk/points?person_id=396705&amp;year=2021&amp;type=national&amp;d=6","Results")</f>
        <v/>
      </c>
    </row>
    <row r="257">
      <c r="A257" t="inlineStr">
        <is>
          <t>256</t>
        </is>
      </c>
      <c r="B257" t="inlineStr">
        <is>
          <t>Isla Blain</t>
        </is>
      </c>
      <c r="C257" t="inlineStr">
        <is>
          <t>Team Empella Cyclo-Cross.Com</t>
        </is>
      </c>
      <c r="D257" t="inlineStr">
        <is>
          <t>16</t>
        </is>
      </c>
      <c r="E257">
        <f>HYPERLINK("https://www.britishcycling.org.uk/points?person_id=135089&amp;year=2021&amp;type=national&amp;d=6","Results")</f>
        <v/>
      </c>
    </row>
    <row r="258">
      <c r="A258" t="inlineStr">
        <is>
          <t>257</t>
        </is>
      </c>
      <c r="B258" t="inlineStr">
        <is>
          <t>Janet Burthem</t>
        </is>
      </c>
      <c r="C258" t="inlineStr">
        <is>
          <t>Velo Club Melyd</t>
        </is>
      </c>
      <c r="D258" t="inlineStr">
        <is>
          <t>16</t>
        </is>
      </c>
      <c r="E258">
        <f>HYPERLINK("https://www.britishcycling.org.uk/points?person_id=175434&amp;year=2021&amp;type=national&amp;d=6","Results")</f>
        <v/>
      </c>
    </row>
    <row r="259">
      <c r="A259" t="inlineStr">
        <is>
          <t>258</t>
        </is>
      </c>
      <c r="B259" t="inlineStr">
        <is>
          <t>Lotty Dawson</t>
        </is>
      </c>
      <c r="C259" t="inlineStr">
        <is>
          <t>Team Milton Keynes</t>
        </is>
      </c>
      <c r="D259" t="inlineStr">
        <is>
          <t>16</t>
        </is>
      </c>
      <c r="E259">
        <f>HYPERLINK("https://www.britishcycling.org.uk/points?person_id=666529&amp;year=2021&amp;type=national&amp;d=6","Results")</f>
        <v/>
      </c>
    </row>
    <row r="260">
      <c r="A260" t="inlineStr">
        <is>
          <t>259</t>
        </is>
      </c>
      <c r="B260" t="inlineStr">
        <is>
          <t>Madeleine Gammons</t>
        </is>
      </c>
      <c r="C260" t="inlineStr">
        <is>
          <t>Saint Piran WRT</t>
        </is>
      </c>
      <c r="D260" t="inlineStr">
        <is>
          <t>16</t>
        </is>
      </c>
      <c r="E260">
        <f>HYPERLINK("https://www.britishcycling.org.uk/points?person_id=176509&amp;year=2021&amp;type=national&amp;d=6","Results")</f>
        <v/>
      </c>
    </row>
    <row r="261">
      <c r="A261" t="inlineStr">
        <is>
          <t>260</t>
        </is>
      </c>
      <c r="B261" t="inlineStr">
        <is>
          <t>Sara James</t>
        </is>
      </c>
      <c r="C261" t="inlineStr">
        <is>
          <t>Clevedon &amp; District RC</t>
        </is>
      </c>
      <c r="D261" t="inlineStr">
        <is>
          <t>16</t>
        </is>
      </c>
      <c r="E261">
        <f>HYPERLINK("https://www.britishcycling.org.uk/points?person_id=615706&amp;year=2021&amp;type=national&amp;d=6","Results")</f>
        <v/>
      </c>
    </row>
    <row r="262">
      <c r="A262" t="inlineStr">
        <is>
          <t>261</t>
        </is>
      </c>
      <c r="B262" t="inlineStr">
        <is>
          <t>Kathleen O'Reilly</t>
        </is>
      </c>
      <c r="C262" t="inlineStr">
        <is>
          <t>Dulwich Paragon CC</t>
        </is>
      </c>
      <c r="D262" t="inlineStr">
        <is>
          <t>16</t>
        </is>
      </c>
      <c r="E262">
        <f>HYPERLINK("https://www.britishcycling.org.uk/points?person_id=180257&amp;year=2021&amp;type=national&amp;d=6","Results")</f>
        <v/>
      </c>
    </row>
    <row r="263">
      <c r="A263" t="inlineStr">
        <is>
          <t>262</t>
        </is>
      </c>
      <c r="B263" t="inlineStr">
        <is>
          <t>Wendy Rees</t>
        </is>
      </c>
      <c r="C263" t="inlineStr">
        <is>
          <t>Bicester Millennium CC</t>
        </is>
      </c>
      <c r="D263" t="inlineStr">
        <is>
          <t>16</t>
        </is>
      </c>
      <c r="E263">
        <f>HYPERLINK("https://www.britishcycling.org.uk/points?person_id=500978&amp;year=2021&amp;type=national&amp;d=6","Results")</f>
        <v/>
      </c>
    </row>
    <row r="264">
      <c r="A264" t="inlineStr">
        <is>
          <t>263</t>
        </is>
      </c>
      <c r="B264" t="inlineStr">
        <is>
          <t>Sasha Smith</t>
        </is>
      </c>
      <c r="C264" t="inlineStr">
        <is>
          <t>FTP-Fulfil The Potential-Racing</t>
        </is>
      </c>
      <c r="D264" t="inlineStr">
        <is>
          <t>16</t>
        </is>
      </c>
      <c r="E264">
        <f>HYPERLINK("https://www.britishcycling.org.uk/points?person_id=557911&amp;year=2021&amp;type=national&amp;d=6","Results")</f>
        <v/>
      </c>
    </row>
    <row r="265">
      <c r="A265" t="inlineStr">
        <is>
          <t>264</t>
        </is>
      </c>
      <c r="B265" t="inlineStr">
        <is>
          <t>Jules Toone</t>
        </is>
      </c>
      <c r="C265" t="inlineStr"/>
      <c r="D265" t="inlineStr">
        <is>
          <t>16</t>
        </is>
      </c>
      <c r="E265">
        <f>HYPERLINK("https://www.britishcycling.org.uk/points?person_id=22805&amp;year=2021&amp;type=national&amp;d=6","Results")</f>
        <v/>
      </c>
    </row>
    <row r="266">
      <c r="A266" t="inlineStr">
        <is>
          <t>265</t>
        </is>
      </c>
      <c r="B266" t="inlineStr">
        <is>
          <t>Marjo Van Velzen</t>
        </is>
      </c>
      <c r="C266" t="inlineStr">
        <is>
          <t>VC Deal</t>
        </is>
      </c>
      <c r="D266" t="inlineStr">
        <is>
          <t>16</t>
        </is>
      </c>
      <c r="E266">
        <f>HYPERLINK("https://www.britishcycling.org.uk/points?person_id=254404&amp;year=2021&amp;type=national&amp;d=6","Results")</f>
        <v/>
      </c>
    </row>
    <row r="267">
      <c r="A267" t="inlineStr">
        <is>
          <t>266</t>
        </is>
      </c>
      <c r="B267" t="inlineStr">
        <is>
          <t>Elizabeth Webb</t>
        </is>
      </c>
      <c r="C267" t="inlineStr">
        <is>
          <t>Cardiff Ajax CC</t>
        </is>
      </c>
      <c r="D267" t="inlineStr">
        <is>
          <t>16</t>
        </is>
      </c>
      <c r="E267">
        <f>HYPERLINK("https://www.britishcycling.org.uk/points?person_id=79422&amp;year=2021&amp;type=national&amp;d=6","Results")</f>
        <v/>
      </c>
    </row>
    <row r="268">
      <c r="A268" t="inlineStr">
        <is>
          <t>267</t>
        </is>
      </c>
      <c r="B268" t="inlineStr">
        <is>
          <t>Paula Salter</t>
        </is>
      </c>
      <c r="C268" t="inlineStr">
        <is>
          <t>North Tyneside Riders</t>
        </is>
      </c>
      <c r="D268" t="inlineStr">
        <is>
          <t>15</t>
        </is>
      </c>
      <c r="E268">
        <f>HYPERLINK("https://www.britishcycling.org.uk/points?person_id=671611&amp;year=2021&amp;type=national&amp;d=6","Results")</f>
        <v/>
      </c>
    </row>
    <row r="269">
      <c r="A269" t="inlineStr">
        <is>
          <t>268</t>
        </is>
      </c>
      <c r="B269" t="inlineStr">
        <is>
          <t>Suzanne Wise</t>
        </is>
      </c>
      <c r="C269" t="inlineStr">
        <is>
          <t>C and N Cycles RT</t>
        </is>
      </c>
      <c r="D269" t="inlineStr">
        <is>
          <t>15</t>
        </is>
      </c>
      <c r="E269">
        <f>HYPERLINK("https://www.britishcycling.org.uk/points?person_id=607451&amp;year=2021&amp;type=national&amp;d=6","Results")</f>
        <v/>
      </c>
    </row>
    <row r="270">
      <c r="A270" t="inlineStr">
        <is>
          <t>269</t>
        </is>
      </c>
      <c r="B270" t="inlineStr">
        <is>
          <t>Rosie Andrews</t>
        </is>
      </c>
      <c r="C270" t="inlineStr">
        <is>
          <t>Southfork Racing.co.uk</t>
        </is>
      </c>
      <c r="D270" t="inlineStr">
        <is>
          <t>14</t>
        </is>
      </c>
      <c r="E270">
        <f>HYPERLINK("https://www.britishcycling.org.uk/points?person_id=407645&amp;year=2021&amp;type=national&amp;d=6","Results")</f>
        <v/>
      </c>
    </row>
    <row r="271">
      <c r="A271" t="inlineStr">
        <is>
          <t>270</t>
        </is>
      </c>
      <c r="B271" t="inlineStr">
        <is>
          <t>Helen Bridgman</t>
        </is>
      </c>
      <c r="C271" t="inlineStr">
        <is>
          <t>1904 RT</t>
        </is>
      </c>
      <c r="D271" t="inlineStr">
        <is>
          <t>14</t>
        </is>
      </c>
      <c r="E271">
        <f>HYPERLINK("https://www.britishcycling.org.uk/points?person_id=644286&amp;year=2021&amp;type=national&amp;d=6","Results")</f>
        <v/>
      </c>
    </row>
    <row r="272">
      <c r="A272" t="inlineStr">
        <is>
          <t>271</t>
        </is>
      </c>
      <c r="B272" t="inlineStr">
        <is>
          <t>Lisa Davies</t>
        </is>
      </c>
      <c r="C272" t="inlineStr">
        <is>
          <t>Towy Riders</t>
        </is>
      </c>
      <c r="D272" t="inlineStr">
        <is>
          <t>14</t>
        </is>
      </c>
      <c r="E272">
        <f>HYPERLINK("https://www.britishcycling.org.uk/points?person_id=965966&amp;year=2021&amp;type=national&amp;d=6","Results")</f>
        <v/>
      </c>
    </row>
    <row r="273">
      <c r="A273" t="inlineStr">
        <is>
          <t>272</t>
        </is>
      </c>
      <c r="B273" t="inlineStr">
        <is>
          <t>Karen McGrath</t>
        </is>
      </c>
      <c r="C273" t="inlineStr">
        <is>
          <t>Worthing Excelsior CC</t>
        </is>
      </c>
      <c r="D273" t="inlineStr">
        <is>
          <t>14</t>
        </is>
      </c>
      <c r="E273">
        <f>HYPERLINK("https://www.britishcycling.org.uk/points?person_id=228737&amp;year=2021&amp;type=national&amp;d=6","Results")</f>
        <v/>
      </c>
    </row>
    <row r="274">
      <c r="A274" t="inlineStr">
        <is>
          <t>273</t>
        </is>
      </c>
      <c r="B274" t="inlineStr">
        <is>
          <t>Lynsey Astles</t>
        </is>
      </c>
      <c r="C274" t="inlineStr">
        <is>
          <t>Congleton CC</t>
        </is>
      </c>
      <c r="D274" t="inlineStr">
        <is>
          <t>13</t>
        </is>
      </c>
      <c r="E274">
        <f>HYPERLINK("https://www.britishcycling.org.uk/points?person_id=613199&amp;year=2021&amp;type=national&amp;d=6","Results")</f>
        <v/>
      </c>
    </row>
    <row r="275">
      <c r="A275" t="inlineStr">
        <is>
          <t>274</t>
        </is>
      </c>
      <c r="B275" t="inlineStr">
        <is>
          <t>Pamela Challen</t>
        </is>
      </c>
      <c r="C275" t="inlineStr">
        <is>
          <t>VC VELDRIJDEN</t>
        </is>
      </c>
      <c r="D275" t="inlineStr">
        <is>
          <t>13</t>
        </is>
      </c>
      <c r="E275">
        <f>HYPERLINK("https://www.britishcycling.org.uk/points?person_id=406992&amp;year=2021&amp;type=national&amp;d=6","Results")</f>
        <v/>
      </c>
    </row>
    <row r="276">
      <c r="A276" t="inlineStr">
        <is>
          <t>275</t>
        </is>
      </c>
      <c r="B276" t="inlineStr">
        <is>
          <t>Abigail Coles</t>
        </is>
      </c>
      <c r="C276" t="inlineStr">
        <is>
          <t>North Road CC</t>
        </is>
      </c>
      <c r="D276" t="inlineStr">
        <is>
          <t>13</t>
        </is>
      </c>
      <c r="E276">
        <f>HYPERLINK("https://www.britishcycling.org.uk/points?person_id=74234&amp;year=2021&amp;type=national&amp;d=6","Results")</f>
        <v/>
      </c>
    </row>
    <row r="277">
      <c r="A277" t="inlineStr">
        <is>
          <t>276</t>
        </is>
      </c>
      <c r="B277" t="inlineStr">
        <is>
          <t>Caroline Goward</t>
        </is>
      </c>
      <c r="C277" t="inlineStr">
        <is>
          <t>GS Vecchi</t>
        </is>
      </c>
      <c r="D277" t="inlineStr">
        <is>
          <t>13</t>
        </is>
      </c>
      <c r="E277">
        <f>HYPERLINK("https://www.britishcycling.org.uk/points?person_id=41795&amp;year=2021&amp;type=national&amp;d=6","Results")</f>
        <v/>
      </c>
    </row>
    <row r="278">
      <c r="A278" t="inlineStr">
        <is>
          <t>277</t>
        </is>
      </c>
      <c r="B278" t="inlineStr">
        <is>
          <t>Elizabeth Kemp</t>
        </is>
      </c>
      <c r="C278" t="inlineStr">
        <is>
          <t>Westbury Wheelers</t>
        </is>
      </c>
      <c r="D278" t="inlineStr">
        <is>
          <t>13</t>
        </is>
      </c>
      <c r="E278">
        <f>HYPERLINK("https://www.britishcycling.org.uk/points?person_id=23920&amp;year=2021&amp;type=national&amp;d=6","Results")</f>
        <v/>
      </c>
    </row>
    <row r="279">
      <c r="A279" t="inlineStr">
        <is>
          <t>278</t>
        </is>
      </c>
      <c r="B279" t="inlineStr">
        <is>
          <t>Catherine Litherland</t>
        </is>
      </c>
      <c r="C279" t="inlineStr">
        <is>
          <t>Holmfirth Cycling Club</t>
        </is>
      </c>
      <c r="D279" t="inlineStr">
        <is>
          <t>13</t>
        </is>
      </c>
      <c r="E279">
        <f>HYPERLINK("https://www.britishcycling.org.uk/points?person_id=200360&amp;year=2021&amp;type=national&amp;d=6","Results")</f>
        <v/>
      </c>
    </row>
    <row r="280">
      <c r="A280" t="inlineStr">
        <is>
          <t>279</t>
        </is>
      </c>
      <c r="B280" t="inlineStr">
        <is>
          <t>Emily Carrick-Anderson</t>
        </is>
      </c>
      <c r="C280" t="inlineStr">
        <is>
          <t>T-Mo Racing</t>
        </is>
      </c>
      <c r="D280" t="inlineStr">
        <is>
          <t>12</t>
        </is>
      </c>
      <c r="E280">
        <f>HYPERLINK("https://www.britishcycling.org.uk/points?person_id=254522&amp;year=2021&amp;type=national&amp;d=6","Results")</f>
        <v/>
      </c>
    </row>
    <row r="281">
      <c r="A281" t="inlineStr">
        <is>
          <t>280</t>
        </is>
      </c>
      <c r="B281" t="inlineStr">
        <is>
          <t>Laura Castle</t>
        </is>
      </c>
      <c r="C281" t="inlineStr">
        <is>
          <t>Peddlamaniacs Cycle Club</t>
        </is>
      </c>
      <c r="D281" t="inlineStr">
        <is>
          <t>12</t>
        </is>
      </c>
      <c r="E281">
        <f>HYPERLINK("https://www.britishcycling.org.uk/points?person_id=649063&amp;year=2021&amp;type=national&amp;d=6","Results")</f>
        <v/>
      </c>
    </row>
    <row r="282">
      <c r="A282" t="inlineStr">
        <is>
          <t>281</t>
        </is>
      </c>
      <c r="B282" t="inlineStr">
        <is>
          <t>Katy Denham</t>
        </is>
      </c>
      <c r="C282" t="inlineStr">
        <is>
          <t>Muckle Cycle Club</t>
        </is>
      </c>
      <c r="D282" t="inlineStr">
        <is>
          <t>12</t>
        </is>
      </c>
      <c r="E282">
        <f>HYPERLINK("https://www.britishcycling.org.uk/points?person_id=1010708&amp;year=2021&amp;type=national&amp;d=6","Results")</f>
        <v/>
      </c>
    </row>
    <row r="283">
      <c r="A283" t="inlineStr">
        <is>
          <t>282</t>
        </is>
      </c>
      <c r="B283" t="inlineStr">
        <is>
          <t>Helen Hutchinson</t>
        </is>
      </c>
      <c r="C283" t="inlineStr">
        <is>
          <t>Derby Mercury RC</t>
        </is>
      </c>
      <c r="D283" t="inlineStr">
        <is>
          <t>12</t>
        </is>
      </c>
      <c r="E283">
        <f>HYPERLINK("https://www.britishcycling.org.uk/points?person_id=425602&amp;year=2021&amp;type=national&amp;d=6","Results")</f>
        <v/>
      </c>
    </row>
    <row r="284">
      <c r="A284" t="inlineStr">
        <is>
          <t>283</t>
        </is>
      </c>
      <c r="B284" t="inlineStr">
        <is>
          <t>Rachel Jenkins</t>
        </is>
      </c>
      <c r="C284" t="inlineStr">
        <is>
          <t>North Hampshire RC</t>
        </is>
      </c>
      <c r="D284" t="inlineStr">
        <is>
          <t>12</t>
        </is>
      </c>
      <c r="E284">
        <f>HYPERLINK("https://www.britishcycling.org.uk/points?person_id=753301&amp;year=2021&amp;type=national&amp;d=6","Results")</f>
        <v/>
      </c>
    </row>
    <row r="285">
      <c r="A285" t="inlineStr">
        <is>
          <t>284</t>
        </is>
      </c>
      <c r="B285" t="inlineStr">
        <is>
          <t>Lucy Nelson</t>
        </is>
      </c>
      <c r="C285" t="inlineStr">
        <is>
          <t>Liverpool University Cycling Club</t>
        </is>
      </c>
      <c r="D285" t="inlineStr">
        <is>
          <t>12</t>
        </is>
      </c>
      <c r="E285">
        <f>HYPERLINK("https://www.britishcycling.org.uk/points?person_id=74460&amp;year=2021&amp;type=national&amp;d=6","Results")</f>
        <v/>
      </c>
    </row>
    <row r="286">
      <c r="A286" t="inlineStr">
        <is>
          <t>285</t>
        </is>
      </c>
      <c r="B286" t="inlineStr">
        <is>
          <t>Hannah Shanley</t>
        </is>
      </c>
      <c r="C286" t="inlineStr">
        <is>
          <t>Cog Set Papyrus Racing Club</t>
        </is>
      </c>
      <c r="D286" t="inlineStr">
        <is>
          <t>12</t>
        </is>
      </c>
      <c r="E286">
        <f>HYPERLINK("https://www.britishcycling.org.uk/points?person_id=199544&amp;year=2021&amp;type=national&amp;d=6","Results")</f>
        <v/>
      </c>
    </row>
    <row r="287">
      <c r="A287" t="inlineStr">
        <is>
          <t>286</t>
        </is>
      </c>
      <c r="B287" t="inlineStr">
        <is>
          <t>Catherine Wallace</t>
        </is>
      </c>
      <c r="C287" t="inlineStr">
        <is>
          <t>Brighton Mitre CC</t>
        </is>
      </c>
      <c r="D287" t="inlineStr">
        <is>
          <t>12</t>
        </is>
      </c>
      <c r="E287">
        <f>HYPERLINK("https://www.britishcycling.org.uk/points?person_id=904995&amp;year=2021&amp;type=national&amp;d=6","Results")</f>
        <v/>
      </c>
    </row>
    <row r="288">
      <c r="A288" t="inlineStr">
        <is>
          <t>287</t>
        </is>
      </c>
      <c r="B288" t="inlineStr">
        <is>
          <t>Ailsa Curtis</t>
        </is>
      </c>
      <c r="C288" t="inlineStr">
        <is>
          <t>West Lothian Clarion CC</t>
        </is>
      </c>
      <c r="D288" t="inlineStr">
        <is>
          <t>11</t>
        </is>
      </c>
      <c r="E288">
        <f>HYPERLINK("https://www.britishcycling.org.uk/points?person_id=75525&amp;year=2021&amp;type=national&amp;d=6","Results")</f>
        <v/>
      </c>
    </row>
    <row r="289">
      <c r="A289" t="inlineStr">
        <is>
          <t>288</t>
        </is>
      </c>
      <c r="B289" t="inlineStr">
        <is>
          <t>Alison Ford</t>
        </is>
      </c>
      <c r="C289" t="inlineStr">
        <is>
          <t>GS Vecchi</t>
        </is>
      </c>
      <c r="D289" t="inlineStr">
        <is>
          <t>11</t>
        </is>
      </c>
      <c r="E289">
        <f>HYPERLINK("https://www.britishcycling.org.uk/points?person_id=47037&amp;year=2021&amp;type=national&amp;d=6","Results")</f>
        <v/>
      </c>
    </row>
    <row r="290">
      <c r="A290" t="inlineStr">
        <is>
          <t>289</t>
        </is>
      </c>
      <c r="B290" t="inlineStr">
        <is>
          <t>Elisa McDonagh</t>
        </is>
      </c>
      <c r="C290" t="inlineStr">
        <is>
          <t>Matlock CC</t>
        </is>
      </c>
      <c r="D290" t="inlineStr">
        <is>
          <t>11</t>
        </is>
      </c>
      <c r="E290">
        <f>HYPERLINK("https://www.britishcycling.org.uk/points?person_id=120341&amp;year=2021&amp;type=national&amp;d=6","Results")</f>
        <v/>
      </c>
    </row>
    <row r="291">
      <c r="A291" t="inlineStr">
        <is>
          <t>290</t>
        </is>
      </c>
      <c r="B291" t="inlineStr">
        <is>
          <t>Alison Taylor</t>
        </is>
      </c>
      <c r="C291" t="inlineStr">
        <is>
          <t>Shibden Cycling Club</t>
        </is>
      </c>
      <c r="D291" t="inlineStr">
        <is>
          <t>11</t>
        </is>
      </c>
      <c r="E291">
        <f>HYPERLINK("https://www.britishcycling.org.uk/points?person_id=986885&amp;year=2021&amp;type=national&amp;d=6","Results")</f>
        <v/>
      </c>
    </row>
    <row r="292">
      <c r="A292" t="inlineStr">
        <is>
          <t>291</t>
        </is>
      </c>
      <c r="B292" t="inlineStr">
        <is>
          <t>Cindy Beynon</t>
        </is>
      </c>
      <c r="C292" t="inlineStr">
        <is>
          <t>ROTOR Race Team</t>
        </is>
      </c>
      <c r="D292" t="inlineStr">
        <is>
          <t>10</t>
        </is>
      </c>
      <c r="E292">
        <f>HYPERLINK("https://www.britishcycling.org.uk/points?person_id=487592&amp;year=2021&amp;type=national&amp;d=6","Results")</f>
        <v/>
      </c>
    </row>
    <row r="293">
      <c r="A293" t="inlineStr">
        <is>
          <t>292</t>
        </is>
      </c>
      <c r="B293" t="inlineStr">
        <is>
          <t>Jihanna Bonilla-Allard</t>
        </is>
      </c>
      <c r="C293" t="inlineStr">
        <is>
          <t>PMRR</t>
        </is>
      </c>
      <c r="D293" t="inlineStr">
        <is>
          <t>10</t>
        </is>
      </c>
      <c r="E293">
        <f>HYPERLINK("https://www.britishcycling.org.uk/points?person_id=767981&amp;year=2021&amp;type=national&amp;d=6","Results")</f>
        <v/>
      </c>
    </row>
    <row r="294">
      <c r="A294" t="inlineStr">
        <is>
          <t>293</t>
        </is>
      </c>
      <c r="B294" t="inlineStr">
        <is>
          <t>Clare Johnson</t>
        </is>
      </c>
      <c r="C294" t="inlineStr">
        <is>
          <t>Brighton Mitre CC</t>
        </is>
      </c>
      <c r="D294" t="inlineStr">
        <is>
          <t>10</t>
        </is>
      </c>
      <c r="E294">
        <f>HYPERLINK("https://www.britishcycling.org.uk/points?person_id=568700&amp;year=2021&amp;type=national&amp;d=6","Results")</f>
        <v/>
      </c>
    </row>
    <row r="295">
      <c r="A295" t="inlineStr">
        <is>
          <t>294</t>
        </is>
      </c>
      <c r="B295" t="inlineStr">
        <is>
          <t>Nicola McCoy</t>
        </is>
      </c>
      <c r="C295" t="inlineStr">
        <is>
          <t>Muckle Cycle Club</t>
        </is>
      </c>
      <c r="D295" t="inlineStr">
        <is>
          <t>10</t>
        </is>
      </c>
      <c r="E295">
        <f>HYPERLINK("https://www.britishcycling.org.uk/points?person_id=684240&amp;year=2021&amp;type=national&amp;d=6","Results")</f>
        <v/>
      </c>
    </row>
    <row r="296">
      <c r="A296" t="inlineStr">
        <is>
          <t>295</t>
        </is>
      </c>
      <c r="B296" t="inlineStr">
        <is>
          <t>Hannah Paice</t>
        </is>
      </c>
      <c r="C296" t="inlineStr">
        <is>
          <t>Twickenham CC</t>
        </is>
      </c>
      <c r="D296" t="inlineStr">
        <is>
          <t>10</t>
        </is>
      </c>
      <c r="E296">
        <f>HYPERLINK("https://www.britishcycling.org.uk/points?person_id=390309&amp;year=2021&amp;type=national&amp;d=6","Results")</f>
        <v/>
      </c>
    </row>
    <row r="297">
      <c r="A297" t="inlineStr">
        <is>
          <t>296</t>
        </is>
      </c>
      <c r="B297" t="inlineStr">
        <is>
          <t>Alexandra Sheehan</t>
        </is>
      </c>
      <c r="C297" t="inlineStr">
        <is>
          <t>TEKKERZ CC</t>
        </is>
      </c>
      <c r="D297" t="inlineStr">
        <is>
          <t>10</t>
        </is>
      </c>
      <c r="E297">
        <f>HYPERLINK("https://www.britishcycling.org.uk/points?person_id=101822&amp;year=2021&amp;type=national&amp;d=6","Results")</f>
        <v/>
      </c>
    </row>
    <row r="298">
      <c r="A298" t="inlineStr">
        <is>
          <t>297</t>
        </is>
      </c>
      <c r="B298" t="inlineStr">
        <is>
          <t>Dannielle Watkinson</t>
        </is>
      </c>
      <c r="C298" t="inlineStr">
        <is>
          <t>Team Watto-LDN</t>
        </is>
      </c>
      <c r="D298" t="inlineStr">
        <is>
          <t>10</t>
        </is>
      </c>
      <c r="E298">
        <f>HYPERLINK("https://www.britishcycling.org.uk/points?person_id=883687&amp;year=2021&amp;type=national&amp;d=6","Results")</f>
        <v/>
      </c>
    </row>
    <row r="299">
      <c r="A299" t="inlineStr">
        <is>
          <t>298</t>
        </is>
      </c>
      <c r="B299" t="inlineStr">
        <is>
          <t>Julia Birch</t>
        </is>
      </c>
      <c r="C299" t="inlineStr">
        <is>
          <t>Mickey Cranks CC</t>
        </is>
      </c>
      <c r="D299" t="inlineStr">
        <is>
          <t>9</t>
        </is>
      </c>
      <c r="E299">
        <f>HYPERLINK("https://www.britishcycling.org.uk/points?person_id=513163&amp;year=2021&amp;type=national&amp;d=6","Results")</f>
        <v/>
      </c>
    </row>
    <row r="300">
      <c r="A300" t="inlineStr">
        <is>
          <t>299</t>
        </is>
      </c>
      <c r="B300" t="inlineStr">
        <is>
          <t>Rebecca Fawcett</t>
        </is>
      </c>
      <c r="C300" t="inlineStr">
        <is>
          <t>Hemel Hempstead CC</t>
        </is>
      </c>
      <c r="D300" t="inlineStr">
        <is>
          <t>9</t>
        </is>
      </c>
      <c r="E300">
        <f>HYPERLINK("https://www.britishcycling.org.uk/points?person_id=585100&amp;year=2021&amp;type=national&amp;d=6","Results")</f>
        <v/>
      </c>
    </row>
    <row r="301">
      <c r="A301" t="inlineStr">
        <is>
          <t>300</t>
        </is>
      </c>
      <c r="B301" t="inlineStr">
        <is>
          <t>Caroline Goodman</t>
        </is>
      </c>
      <c r="C301" t="inlineStr">
        <is>
          <t>High Wycombe Cycling Club</t>
        </is>
      </c>
      <c r="D301" t="inlineStr">
        <is>
          <t>9</t>
        </is>
      </c>
      <c r="E301">
        <f>HYPERLINK("https://www.britishcycling.org.uk/points?person_id=832441&amp;year=2021&amp;type=national&amp;d=6","Results")</f>
        <v/>
      </c>
    </row>
    <row r="302">
      <c r="A302" t="inlineStr">
        <is>
          <t>301</t>
        </is>
      </c>
      <c r="B302" t="inlineStr">
        <is>
          <t>Georgia Lancaster</t>
        </is>
      </c>
      <c r="C302" t="inlineStr">
        <is>
          <t>Sleaford Wheelers Cycling Club</t>
        </is>
      </c>
      <c r="D302" t="inlineStr">
        <is>
          <t>9</t>
        </is>
      </c>
      <c r="E302">
        <f>HYPERLINK("https://www.britishcycling.org.uk/points?person_id=449662&amp;year=2021&amp;type=national&amp;d=6","Results")</f>
        <v/>
      </c>
    </row>
    <row r="303">
      <c r="A303" t="inlineStr">
        <is>
          <t>302</t>
        </is>
      </c>
      <c r="B303" t="inlineStr">
        <is>
          <t>Anne-Marie Lawrence</t>
        </is>
      </c>
      <c r="C303" t="inlineStr">
        <is>
          <t>Whitchurch Cycling Club</t>
        </is>
      </c>
      <c r="D303" t="inlineStr">
        <is>
          <t>9</t>
        </is>
      </c>
      <c r="E303">
        <f>HYPERLINK("https://www.britishcycling.org.uk/points?person_id=663132&amp;year=2021&amp;type=national&amp;d=6","Results")</f>
        <v/>
      </c>
    </row>
    <row r="304">
      <c r="A304" t="inlineStr">
        <is>
          <t>303</t>
        </is>
      </c>
      <c r="B304" t="inlineStr">
        <is>
          <t>Rachel Profit</t>
        </is>
      </c>
      <c r="C304" t="inlineStr">
        <is>
          <t>Clevedon &amp; District RC</t>
        </is>
      </c>
      <c r="D304" t="inlineStr">
        <is>
          <t>9</t>
        </is>
      </c>
      <c r="E304">
        <f>HYPERLINK("https://www.britishcycling.org.uk/points?person_id=879272&amp;year=2021&amp;type=national&amp;d=6","Results")</f>
        <v/>
      </c>
    </row>
    <row r="305">
      <c r="A305" t="inlineStr">
        <is>
          <t>304</t>
        </is>
      </c>
      <c r="B305" t="inlineStr">
        <is>
          <t>Zoe Allsop</t>
        </is>
      </c>
      <c r="C305" t="inlineStr">
        <is>
          <t>ROTOR Race Team</t>
        </is>
      </c>
      <c r="D305" t="inlineStr">
        <is>
          <t>8</t>
        </is>
      </c>
      <c r="E305">
        <f>HYPERLINK("https://www.britishcycling.org.uk/points?person_id=42181&amp;year=2021&amp;type=national&amp;d=6","Results")</f>
        <v/>
      </c>
    </row>
    <row r="306">
      <c r="A306" t="inlineStr">
        <is>
          <t>305</t>
        </is>
      </c>
      <c r="B306" t="inlineStr">
        <is>
          <t>Abigail Armstrong</t>
        </is>
      </c>
      <c r="C306" t="inlineStr">
        <is>
          <t>Beachy Head Cycling Club</t>
        </is>
      </c>
      <c r="D306" t="inlineStr">
        <is>
          <t>8</t>
        </is>
      </c>
      <c r="E306">
        <f>HYPERLINK("https://www.britishcycling.org.uk/points?person_id=69655&amp;year=2021&amp;type=national&amp;d=6","Results")</f>
        <v/>
      </c>
    </row>
    <row r="307">
      <c r="A307" t="inlineStr">
        <is>
          <t>306</t>
        </is>
      </c>
      <c r="B307" t="inlineStr">
        <is>
          <t>Laura Curle</t>
        </is>
      </c>
      <c r="C307" t="inlineStr">
        <is>
          <t>Avid Sport</t>
        </is>
      </c>
      <c r="D307" t="inlineStr">
        <is>
          <t>8</t>
        </is>
      </c>
      <c r="E307">
        <f>HYPERLINK("https://www.britishcycling.org.uk/points?person_id=296438&amp;year=2021&amp;type=national&amp;d=6","Results")</f>
        <v/>
      </c>
    </row>
    <row r="308">
      <c r="A308" t="inlineStr">
        <is>
          <t>307</t>
        </is>
      </c>
      <c r="B308" t="inlineStr">
        <is>
          <t>Caroline Guest</t>
        </is>
      </c>
      <c r="C308" t="inlineStr">
        <is>
          <t>Ford Cycling Club</t>
        </is>
      </c>
      <c r="D308" t="inlineStr">
        <is>
          <t>8</t>
        </is>
      </c>
      <c r="E308">
        <f>HYPERLINK("https://www.britishcycling.org.uk/points?person_id=135292&amp;year=2021&amp;type=national&amp;d=6","Results")</f>
        <v/>
      </c>
    </row>
    <row r="309">
      <c r="A309" t="inlineStr">
        <is>
          <t>308</t>
        </is>
      </c>
      <c r="B309" t="inlineStr">
        <is>
          <t>Charlotte Jackson</t>
        </is>
      </c>
      <c r="C309" t="inlineStr">
        <is>
          <t>Nice Brew Racing</t>
        </is>
      </c>
      <c r="D309" t="inlineStr">
        <is>
          <t>8</t>
        </is>
      </c>
      <c r="E309">
        <f>HYPERLINK("https://www.britishcycling.org.uk/points?person_id=274008&amp;year=2021&amp;type=national&amp;d=6","Results")</f>
        <v/>
      </c>
    </row>
    <row r="310">
      <c r="A310" t="inlineStr">
        <is>
          <t>309</t>
        </is>
      </c>
      <c r="B310" t="inlineStr">
        <is>
          <t>Paulina Mozal</t>
        </is>
      </c>
      <c r="C310" t="inlineStr">
        <is>
          <t>Chelmer CC</t>
        </is>
      </c>
      <c r="D310" t="inlineStr">
        <is>
          <t>8</t>
        </is>
      </c>
      <c r="E310">
        <f>HYPERLINK("https://www.britishcycling.org.uk/points?person_id=976936&amp;year=2021&amp;type=national&amp;d=6","Results")</f>
        <v/>
      </c>
    </row>
    <row r="311">
      <c r="A311" t="inlineStr">
        <is>
          <t>310</t>
        </is>
      </c>
      <c r="B311" t="inlineStr">
        <is>
          <t>Isabella Nott</t>
        </is>
      </c>
      <c r="C311" t="inlineStr"/>
      <c r="D311" t="inlineStr">
        <is>
          <t>8</t>
        </is>
      </c>
      <c r="E311">
        <f>HYPERLINK("https://www.britishcycling.org.uk/points?person_id=1032488&amp;year=2021&amp;type=national&amp;d=6","Results")</f>
        <v/>
      </c>
    </row>
    <row r="312">
      <c r="A312" t="inlineStr">
        <is>
          <t>311</t>
        </is>
      </c>
      <c r="B312" t="inlineStr">
        <is>
          <t>Jolene Slothouber Galbreath</t>
        </is>
      </c>
      <c r="C312" t="inlineStr">
        <is>
          <t>Pronto Bikes</t>
        </is>
      </c>
      <c r="D312" t="inlineStr">
        <is>
          <t>8</t>
        </is>
      </c>
      <c r="E312">
        <f>HYPERLINK("https://www.britishcycling.org.uk/points?person_id=950293&amp;year=2021&amp;type=national&amp;d=6","Results")</f>
        <v/>
      </c>
    </row>
    <row r="313">
      <c r="A313" t="inlineStr">
        <is>
          <t>312</t>
        </is>
      </c>
      <c r="B313" t="inlineStr">
        <is>
          <t>Tamara Walton-Evans</t>
        </is>
      </c>
      <c r="C313" t="inlineStr">
        <is>
          <t>Ynys Mon Race Team</t>
        </is>
      </c>
      <c r="D313" t="inlineStr">
        <is>
          <t>8</t>
        </is>
      </c>
      <c r="E313">
        <f>HYPERLINK("https://www.britishcycling.org.uk/points?person_id=446740&amp;year=2021&amp;type=national&amp;d=6","Results")</f>
        <v/>
      </c>
    </row>
    <row r="314">
      <c r="A314" t="inlineStr">
        <is>
          <t>313</t>
        </is>
      </c>
      <c r="B314" t="inlineStr">
        <is>
          <t>Kara Weir</t>
        </is>
      </c>
      <c r="C314" t="inlineStr">
        <is>
          <t>Peddlamaniacs Cycle Club</t>
        </is>
      </c>
      <c r="D314" t="inlineStr">
        <is>
          <t>8</t>
        </is>
      </c>
      <c r="E314">
        <f>HYPERLINK("https://www.britishcycling.org.uk/points?person_id=1021586&amp;year=2021&amp;type=national&amp;d=6","Results")</f>
        <v/>
      </c>
    </row>
    <row r="315">
      <c r="A315" t="inlineStr">
        <is>
          <t>314</t>
        </is>
      </c>
      <c r="B315" t="inlineStr">
        <is>
          <t>Erin Avill</t>
        </is>
      </c>
      <c r="C315" t="inlineStr">
        <is>
          <t>Storey Racing</t>
        </is>
      </c>
      <c r="D315" t="inlineStr">
        <is>
          <t>7</t>
        </is>
      </c>
      <c r="E315">
        <f>HYPERLINK("https://www.britishcycling.org.uk/points?person_id=234676&amp;year=2021&amp;type=national&amp;d=6","Results")</f>
        <v/>
      </c>
    </row>
    <row r="316">
      <c r="A316" t="inlineStr">
        <is>
          <t>315</t>
        </is>
      </c>
      <c r="B316" t="inlineStr">
        <is>
          <t>Rebecca Cornwell</t>
        </is>
      </c>
      <c r="C316" t="inlineStr">
        <is>
          <t>Taw Velo</t>
        </is>
      </c>
      <c r="D316" t="inlineStr">
        <is>
          <t>7</t>
        </is>
      </c>
      <c r="E316">
        <f>HYPERLINK("https://www.britishcycling.org.uk/points?person_id=308240&amp;year=2021&amp;type=national&amp;d=6","Results")</f>
        <v/>
      </c>
    </row>
    <row r="317">
      <c r="A317" t="inlineStr">
        <is>
          <t>316</t>
        </is>
      </c>
      <c r="B317" t="inlineStr">
        <is>
          <t>Charlotte Fisher</t>
        </is>
      </c>
      <c r="C317" t="inlineStr">
        <is>
          <t>Cotswold Veldrijden</t>
        </is>
      </c>
      <c r="D317" t="inlineStr">
        <is>
          <t>7</t>
        </is>
      </c>
      <c r="E317">
        <f>HYPERLINK("https://www.britishcycling.org.uk/points?person_id=612667&amp;year=2021&amp;type=national&amp;d=6","Results")</f>
        <v/>
      </c>
    </row>
    <row r="318">
      <c r="A318" t="inlineStr">
        <is>
          <t>317</t>
        </is>
      </c>
      <c r="B318" t="inlineStr">
        <is>
          <t>Gemma Hayes</t>
        </is>
      </c>
      <c r="C318" t="inlineStr">
        <is>
          <t>1904 RT</t>
        </is>
      </c>
      <c r="D318" t="inlineStr">
        <is>
          <t>7</t>
        </is>
      </c>
      <c r="E318">
        <f>HYPERLINK("https://www.britishcycling.org.uk/points?person_id=243035&amp;year=2021&amp;type=national&amp;d=6","Results")</f>
        <v/>
      </c>
    </row>
    <row r="319">
      <c r="A319" t="inlineStr">
        <is>
          <t>318</t>
        </is>
      </c>
      <c r="B319" t="inlineStr">
        <is>
          <t>Wendy Mathie</t>
        </is>
      </c>
      <c r="C319" t="inlineStr">
        <is>
          <t>Penge Cycle Club</t>
        </is>
      </c>
      <c r="D319" t="inlineStr">
        <is>
          <t>7</t>
        </is>
      </c>
      <c r="E319">
        <f>HYPERLINK("https://www.britishcycling.org.uk/points?person_id=944357&amp;year=2021&amp;type=national&amp;d=6","Results")</f>
        <v/>
      </c>
    </row>
    <row r="320">
      <c r="A320" t="inlineStr">
        <is>
          <t>319</t>
        </is>
      </c>
      <c r="B320" t="inlineStr">
        <is>
          <t>Astrid Pot</t>
        </is>
      </c>
      <c r="C320" t="inlineStr">
        <is>
          <t>Seacroft Wheelers</t>
        </is>
      </c>
      <c r="D320" t="inlineStr">
        <is>
          <t>7</t>
        </is>
      </c>
      <c r="E320">
        <f>HYPERLINK("https://www.britishcycling.org.uk/points?person_id=1002089&amp;year=2021&amp;type=national&amp;d=6","Results")</f>
        <v/>
      </c>
    </row>
    <row r="321">
      <c r="A321" t="inlineStr">
        <is>
          <t>320</t>
        </is>
      </c>
      <c r="B321" t="inlineStr">
        <is>
          <t>Alice Thomson</t>
        </is>
      </c>
      <c r="C321" t="inlineStr">
        <is>
          <t>Bristol South CC</t>
        </is>
      </c>
      <c r="D321" t="inlineStr">
        <is>
          <t>7</t>
        </is>
      </c>
      <c r="E321">
        <f>HYPERLINK("https://www.britishcycling.org.uk/points?person_id=733856&amp;year=2021&amp;type=national&amp;d=6","Results")</f>
        <v/>
      </c>
    </row>
    <row r="322">
      <c r="A322" t="inlineStr">
        <is>
          <t>321</t>
        </is>
      </c>
      <c r="B322" t="inlineStr">
        <is>
          <t>Charlotte Turner</t>
        </is>
      </c>
      <c r="C322" t="inlineStr">
        <is>
          <t>Plymouth Corinthian CC</t>
        </is>
      </c>
      <c r="D322" t="inlineStr">
        <is>
          <t>7</t>
        </is>
      </c>
      <c r="E322">
        <f>HYPERLINK("https://www.britishcycling.org.uk/points?person_id=881736&amp;year=2021&amp;type=national&amp;d=6","Results")</f>
        <v/>
      </c>
    </row>
    <row r="323">
      <c r="A323" t="inlineStr">
        <is>
          <t>322</t>
        </is>
      </c>
      <c r="B323" t="inlineStr">
        <is>
          <t>Sally Walsh</t>
        </is>
      </c>
      <c r="C323" t="inlineStr"/>
      <c r="D323" t="inlineStr">
        <is>
          <t>7</t>
        </is>
      </c>
      <c r="E323">
        <f>HYPERLINK("https://www.britishcycling.org.uk/points?person_id=987056&amp;year=2021&amp;type=national&amp;d=6","Results")</f>
        <v/>
      </c>
    </row>
    <row r="324">
      <c r="A324" t="inlineStr">
        <is>
          <t>323</t>
        </is>
      </c>
      <c r="B324" t="inlineStr">
        <is>
          <t>Catrin Brown</t>
        </is>
      </c>
      <c r="C324" t="inlineStr">
        <is>
          <t>EDCO Wheels CC</t>
        </is>
      </c>
      <c r="D324" t="inlineStr">
        <is>
          <t>6</t>
        </is>
      </c>
      <c r="E324">
        <f>HYPERLINK("https://www.britishcycling.org.uk/points?person_id=982745&amp;year=2021&amp;type=national&amp;d=6","Results")</f>
        <v/>
      </c>
    </row>
    <row r="325">
      <c r="A325" t="inlineStr">
        <is>
          <t>324</t>
        </is>
      </c>
      <c r="B325" t="inlineStr">
        <is>
          <t>Erin Corrigan</t>
        </is>
      </c>
      <c r="C325" t="inlineStr">
        <is>
          <t>Innovation Racing</t>
        </is>
      </c>
      <c r="D325" t="inlineStr">
        <is>
          <t>6</t>
        </is>
      </c>
      <c r="E325">
        <f>HYPERLINK("https://www.britishcycling.org.uk/points?person_id=196048&amp;year=2021&amp;type=national&amp;d=6","Results")</f>
        <v/>
      </c>
    </row>
    <row r="326">
      <c r="A326" t="inlineStr">
        <is>
          <t>325</t>
        </is>
      </c>
      <c r="B326" t="inlineStr">
        <is>
          <t>Laura Davies</t>
        </is>
      </c>
      <c r="C326" t="inlineStr">
        <is>
          <t>Orwell Velo</t>
        </is>
      </c>
      <c r="D326" t="inlineStr">
        <is>
          <t>6</t>
        </is>
      </c>
      <c r="E326">
        <f>HYPERLINK("https://www.britishcycling.org.uk/points?person_id=794501&amp;year=2021&amp;type=national&amp;d=6","Results")</f>
        <v/>
      </c>
    </row>
    <row r="327">
      <c r="A327" t="inlineStr">
        <is>
          <t>326</t>
        </is>
      </c>
      <c r="B327" t="inlineStr">
        <is>
          <t>Amy Harvey</t>
        </is>
      </c>
      <c r="C327" t="inlineStr">
        <is>
          <t>Verulam - reallymoving.com</t>
        </is>
      </c>
      <c r="D327" t="inlineStr">
        <is>
          <t>6</t>
        </is>
      </c>
      <c r="E327">
        <f>HYPERLINK("https://www.britishcycling.org.uk/points?person_id=649057&amp;year=2021&amp;type=national&amp;d=6","Results")</f>
        <v/>
      </c>
    </row>
    <row r="328">
      <c r="A328" t="inlineStr">
        <is>
          <t>327</t>
        </is>
      </c>
      <c r="B328" t="inlineStr">
        <is>
          <t>Rita Humphreys</t>
        </is>
      </c>
      <c r="C328" t="inlineStr">
        <is>
          <t>Coventry Cycling Club</t>
        </is>
      </c>
      <c r="D328" t="inlineStr">
        <is>
          <t>6</t>
        </is>
      </c>
      <c r="E328">
        <f>HYPERLINK("https://www.britishcycling.org.uk/points?person_id=102896&amp;year=2021&amp;type=national&amp;d=6","Results")</f>
        <v/>
      </c>
    </row>
    <row r="329">
      <c r="A329" t="inlineStr">
        <is>
          <t>328</t>
        </is>
      </c>
      <c r="B329" t="inlineStr">
        <is>
          <t>Naomi Metcalfe</t>
        </is>
      </c>
      <c r="C329" t="inlineStr">
        <is>
          <t>Army Cycling Union</t>
        </is>
      </c>
      <c r="D329" t="inlineStr">
        <is>
          <t>6</t>
        </is>
      </c>
      <c r="E329">
        <f>HYPERLINK("https://www.britishcycling.org.uk/points?person_id=924645&amp;year=2021&amp;type=national&amp;d=6","Results")</f>
        <v/>
      </c>
    </row>
    <row r="330">
      <c r="A330" t="inlineStr">
        <is>
          <t>329</t>
        </is>
      </c>
      <c r="B330" t="inlineStr">
        <is>
          <t>Abby Munro</t>
        </is>
      </c>
      <c r="C330" t="inlineStr">
        <is>
          <t>RFDA</t>
        </is>
      </c>
      <c r="D330" t="inlineStr">
        <is>
          <t>6</t>
        </is>
      </c>
      <c r="E330">
        <f>HYPERLINK("https://www.britishcycling.org.uk/points?person_id=544976&amp;year=2021&amp;type=national&amp;d=6","Results")</f>
        <v/>
      </c>
    </row>
    <row r="331">
      <c r="A331" t="inlineStr">
        <is>
          <t>330</t>
        </is>
      </c>
      <c r="B331" t="inlineStr">
        <is>
          <t>Mathilde Pauls</t>
        </is>
      </c>
      <c r="C331" t="inlineStr">
        <is>
          <t>1904 RT</t>
        </is>
      </c>
      <c r="D331" t="inlineStr">
        <is>
          <t>6</t>
        </is>
      </c>
      <c r="E331">
        <f>HYPERLINK("https://www.britishcycling.org.uk/points?person_id=31407&amp;year=2021&amp;type=national&amp;d=6","Results")</f>
        <v/>
      </c>
    </row>
    <row r="332">
      <c r="A332" t="inlineStr">
        <is>
          <t>331</t>
        </is>
      </c>
      <c r="B332" t="inlineStr">
        <is>
          <t>Maureen Sinclair</t>
        </is>
      </c>
      <c r="C332" t="inlineStr">
        <is>
          <t>MTS Cycle Sport</t>
        </is>
      </c>
      <c r="D332" t="inlineStr">
        <is>
          <t>6</t>
        </is>
      </c>
      <c r="E332">
        <f>HYPERLINK("https://www.britishcycling.org.uk/points?person_id=920767&amp;year=2021&amp;type=national&amp;d=6","Results")</f>
        <v/>
      </c>
    </row>
    <row r="333">
      <c r="A333" t="inlineStr">
        <is>
          <t>332</t>
        </is>
      </c>
      <c r="B333" t="inlineStr">
        <is>
          <t>Jackie Field</t>
        </is>
      </c>
      <c r="C333" t="inlineStr">
        <is>
          <t>Cycle Club Ashwell (CCA)</t>
        </is>
      </c>
      <c r="D333" t="inlineStr">
        <is>
          <t>5</t>
        </is>
      </c>
      <c r="E333">
        <f>HYPERLINK("https://www.britishcycling.org.uk/points?person_id=175971&amp;year=2021&amp;type=national&amp;d=6","Results")</f>
        <v/>
      </c>
    </row>
    <row r="334">
      <c r="A334" t="inlineStr">
        <is>
          <t>333</t>
        </is>
      </c>
      <c r="B334" t="inlineStr">
        <is>
          <t>Posie Forrester</t>
        </is>
      </c>
      <c r="C334" t="inlineStr">
        <is>
          <t>Cero - Cycle Division Racing Team</t>
        </is>
      </c>
      <c r="D334" t="inlineStr">
        <is>
          <t>5</t>
        </is>
      </c>
      <c r="E334">
        <f>HYPERLINK("https://www.britishcycling.org.uk/points?person_id=522391&amp;year=2021&amp;type=national&amp;d=6","Results")</f>
        <v/>
      </c>
    </row>
    <row r="335">
      <c r="A335" t="inlineStr">
        <is>
          <t>334</t>
        </is>
      </c>
      <c r="B335" t="inlineStr">
        <is>
          <t>Ellie-Mae Pledger</t>
        </is>
      </c>
      <c r="C335" t="inlineStr">
        <is>
          <t>Colchester Rovers CC</t>
        </is>
      </c>
      <c r="D335" t="inlineStr">
        <is>
          <t>5</t>
        </is>
      </c>
      <c r="E335">
        <f>HYPERLINK("https://www.britishcycling.org.uk/points?person_id=205209&amp;year=2021&amp;type=national&amp;d=6","Results")</f>
        <v/>
      </c>
    </row>
    <row r="336">
      <c r="A336" t="inlineStr">
        <is>
          <t>335</t>
        </is>
      </c>
      <c r="B336" t="inlineStr">
        <is>
          <t>Ciara Simcock</t>
        </is>
      </c>
      <c r="C336" t="inlineStr"/>
      <c r="D336" t="inlineStr">
        <is>
          <t>5</t>
        </is>
      </c>
      <c r="E336">
        <f>HYPERLINK("https://www.britishcycling.org.uk/points?person_id=611989&amp;year=2021&amp;type=national&amp;d=6","Results")</f>
        <v/>
      </c>
    </row>
    <row r="337">
      <c r="A337" t="inlineStr">
        <is>
          <t>336</t>
        </is>
      </c>
      <c r="B337" t="inlineStr">
        <is>
          <t>Emily Walton</t>
        </is>
      </c>
      <c r="C337" t="inlineStr">
        <is>
          <t>Bristol South CC</t>
        </is>
      </c>
      <c r="D337" t="inlineStr">
        <is>
          <t>5</t>
        </is>
      </c>
      <c r="E337">
        <f>HYPERLINK("https://www.britishcycling.org.uk/points?person_id=560726&amp;year=2021&amp;type=national&amp;d=6","Results")</f>
        <v/>
      </c>
    </row>
    <row r="338">
      <c r="A338" t="inlineStr">
        <is>
          <t>337</t>
        </is>
      </c>
      <c r="B338" t="inlineStr">
        <is>
          <t>Emma Andrews</t>
        </is>
      </c>
      <c r="C338" t="inlineStr">
        <is>
          <t>CC London</t>
        </is>
      </c>
      <c r="D338" t="inlineStr">
        <is>
          <t>4</t>
        </is>
      </c>
      <c r="E338">
        <f>HYPERLINK("https://www.britishcycling.org.uk/points?person_id=950024&amp;year=2021&amp;type=national&amp;d=6","Results")</f>
        <v/>
      </c>
    </row>
    <row r="339">
      <c r="A339" t="inlineStr">
        <is>
          <t>338</t>
        </is>
      </c>
      <c r="B339" t="inlineStr">
        <is>
          <t>Lauren Booth</t>
        </is>
      </c>
      <c r="C339" t="inlineStr">
        <is>
          <t>PDQ Cycle Coaching</t>
        </is>
      </c>
      <c r="D339" t="inlineStr">
        <is>
          <t>4</t>
        </is>
      </c>
      <c r="E339">
        <f>HYPERLINK("https://www.britishcycling.org.uk/points?person_id=74108&amp;year=2021&amp;type=national&amp;d=6","Results")</f>
        <v/>
      </c>
    </row>
    <row r="340">
      <c r="A340" t="inlineStr">
        <is>
          <t>339</t>
        </is>
      </c>
      <c r="B340" t="inlineStr">
        <is>
          <t>Rachel Drew</t>
        </is>
      </c>
      <c r="C340" t="inlineStr"/>
      <c r="D340" t="inlineStr">
        <is>
          <t>4</t>
        </is>
      </c>
      <c r="E340">
        <f>HYPERLINK("https://www.britishcycling.org.uk/points?person_id=989513&amp;year=2021&amp;type=national&amp;d=6","Results")</f>
        <v/>
      </c>
    </row>
    <row r="341">
      <c r="A341" t="inlineStr">
        <is>
          <t>340</t>
        </is>
      </c>
      <c r="B341" t="inlineStr">
        <is>
          <t>Rachel Hardman</t>
        </is>
      </c>
      <c r="C341" t="inlineStr">
        <is>
          <t>University of Aberdeen</t>
        </is>
      </c>
      <c r="D341" t="inlineStr">
        <is>
          <t>4</t>
        </is>
      </c>
      <c r="E341">
        <f>HYPERLINK("https://www.britishcycling.org.uk/points?person_id=963924&amp;year=2021&amp;type=national&amp;d=6","Results")</f>
        <v/>
      </c>
    </row>
    <row r="342">
      <c r="A342" t="inlineStr">
        <is>
          <t>341</t>
        </is>
      </c>
      <c r="B342" t="inlineStr">
        <is>
          <t>Eleanor Jaskowska</t>
        </is>
      </c>
      <c r="C342" t="inlineStr">
        <is>
          <t>Bristol South CC</t>
        </is>
      </c>
      <c r="D342" t="inlineStr">
        <is>
          <t>4</t>
        </is>
      </c>
      <c r="E342">
        <f>HYPERLINK("https://www.britishcycling.org.uk/points?person_id=516356&amp;year=2021&amp;type=national&amp;d=6","Results")</f>
        <v/>
      </c>
    </row>
    <row r="343">
      <c r="A343" t="inlineStr">
        <is>
          <t>342</t>
        </is>
      </c>
      <c r="B343" t="inlineStr">
        <is>
          <t>Sarah Kelman</t>
        </is>
      </c>
      <c r="C343" t="inlineStr">
        <is>
          <t>St Ives CC</t>
        </is>
      </c>
      <c r="D343" t="inlineStr">
        <is>
          <t>4</t>
        </is>
      </c>
      <c r="E343">
        <f>HYPERLINK("https://www.britishcycling.org.uk/points?person_id=661074&amp;year=2021&amp;type=national&amp;d=6","Results")</f>
        <v/>
      </c>
    </row>
    <row r="344">
      <c r="A344" t="inlineStr">
        <is>
          <t>343</t>
        </is>
      </c>
      <c r="B344" t="inlineStr">
        <is>
          <t>Rebecca Maynard</t>
        </is>
      </c>
      <c r="C344" t="inlineStr">
        <is>
          <t>Welwyn Wheelers CC</t>
        </is>
      </c>
      <c r="D344" t="inlineStr">
        <is>
          <t>4</t>
        </is>
      </c>
      <c r="E344">
        <f>HYPERLINK("https://www.britishcycling.org.uk/points?person_id=5522&amp;year=2021&amp;type=national&amp;d=6","Results")</f>
        <v/>
      </c>
    </row>
    <row r="345">
      <c r="A345" t="inlineStr">
        <is>
          <t>344</t>
        </is>
      </c>
      <c r="B345" t="inlineStr">
        <is>
          <t>Ruth Miller</t>
        </is>
      </c>
      <c r="C345" t="inlineStr">
        <is>
          <t>Ben Thomas Coaching Club</t>
        </is>
      </c>
      <c r="D345" t="inlineStr">
        <is>
          <t>4</t>
        </is>
      </c>
      <c r="E345">
        <f>HYPERLINK("https://www.britishcycling.org.uk/points?person_id=176803&amp;year=2021&amp;type=national&amp;d=6","Results")</f>
        <v/>
      </c>
    </row>
    <row r="346">
      <c r="A346" t="inlineStr">
        <is>
          <t>345</t>
        </is>
      </c>
      <c r="B346" t="inlineStr">
        <is>
          <t>Sian Rees</t>
        </is>
      </c>
      <c r="C346" t="inlineStr">
        <is>
          <t>Brixton Cycles Club</t>
        </is>
      </c>
      <c r="D346" t="inlineStr">
        <is>
          <t>4</t>
        </is>
      </c>
      <c r="E346">
        <f>HYPERLINK("https://www.britishcycling.org.uk/points?person_id=241774&amp;year=2021&amp;type=national&amp;d=6","Results")</f>
        <v/>
      </c>
    </row>
    <row r="347">
      <c r="A347" t="inlineStr">
        <is>
          <t>346</t>
        </is>
      </c>
      <c r="B347" t="inlineStr">
        <is>
          <t>Jeni Sanderson</t>
        </is>
      </c>
      <c r="C347" t="inlineStr">
        <is>
          <t>Sprockets Cycle Club</t>
        </is>
      </c>
      <c r="D347" t="inlineStr">
        <is>
          <t>4</t>
        </is>
      </c>
      <c r="E347">
        <f>HYPERLINK("https://www.britishcycling.org.uk/points?person_id=704612&amp;year=2021&amp;type=national&amp;d=6","Results")</f>
        <v/>
      </c>
    </row>
    <row r="348">
      <c r="A348" t="inlineStr">
        <is>
          <t>347</t>
        </is>
      </c>
      <c r="B348" t="inlineStr">
        <is>
          <t>Fleur Stoops</t>
        </is>
      </c>
      <c r="C348" t="inlineStr">
        <is>
          <t>Vanelli-Project Go</t>
        </is>
      </c>
      <c r="D348" t="inlineStr">
        <is>
          <t>4</t>
        </is>
      </c>
      <c r="E348">
        <f>HYPERLINK("https://www.britishcycling.org.uk/points?person_id=105136&amp;year=2021&amp;type=national&amp;d=6","Results")</f>
        <v/>
      </c>
    </row>
    <row r="349">
      <c r="A349" t="inlineStr">
        <is>
          <t>348</t>
        </is>
      </c>
      <c r="B349" t="inlineStr">
        <is>
          <t>E. Victoria Walker</t>
        </is>
      </c>
      <c r="C349" t="inlineStr"/>
      <c r="D349" t="inlineStr">
        <is>
          <t>4</t>
        </is>
      </c>
      <c r="E349">
        <f>HYPERLINK("https://www.britishcycling.org.uk/points?person_id=578615&amp;year=2021&amp;type=national&amp;d=6","Results")</f>
        <v/>
      </c>
    </row>
    <row r="350">
      <c r="A350" t="inlineStr">
        <is>
          <t>349</t>
        </is>
      </c>
      <c r="B350" t="inlineStr">
        <is>
          <t>Becky Arrowsmith</t>
        </is>
      </c>
      <c r="C350" t="inlineStr">
        <is>
          <t>Klatsch.</t>
        </is>
      </c>
      <c r="D350" t="inlineStr">
        <is>
          <t>3</t>
        </is>
      </c>
      <c r="E350">
        <f>HYPERLINK("https://www.britishcycling.org.uk/points?person_id=652074&amp;year=2021&amp;type=national&amp;d=6","Results")</f>
        <v/>
      </c>
    </row>
    <row r="351">
      <c r="A351" t="inlineStr">
        <is>
          <t>350</t>
        </is>
      </c>
      <c r="B351" t="inlineStr">
        <is>
          <t>Ellen Bennett</t>
        </is>
      </c>
      <c r="C351" t="inlineStr">
        <is>
          <t>VC Londres</t>
        </is>
      </c>
      <c r="D351" t="inlineStr">
        <is>
          <t>3</t>
        </is>
      </c>
      <c r="E351">
        <f>HYPERLINK("https://www.britishcycling.org.uk/points?person_id=330343&amp;year=2021&amp;type=national&amp;d=6","Results")</f>
        <v/>
      </c>
    </row>
    <row r="352">
      <c r="A352" t="inlineStr">
        <is>
          <t>351</t>
        </is>
      </c>
      <c r="B352" t="inlineStr">
        <is>
          <t>Lucia Bruton</t>
        </is>
      </c>
      <c r="C352" t="inlineStr">
        <is>
          <t>Saint Piran WRT</t>
        </is>
      </c>
      <c r="D352" t="inlineStr">
        <is>
          <t>3</t>
        </is>
      </c>
      <c r="E352">
        <f>HYPERLINK("https://www.britishcycling.org.uk/points?person_id=308069&amp;year=2021&amp;type=national&amp;d=6","Results")</f>
        <v/>
      </c>
    </row>
    <row r="353">
      <c r="A353" t="inlineStr">
        <is>
          <t>352</t>
        </is>
      </c>
      <c r="B353" t="inlineStr">
        <is>
          <t>Kayleigh Cooke</t>
        </is>
      </c>
      <c r="C353" t="inlineStr">
        <is>
          <t>Taw Velo</t>
        </is>
      </c>
      <c r="D353" t="inlineStr">
        <is>
          <t>3</t>
        </is>
      </c>
      <c r="E353">
        <f>HYPERLINK("https://www.britishcycling.org.uk/points?person_id=941960&amp;year=2021&amp;type=national&amp;d=6","Results")</f>
        <v/>
      </c>
    </row>
    <row r="354">
      <c r="A354" t="inlineStr">
        <is>
          <t>353</t>
        </is>
      </c>
      <c r="B354" t="inlineStr">
        <is>
          <t>Nicola Greenwood</t>
        </is>
      </c>
      <c r="C354" t="inlineStr">
        <is>
          <t>Albion Cycling Co</t>
        </is>
      </c>
      <c r="D354" t="inlineStr">
        <is>
          <t>3</t>
        </is>
      </c>
      <c r="E354">
        <f>HYPERLINK("https://www.britishcycling.org.uk/points?person_id=260209&amp;year=2021&amp;type=national&amp;d=6","Results")</f>
        <v/>
      </c>
    </row>
    <row r="355">
      <c r="A355" t="inlineStr">
        <is>
          <t>354</t>
        </is>
      </c>
      <c r="B355" t="inlineStr">
        <is>
          <t>Kimberley Halton-Farrow</t>
        </is>
      </c>
      <c r="C355" t="inlineStr">
        <is>
          <t>Drag2Zero Endura</t>
        </is>
      </c>
      <c r="D355" t="inlineStr">
        <is>
          <t>3</t>
        </is>
      </c>
      <c r="E355">
        <f>HYPERLINK("https://www.britishcycling.org.uk/points?person_id=1030269&amp;year=2021&amp;type=national&amp;d=6","Results")</f>
        <v/>
      </c>
    </row>
    <row r="356">
      <c r="A356" t="inlineStr">
        <is>
          <t>355</t>
        </is>
      </c>
      <c r="B356" t="inlineStr">
        <is>
          <t>Jenny Holl</t>
        </is>
      </c>
      <c r="C356" t="inlineStr">
        <is>
          <t>TEKKERZ CC</t>
        </is>
      </c>
      <c r="D356" t="inlineStr">
        <is>
          <t>3</t>
        </is>
      </c>
      <c r="E356">
        <f>HYPERLINK("https://www.britishcycling.org.uk/points?person_id=99665&amp;year=2021&amp;type=national&amp;d=6","Results")</f>
        <v/>
      </c>
    </row>
    <row r="357">
      <c r="A357" t="inlineStr">
        <is>
          <t>356</t>
        </is>
      </c>
      <c r="B357" t="inlineStr">
        <is>
          <t>Shona Mosley</t>
        </is>
      </c>
      <c r="C357" t="inlineStr">
        <is>
          <t>JRC-INTERFLON Race Team</t>
        </is>
      </c>
      <c r="D357" t="inlineStr">
        <is>
          <t>3</t>
        </is>
      </c>
      <c r="E357">
        <f>HYPERLINK("https://www.britishcycling.org.uk/points?person_id=300945&amp;year=2021&amp;type=national&amp;d=6","Results")</f>
        <v/>
      </c>
    </row>
    <row r="358">
      <c r="A358" t="inlineStr">
        <is>
          <t>357</t>
        </is>
      </c>
      <c r="B358" t="inlineStr">
        <is>
          <t>Helen Winton</t>
        </is>
      </c>
      <c r="C358" t="inlineStr">
        <is>
          <t>Stirling Bike Club</t>
        </is>
      </c>
      <c r="D358" t="inlineStr">
        <is>
          <t>3</t>
        </is>
      </c>
      <c r="E358">
        <f>HYPERLINK("https://www.britishcycling.org.uk/points?person_id=255001&amp;year=2021&amp;type=national&amp;d=6","Results")</f>
        <v/>
      </c>
    </row>
    <row r="359">
      <c r="A359" t="inlineStr">
        <is>
          <t>358</t>
        </is>
      </c>
      <c r="B359" t="inlineStr">
        <is>
          <t>Nadia Beeley</t>
        </is>
      </c>
      <c r="C359" t="inlineStr">
        <is>
          <t>Klatsch.</t>
        </is>
      </c>
      <c r="D359" t="inlineStr">
        <is>
          <t>2</t>
        </is>
      </c>
      <c r="E359">
        <f>HYPERLINK("https://www.britishcycling.org.uk/points?person_id=923564&amp;year=2021&amp;type=national&amp;d=6","Results")</f>
        <v/>
      </c>
    </row>
    <row r="360">
      <c r="A360" t="inlineStr">
        <is>
          <t>359</t>
        </is>
      </c>
      <c r="B360" t="inlineStr">
        <is>
          <t>Freya Butler</t>
        </is>
      </c>
      <c r="C360" t="inlineStr">
        <is>
          <t>Welwyn Wheelers CC</t>
        </is>
      </c>
      <c r="D360" t="inlineStr">
        <is>
          <t>2</t>
        </is>
      </c>
      <c r="E360">
        <f>HYPERLINK("https://www.britishcycling.org.uk/points?person_id=245083&amp;year=2021&amp;type=national&amp;d=6","Results")</f>
        <v/>
      </c>
    </row>
    <row r="361">
      <c r="A361" t="inlineStr">
        <is>
          <t>360</t>
        </is>
      </c>
      <c r="B361" t="inlineStr">
        <is>
          <t>Hannah Dale</t>
        </is>
      </c>
      <c r="C361" t="inlineStr">
        <is>
          <t>Newport Shropshire CC</t>
        </is>
      </c>
      <c r="D361" t="inlineStr">
        <is>
          <t>2</t>
        </is>
      </c>
      <c r="E361">
        <f>HYPERLINK("https://www.britishcycling.org.uk/points?person_id=283245&amp;year=2021&amp;type=national&amp;d=6","Results")</f>
        <v/>
      </c>
    </row>
    <row r="362">
      <c r="A362" t="inlineStr">
        <is>
          <t>361</t>
        </is>
      </c>
      <c r="B362" t="inlineStr">
        <is>
          <t>Amy Dunwell</t>
        </is>
      </c>
      <c r="C362" t="inlineStr">
        <is>
          <t>Clash Racing</t>
        </is>
      </c>
      <c r="D362" t="inlineStr">
        <is>
          <t>2</t>
        </is>
      </c>
      <c r="E362">
        <f>HYPERLINK("https://www.britishcycling.org.uk/points?person_id=556669&amp;year=2021&amp;type=national&amp;d=6","Results")</f>
        <v/>
      </c>
    </row>
    <row r="363">
      <c r="A363" t="inlineStr">
        <is>
          <t>362</t>
        </is>
      </c>
      <c r="B363" t="inlineStr">
        <is>
          <t>Olivia French</t>
        </is>
      </c>
      <c r="C363" t="inlineStr">
        <is>
          <t>SKODA DSI Cycling Academy</t>
        </is>
      </c>
      <c r="D363" t="inlineStr">
        <is>
          <t>2</t>
        </is>
      </c>
      <c r="E363">
        <f>HYPERLINK("https://www.britishcycling.org.uk/points?person_id=999319&amp;year=2021&amp;type=national&amp;d=6","Results")</f>
        <v/>
      </c>
    </row>
    <row r="364">
      <c r="A364" t="inlineStr">
        <is>
          <t>363</t>
        </is>
      </c>
      <c r="B364" t="inlineStr">
        <is>
          <t>Helen Goldthorpe</t>
        </is>
      </c>
      <c r="C364" t="inlineStr">
        <is>
          <t>Otley CC</t>
        </is>
      </c>
      <c r="D364" t="inlineStr">
        <is>
          <t>2</t>
        </is>
      </c>
      <c r="E364">
        <f>HYPERLINK("https://www.britishcycling.org.uk/points?person_id=199326&amp;year=2021&amp;type=national&amp;d=6","Results")</f>
        <v/>
      </c>
    </row>
    <row r="365">
      <c r="A365" t="inlineStr">
        <is>
          <t>364</t>
        </is>
      </c>
      <c r="B365" t="inlineStr">
        <is>
          <t>Marianne Heffron</t>
        </is>
      </c>
      <c r="C365" t="inlineStr">
        <is>
          <t>Matlock CC</t>
        </is>
      </c>
      <c r="D365" t="inlineStr">
        <is>
          <t>2</t>
        </is>
      </c>
      <c r="E365">
        <f>HYPERLINK("https://www.britishcycling.org.uk/points?person_id=175528&amp;year=2021&amp;type=national&amp;d=6","Results")</f>
        <v/>
      </c>
    </row>
    <row r="366">
      <c r="A366" t="inlineStr">
        <is>
          <t>365</t>
        </is>
      </c>
      <c r="B366" t="inlineStr">
        <is>
          <t>Katie Styles</t>
        </is>
      </c>
      <c r="C366" t="inlineStr">
        <is>
          <t>Brixton Cycles Club</t>
        </is>
      </c>
      <c r="D366" t="inlineStr">
        <is>
          <t>2</t>
        </is>
      </c>
      <c r="E366">
        <f>HYPERLINK("https://www.britishcycling.org.uk/points?person_id=465498&amp;year=2021&amp;type=national&amp;d=6","Results")</f>
        <v/>
      </c>
    </row>
    <row r="367">
      <c r="A367" t="inlineStr">
        <is>
          <t>366</t>
        </is>
      </c>
      <c r="B367" t="inlineStr">
        <is>
          <t>Lindsay Toy</t>
        </is>
      </c>
      <c r="C367" t="inlineStr">
        <is>
          <t>Beeston RC</t>
        </is>
      </c>
      <c r="D367" t="inlineStr">
        <is>
          <t>2</t>
        </is>
      </c>
      <c r="E367">
        <f>HYPERLINK("https://www.britishcycling.org.uk/points?person_id=463061&amp;year=2021&amp;type=national&amp;d=6","Results")</f>
        <v/>
      </c>
    </row>
    <row r="368">
      <c r="A368" t="inlineStr">
        <is>
          <t>367</t>
        </is>
      </c>
      <c r="B368" t="inlineStr">
        <is>
          <t>Monika Zamojska</t>
        </is>
      </c>
      <c r="C368" t="inlineStr">
        <is>
          <t>Brixton Cycles Club</t>
        </is>
      </c>
      <c r="D368" t="inlineStr">
        <is>
          <t>2</t>
        </is>
      </c>
      <c r="E368">
        <f>HYPERLINK("https://www.britishcycling.org.uk/points?person_id=270432&amp;year=2021&amp;type=national&amp;d=6","Results")</f>
        <v/>
      </c>
    </row>
    <row r="369">
      <c r="A369" t="inlineStr">
        <is>
          <t>368</t>
        </is>
      </c>
      <c r="B369" t="inlineStr">
        <is>
          <t>Susan Boe</t>
        </is>
      </c>
      <c r="C369" t="inlineStr">
        <is>
          <t>Royal Air Force CA</t>
        </is>
      </c>
      <c r="D369" t="inlineStr">
        <is>
          <t>1</t>
        </is>
      </c>
      <c r="E369">
        <f>HYPERLINK("https://www.britishcycling.org.uk/points?person_id=361414&amp;year=2021&amp;type=national&amp;d=6","Results")</f>
        <v/>
      </c>
    </row>
    <row r="370">
      <c r="A370" t="inlineStr">
        <is>
          <t>369</t>
        </is>
      </c>
      <c r="B370" t="inlineStr">
        <is>
          <t>Lynette Farrar</t>
        </is>
      </c>
      <c r="C370" t="inlineStr"/>
      <c r="D370" t="inlineStr">
        <is>
          <t>1</t>
        </is>
      </c>
      <c r="E370">
        <f>HYPERLINK("https://www.britishcycling.org.uk/points?person_id=1027235&amp;year=2021&amp;type=national&amp;d=6","Results")</f>
        <v/>
      </c>
    </row>
    <row r="371">
      <c r="A371" t="inlineStr">
        <is>
          <t>370</t>
        </is>
      </c>
      <c r="B371" t="inlineStr">
        <is>
          <t>Philippa Gaisford</t>
        </is>
      </c>
      <c r="C371" t="inlineStr">
        <is>
          <t>Bath Cycling Club</t>
        </is>
      </c>
      <c r="D371" t="inlineStr">
        <is>
          <t>1</t>
        </is>
      </c>
      <c r="E371">
        <f>HYPERLINK("https://www.britishcycling.org.uk/points?person_id=852497&amp;year=2021&amp;type=national&amp;d=6","Results")</f>
        <v/>
      </c>
    </row>
    <row r="372">
      <c r="A372" t="inlineStr">
        <is>
          <t>371</t>
        </is>
      </c>
      <c r="B372" t="inlineStr">
        <is>
          <t>Hannah Griffiths</t>
        </is>
      </c>
      <c r="C372" t="inlineStr">
        <is>
          <t>Sotonia CC</t>
        </is>
      </c>
      <c r="D372" t="inlineStr">
        <is>
          <t>1</t>
        </is>
      </c>
      <c r="E372">
        <f>HYPERLINK("https://www.britishcycling.org.uk/points?person_id=891214&amp;year=2021&amp;type=national&amp;d=6","Results")</f>
        <v/>
      </c>
    </row>
    <row r="373">
      <c r="A373" t="inlineStr">
        <is>
          <t>372</t>
        </is>
      </c>
      <c r="B373" t="inlineStr">
        <is>
          <t>Elise Haigh</t>
        </is>
      </c>
      <c r="C373" t="inlineStr">
        <is>
          <t>Klatsch.</t>
        </is>
      </c>
      <c r="D373" t="inlineStr">
        <is>
          <t>1</t>
        </is>
      </c>
      <c r="E373">
        <f>HYPERLINK("https://www.britishcycling.org.uk/points?person_id=776121&amp;year=2021&amp;type=national&amp;d=6","Results")</f>
        <v/>
      </c>
    </row>
    <row r="374">
      <c r="A374" t="inlineStr">
        <is>
          <t>373</t>
        </is>
      </c>
      <c r="B374" t="inlineStr">
        <is>
          <t>Katie Helsby</t>
        </is>
      </c>
      <c r="C374" t="inlineStr">
        <is>
          <t>The Racing Chance Foundation</t>
        </is>
      </c>
      <c r="D374" t="inlineStr">
        <is>
          <t>1</t>
        </is>
      </c>
      <c r="E374">
        <f>HYPERLINK("https://www.britishcycling.org.uk/points?person_id=138357&amp;year=2021&amp;type=national&amp;d=6","Results")</f>
        <v/>
      </c>
    </row>
    <row r="375">
      <c r="A375" t="inlineStr">
        <is>
          <t>374</t>
        </is>
      </c>
      <c r="B375" t="inlineStr">
        <is>
          <t>Debbie MacColl</t>
        </is>
      </c>
      <c r="C375" t="inlineStr">
        <is>
          <t>Team Milton Keynes</t>
        </is>
      </c>
      <c r="D375" t="inlineStr">
        <is>
          <t>1</t>
        </is>
      </c>
      <c r="E375">
        <f>HYPERLINK("https://www.britishcycling.org.uk/points?person_id=557687&amp;year=2021&amp;type=national&amp;d=6","Results")</f>
        <v/>
      </c>
    </row>
    <row r="376">
      <c r="A376" t="inlineStr">
        <is>
          <t>375</t>
        </is>
      </c>
      <c r="B376" t="inlineStr">
        <is>
          <t>Maggie McPhillips</t>
        </is>
      </c>
      <c r="C376" t="inlineStr">
        <is>
          <t>Stockport Clarion CC</t>
        </is>
      </c>
      <c r="D376" t="inlineStr">
        <is>
          <t>1</t>
        </is>
      </c>
      <c r="E376">
        <f>HYPERLINK("https://www.britishcycling.org.uk/points?person_id=543783&amp;year=2021&amp;type=national&amp;d=6","Results")</f>
        <v/>
      </c>
    </row>
    <row r="377">
      <c r="A377" t="inlineStr">
        <is>
          <t>376</t>
        </is>
      </c>
      <c r="B377" t="inlineStr">
        <is>
          <t>Carol Miller</t>
        </is>
      </c>
      <c r="C377" t="inlineStr">
        <is>
          <t>Cardiff JIF</t>
        </is>
      </c>
      <c r="D377" t="inlineStr">
        <is>
          <t>1</t>
        </is>
      </c>
      <c r="E377">
        <f>HYPERLINK("https://www.britishcycling.org.uk/points?person_id=9530&amp;year=2021&amp;type=national&amp;d=6","Results")</f>
        <v/>
      </c>
    </row>
    <row r="378">
      <c r="A378" t="inlineStr">
        <is>
          <t>377</t>
        </is>
      </c>
      <c r="B378" t="inlineStr">
        <is>
          <t>Madeleine Robinson</t>
        </is>
      </c>
      <c r="C378" t="inlineStr"/>
      <c r="D378" t="inlineStr">
        <is>
          <t>1</t>
        </is>
      </c>
      <c r="E378">
        <f>HYPERLINK("https://www.britishcycling.org.uk/points?person_id=6793&amp;year=2021&amp;type=national&amp;d=6","Results")</f>
        <v/>
      </c>
    </row>
    <row r="379">
      <c r="A379" t="inlineStr">
        <is>
          <t>378</t>
        </is>
      </c>
      <c r="B379" t="inlineStr">
        <is>
          <t>Victoria Smith</t>
        </is>
      </c>
      <c r="C379" t="inlineStr">
        <is>
          <t>AeroCoach</t>
        </is>
      </c>
      <c r="D379" t="inlineStr">
        <is>
          <t>1</t>
        </is>
      </c>
      <c r="E379">
        <f>HYPERLINK("https://www.britishcycling.org.uk/points?person_id=454956&amp;year=2021&amp;type=national&amp;d=6","Results")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16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Ceris Styler</t>
        </is>
      </c>
      <c r="C2" t="inlineStr">
        <is>
          <t>Backstedt Bike Performance RC</t>
        </is>
      </c>
      <c r="D2" t="inlineStr">
        <is>
          <t>574</t>
        </is>
      </c>
      <c r="E2">
        <f>HYPERLINK("https://www.britishcycling.org.uk/points?person_id=3867&amp;year=2021&amp;type=national&amp;d=6","Results")</f>
        <v/>
      </c>
    </row>
    <row r="3">
      <c r="A3" t="inlineStr">
        <is>
          <t>2</t>
        </is>
      </c>
      <c r="B3" t="inlineStr">
        <is>
          <t>Maryka Sennema</t>
        </is>
      </c>
      <c r="C3" t="inlineStr">
        <is>
          <t>Cotswold Veldrijden</t>
        </is>
      </c>
      <c r="D3" t="inlineStr">
        <is>
          <t>411</t>
        </is>
      </c>
      <c r="E3">
        <f>HYPERLINK("https://www.britishcycling.org.uk/points?person_id=31228&amp;year=2021&amp;type=national&amp;d=6","Results")</f>
        <v/>
      </c>
    </row>
    <row r="4">
      <c r="A4" t="inlineStr">
        <is>
          <t>3</t>
        </is>
      </c>
      <c r="B4" t="inlineStr">
        <is>
          <t>Lucy Siddle</t>
        </is>
      </c>
      <c r="C4" t="inlineStr">
        <is>
          <t>Reifen Racing</t>
        </is>
      </c>
      <c r="D4" t="inlineStr">
        <is>
          <t>400</t>
        </is>
      </c>
      <c r="E4">
        <f>HYPERLINK("https://www.britishcycling.org.uk/points?person_id=400718&amp;year=2021&amp;type=national&amp;d=6","Results")</f>
        <v/>
      </c>
    </row>
    <row r="5">
      <c r="A5" t="inlineStr">
        <is>
          <t>4</t>
        </is>
      </c>
      <c r="B5" t="inlineStr">
        <is>
          <t>Kate Robson</t>
        </is>
      </c>
      <c r="C5" t="inlineStr">
        <is>
          <t>Pedalon.co.uk</t>
        </is>
      </c>
      <c r="D5" t="inlineStr">
        <is>
          <t>378</t>
        </is>
      </c>
      <c r="E5">
        <f>HYPERLINK("https://www.britishcycling.org.uk/points?person_id=614714&amp;year=2021&amp;type=national&amp;d=6","Results")</f>
        <v/>
      </c>
    </row>
    <row r="6">
      <c r="A6" t="inlineStr">
        <is>
          <t>5</t>
        </is>
      </c>
      <c r="B6" t="inlineStr">
        <is>
          <t>Caroline Reuter</t>
        </is>
      </c>
      <c r="C6" t="inlineStr">
        <is>
          <t>Dulwich Paragon CC</t>
        </is>
      </c>
      <c r="D6" t="inlineStr">
        <is>
          <t>360</t>
        </is>
      </c>
      <c r="E6">
        <f>HYPERLINK("https://www.britishcycling.org.uk/points?person_id=387547&amp;year=2021&amp;type=national&amp;d=6","Results")</f>
        <v/>
      </c>
    </row>
    <row r="7">
      <c r="A7" t="inlineStr">
        <is>
          <t>6</t>
        </is>
      </c>
      <c r="B7" t="inlineStr">
        <is>
          <t>Alison Kinloch</t>
        </is>
      </c>
      <c r="C7" t="inlineStr">
        <is>
          <t>PH-MAS - Paul Milnes Cycles</t>
        </is>
      </c>
      <c r="D7" t="inlineStr">
        <is>
          <t>322</t>
        </is>
      </c>
      <c r="E7">
        <f>HYPERLINK("https://www.britishcycling.org.uk/points?person_id=180763&amp;year=2021&amp;type=national&amp;d=6","Results")</f>
        <v/>
      </c>
    </row>
    <row r="8">
      <c r="A8" t="inlineStr">
        <is>
          <t>7</t>
        </is>
      </c>
      <c r="B8" t="inlineStr">
        <is>
          <t>Karen Heppenstall</t>
        </is>
      </c>
      <c r="C8" t="inlineStr"/>
      <c r="D8" t="inlineStr">
        <is>
          <t>264</t>
        </is>
      </c>
      <c r="E8">
        <f>HYPERLINK("https://www.britishcycling.org.uk/points?person_id=116361&amp;year=2021&amp;type=national&amp;d=6","Results")</f>
        <v/>
      </c>
    </row>
    <row r="9">
      <c r="A9" t="inlineStr">
        <is>
          <t>8</t>
        </is>
      </c>
      <c r="B9" t="inlineStr">
        <is>
          <t>Lydia Brookes</t>
        </is>
      </c>
      <c r="C9" t="inlineStr">
        <is>
          <t>Les Filles Racing Team</t>
        </is>
      </c>
      <c r="D9" t="inlineStr">
        <is>
          <t>254</t>
        </is>
      </c>
      <c r="E9">
        <f>HYPERLINK("https://www.britishcycling.org.uk/points?person_id=272508&amp;year=2021&amp;type=national&amp;d=6","Results")</f>
        <v/>
      </c>
    </row>
    <row r="10">
      <c r="A10" t="inlineStr">
        <is>
          <t>9</t>
        </is>
      </c>
      <c r="B10" t="inlineStr">
        <is>
          <t>Kate Eedy</t>
        </is>
      </c>
      <c r="C10" t="inlineStr">
        <is>
          <t>Team Empella Cyclo-Cross.Com</t>
        </is>
      </c>
      <c r="D10" t="inlineStr">
        <is>
          <t>236</t>
        </is>
      </c>
      <c r="E10">
        <f>HYPERLINK("https://www.britishcycling.org.uk/points?person_id=23987&amp;year=2021&amp;type=national&amp;d=6","Results")</f>
        <v/>
      </c>
    </row>
    <row r="11">
      <c r="A11" t="inlineStr">
        <is>
          <t>10</t>
        </is>
      </c>
      <c r="B11" t="inlineStr">
        <is>
          <t>Deborah Smith</t>
        </is>
      </c>
      <c r="C11" t="inlineStr">
        <is>
          <t>Nova Race Team</t>
        </is>
      </c>
      <c r="D11" t="inlineStr">
        <is>
          <t>218</t>
        </is>
      </c>
      <c r="E11">
        <f>HYPERLINK("https://www.britishcycling.org.uk/points?person_id=643247&amp;year=2021&amp;type=national&amp;d=6","Results")</f>
        <v/>
      </c>
    </row>
    <row r="12">
      <c r="A12" t="inlineStr">
        <is>
          <t>11</t>
        </is>
      </c>
      <c r="B12" t="inlineStr">
        <is>
          <t>Celia Brown</t>
        </is>
      </c>
      <c r="C12" t="inlineStr">
        <is>
          <t>Beacon Roads CC</t>
        </is>
      </c>
      <c r="D12" t="inlineStr">
        <is>
          <t>217</t>
        </is>
      </c>
      <c r="E12">
        <f>HYPERLINK("https://www.britishcycling.org.uk/points?person_id=35533&amp;year=2021&amp;type=national&amp;d=6","Results")</f>
        <v/>
      </c>
    </row>
    <row r="13">
      <c r="A13" t="inlineStr">
        <is>
          <t>12</t>
        </is>
      </c>
      <c r="B13" t="inlineStr">
        <is>
          <t>Tracy Bremner</t>
        </is>
      </c>
      <c r="C13" t="inlineStr">
        <is>
          <t>Pedalon.co.uk</t>
        </is>
      </c>
      <c r="D13" t="inlineStr">
        <is>
          <t>210</t>
        </is>
      </c>
      <c r="E13">
        <f>HYPERLINK("https://www.britishcycling.org.uk/points?person_id=336093&amp;year=2021&amp;type=national&amp;d=6","Results")</f>
        <v/>
      </c>
    </row>
    <row r="14">
      <c r="A14" t="inlineStr">
        <is>
          <t>13</t>
        </is>
      </c>
      <c r="B14" t="inlineStr">
        <is>
          <t>Hannah Quay</t>
        </is>
      </c>
      <c r="C14" t="inlineStr">
        <is>
          <t>Reading CC</t>
        </is>
      </c>
      <c r="D14" t="inlineStr">
        <is>
          <t>159</t>
        </is>
      </c>
      <c r="E14">
        <f>HYPERLINK("https://www.britishcycling.org.uk/points?person_id=850579&amp;year=2021&amp;type=national&amp;d=6","Results")</f>
        <v/>
      </c>
    </row>
    <row r="15">
      <c r="A15" t="inlineStr">
        <is>
          <t>14</t>
        </is>
      </c>
      <c r="B15" t="inlineStr">
        <is>
          <t>Natalie Jenks</t>
        </is>
      </c>
      <c r="C15" t="inlineStr">
        <is>
          <t>Morvelo Magspeed Racing</t>
        </is>
      </c>
      <c r="D15" t="inlineStr">
        <is>
          <t>154</t>
        </is>
      </c>
      <c r="E15">
        <f>HYPERLINK("https://www.britishcycling.org.uk/points?person_id=870930&amp;year=2021&amp;type=national&amp;d=6","Results")</f>
        <v/>
      </c>
    </row>
    <row r="16">
      <c r="A16" t="inlineStr">
        <is>
          <t>15</t>
        </is>
      </c>
      <c r="B16" t="inlineStr">
        <is>
          <t>Jennifer Andrews</t>
        </is>
      </c>
      <c r="C16" t="inlineStr">
        <is>
          <t>1904 RT</t>
        </is>
      </c>
      <c r="D16" t="inlineStr">
        <is>
          <t>138</t>
        </is>
      </c>
      <c r="E16">
        <f>HYPERLINK("https://www.britishcycling.org.uk/points?person_id=439182&amp;year=2021&amp;type=national&amp;d=6","Results")</f>
        <v/>
      </c>
    </row>
    <row r="17">
      <c r="A17" t="inlineStr">
        <is>
          <t>16</t>
        </is>
      </c>
      <c r="B17" t="inlineStr">
        <is>
          <t>Laura Lawson</t>
        </is>
      </c>
      <c r="C17" t="inlineStr">
        <is>
          <t>Velobants.cc</t>
        </is>
      </c>
      <c r="D17" t="inlineStr">
        <is>
          <t>128</t>
        </is>
      </c>
      <c r="E17">
        <f>HYPERLINK("https://www.britishcycling.org.uk/points?person_id=130359&amp;year=2021&amp;type=national&amp;d=6","Results")</f>
        <v/>
      </c>
    </row>
    <row r="18">
      <c r="A18" t="inlineStr">
        <is>
          <t>17</t>
        </is>
      </c>
      <c r="B18" t="inlineStr">
        <is>
          <t>Donna Short</t>
        </is>
      </c>
      <c r="C18" t="inlineStr">
        <is>
          <t>Cotswold Veldrijden</t>
        </is>
      </c>
      <c r="D18" t="inlineStr">
        <is>
          <t>123</t>
        </is>
      </c>
      <c r="E18">
        <f>HYPERLINK("https://www.britishcycling.org.uk/points?person_id=98988&amp;year=2021&amp;type=national&amp;d=6","Results")</f>
        <v/>
      </c>
    </row>
    <row r="19">
      <c r="A19" t="inlineStr">
        <is>
          <t>18</t>
        </is>
      </c>
      <c r="B19" t="inlineStr">
        <is>
          <t>Fran Whyte</t>
        </is>
      </c>
      <c r="C19" t="inlineStr">
        <is>
          <t>Velobants.cc</t>
        </is>
      </c>
      <c r="D19" t="inlineStr">
        <is>
          <t>122</t>
        </is>
      </c>
      <c r="E19">
        <f>HYPERLINK("https://www.britishcycling.org.uk/points?person_id=262068&amp;year=2021&amp;type=national&amp;d=6","Results")</f>
        <v/>
      </c>
    </row>
    <row r="20">
      <c r="A20" t="inlineStr">
        <is>
          <t>19</t>
        </is>
      </c>
      <c r="B20" t="inlineStr">
        <is>
          <t>Gail Dillon</t>
        </is>
      </c>
      <c r="C20" t="inlineStr">
        <is>
          <t>Shibden Cycling Club</t>
        </is>
      </c>
      <c r="D20" t="inlineStr">
        <is>
          <t>113</t>
        </is>
      </c>
      <c r="E20">
        <f>HYPERLINK("https://www.britishcycling.org.uk/points?person_id=1025023&amp;year=2021&amp;type=national&amp;d=6","Results")</f>
        <v/>
      </c>
    </row>
    <row r="21">
      <c r="A21" t="inlineStr">
        <is>
          <t>20</t>
        </is>
      </c>
      <c r="B21" t="inlineStr">
        <is>
          <t>Melanie Annable</t>
        </is>
      </c>
      <c r="C21" t="inlineStr">
        <is>
          <t>Allen Valley Velo</t>
        </is>
      </c>
      <c r="D21" t="inlineStr">
        <is>
          <t>109</t>
        </is>
      </c>
      <c r="E21">
        <f>HYPERLINK("https://www.britishcycling.org.uk/points?person_id=527440&amp;year=2021&amp;type=national&amp;d=6","Results")</f>
        <v/>
      </c>
    </row>
    <row r="22">
      <c r="A22" t="inlineStr">
        <is>
          <t>21</t>
        </is>
      </c>
      <c r="B22" t="inlineStr">
        <is>
          <t>Becky Robertson</t>
        </is>
      </c>
      <c r="C22" t="inlineStr">
        <is>
          <t>EpicOrange Race Team</t>
        </is>
      </c>
      <c r="D22" t="inlineStr">
        <is>
          <t>100</t>
        </is>
      </c>
      <c r="E22">
        <f>HYPERLINK("https://www.britishcycling.org.uk/points?person_id=750254&amp;year=2021&amp;type=national&amp;d=6","Results")</f>
        <v/>
      </c>
    </row>
    <row r="23">
      <c r="A23" t="inlineStr">
        <is>
          <t>22</t>
        </is>
      </c>
      <c r="B23" t="inlineStr">
        <is>
          <t>Michelle Paget</t>
        </is>
      </c>
      <c r="C23" t="inlineStr">
        <is>
          <t>Peddlamaniacs Cycle Club</t>
        </is>
      </c>
      <c r="D23" t="inlineStr">
        <is>
          <t>98</t>
        </is>
      </c>
      <c r="E23">
        <f>HYPERLINK("https://www.britishcycling.org.uk/points?person_id=98016&amp;year=2021&amp;type=national&amp;d=6","Results")</f>
        <v/>
      </c>
    </row>
    <row r="24">
      <c r="A24" t="inlineStr">
        <is>
          <t>23</t>
        </is>
      </c>
      <c r="B24" t="inlineStr">
        <is>
          <t>Emma Porter</t>
        </is>
      </c>
      <c r="C24" t="inlineStr">
        <is>
          <t>Penge Cycle Club</t>
        </is>
      </c>
      <c r="D24" t="inlineStr">
        <is>
          <t>93</t>
        </is>
      </c>
      <c r="E24">
        <f>HYPERLINK("https://www.britishcycling.org.uk/points?person_id=430826&amp;year=2021&amp;type=national&amp;d=6","Results")</f>
        <v/>
      </c>
    </row>
    <row r="25">
      <c r="A25" t="inlineStr">
        <is>
          <t>24</t>
        </is>
      </c>
      <c r="B25" t="inlineStr">
        <is>
          <t>Ruth Taylor</t>
        </is>
      </c>
      <c r="C25" t="inlineStr">
        <is>
          <t>Element Cycling Team</t>
        </is>
      </c>
      <c r="D25" t="inlineStr">
        <is>
          <t>93</t>
        </is>
      </c>
      <c r="E25">
        <f>HYPERLINK("https://www.britishcycling.org.uk/points?person_id=139134&amp;year=2021&amp;type=national&amp;d=6","Results")</f>
        <v/>
      </c>
    </row>
    <row r="26">
      <c r="A26" t="inlineStr">
        <is>
          <t>25</t>
        </is>
      </c>
      <c r="B26" t="inlineStr">
        <is>
          <t>Steph Rorke</t>
        </is>
      </c>
      <c r="C26" t="inlineStr">
        <is>
          <t>Cotswold Veldrijden</t>
        </is>
      </c>
      <c r="D26" t="inlineStr">
        <is>
          <t>85</t>
        </is>
      </c>
      <c r="E26">
        <f>HYPERLINK("https://www.britishcycling.org.uk/points?person_id=847627&amp;year=2021&amp;type=national&amp;d=6","Results")</f>
        <v/>
      </c>
    </row>
    <row r="27">
      <c r="A27" t="inlineStr">
        <is>
          <t>26</t>
        </is>
      </c>
      <c r="B27" t="inlineStr">
        <is>
          <t>Louise Wainwright</t>
        </is>
      </c>
      <c r="C27" t="inlineStr">
        <is>
          <t>Bolsover &amp; District Cycling Club</t>
        </is>
      </c>
      <c r="D27" t="inlineStr">
        <is>
          <t>80</t>
        </is>
      </c>
      <c r="E27">
        <f>HYPERLINK("https://www.britishcycling.org.uk/points?person_id=15656&amp;year=2021&amp;type=national&amp;d=6","Results")</f>
        <v/>
      </c>
    </row>
    <row r="28">
      <c r="A28" t="inlineStr">
        <is>
          <t>27</t>
        </is>
      </c>
      <c r="B28" t="inlineStr">
        <is>
          <t>Lynsey Whitley</t>
        </is>
      </c>
      <c r="C28" t="inlineStr">
        <is>
          <t>Chester RC</t>
        </is>
      </c>
      <c r="D28" t="inlineStr">
        <is>
          <t>77</t>
        </is>
      </c>
      <c r="E28">
        <f>HYPERLINK("https://www.britishcycling.org.uk/points?person_id=411912&amp;year=2021&amp;type=national&amp;d=6","Results")</f>
        <v/>
      </c>
    </row>
    <row r="29">
      <c r="A29" t="inlineStr">
        <is>
          <t>28</t>
        </is>
      </c>
      <c r="B29" t="inlineStr">
        <is>
          <t>Caroline Cunningham</t>
        </is>
      </c>
      <c r="C29" t="inlineStr">
        <is>
          <t>North Tyneside Riders</t>
        </is>
      </c>
      <c r="D29" t="inlineStr">
        <is>
          <t>75</t>
        </is>
      </c>
      <c r="E29">
        <f>HYPERLINK("https://www.britishcycling.org.uk/points?person_id=524130&amp;year=2021&amp;type=national&amp;d=6","Results")</f>
        <v/>
      </c>
    </row>
    <row r="30">
      <c r="A30" t="inlineStr">
        <is>
          <t>29</t>
        </is>
      </c>
      <c r="B30" t="inlineStr">
        <is>
          <t>Emma Bexson</t>
        </is>
      </c>
      <c r="C30" t="inlineStr">
        <is>
          <t>Stratford CC</t>
        </is>
      </c>
      <c r="D30" t="inlineStr">
        <is>
          <t>71</t>
        </is>
      </c>
      <c r="E30">
        <f>HYPERLINK("https://www.britishcycling.org.uk/points?person_id=189726&amp;year=2021&amp;type=national&amp;d=6","Results")</f>
        <v/>
      </c>
    </row>
    <row r="31">
      <c r="A31" t="inlineStr">
        <is>
          <t>30</t>
        </is>
      </c>
      <c r="B31" t="inlineStr">
        <is>
          <t>Saffron Pineger</t>
        </is>
      </c>
      <c r="C31" t="inlineStr">
        <is>
          <t>Brixton Cycles Club</t>
        </is>
      </c>
      <c r="D31" t="inlineStr">
        <is>
          <t>64</t>
        </is>
      </c>
      <c r="E31">
        <f>HYPERLINK("https://www.britishcycling.org.uk/points?person_id=652064&amp;year=2021&amp;type=national&amp;d=6","Results")</f>
        <v/>
      </c>
    </row>
    <row r="32">
      <c r="A32" t="inlineStr">
        <is>
          <t>31</t>
        </is>
      </c>
      <c r="B32" t="inlineStr">
        <is>
          <t>Lucy Williams</t>
        </is>
      </c>
      <c r="C32" t="inlineStr">
        <is>
          <t>Crawley Wheelers Race Team</t>
        </is>
      </c>
      <c r="D32" t="inlineStr">
        <is>
          <t>60</t>
        </is>
      </c>
      <c r="E32">
        <f>HYPERLINK("https://www.britishcycling.org.uk/points?person_id=676225&amp;year=2021&amp;type=national&amp;d=6","Results")</f>
        <v/>
      </c>
    </row>
    <row r="33">
      <c r="A33" t="inlineStr">
        <is>
          <t>32</t>
        </is>
      </c>
      <c r="B33" t="inlineStr">
        <is>
          <t>Julia Behnsen</t>
        </is>
      </c>
      <c r="C33" t="inlineStr">
        <is>
          <t>Port Sunlight Whls CC</t>
        </is>
      </c>
      <c r="D33" t="inlineStr">
        <is>
          <t>59</t>
        </is>
      </c>
      <c r="E33">
        <f>HYPERLINK("https://www.britishcycling.org.uk/points?person_id=527263&amp;year=2021&amp;type=national&amp;d=6","Results")</f>
        <v/>
      </c>
    </row>
    <row r="34">
      <c r="A34" t="inlineStr">
        <is>
          <t>33</t>
        </is>
      </c>
      <c r="B34" t="inlineStr">
        <is>
          <t>Nikola Matthews</t>
        </is>
      </c>
      <c r="C34" t="inlineStr">
        <is>
          <t>Shibden Cycling Club</t>
        </is>
      </c>
      <c r="D34" t="inlineStr">
        <is>
          <t>59</t>
        </is>
      </c>
      <c r="E34">
        <f>HYPERLINK("https://www.britishcycling.org.uk/points?person_id=104952&amp;year=2021&amp;type=national&amp;d=6","Results")</f>
        <v/>
      </c>
    </row>
    <row r="35">
      <c r="A35" t="inlineStr">
        <is>
          <t>34</t>
        </is>
      </c>
      <c r="B35" t="inlineStr">
        <is>
          <t>Sian Tovey</t>
        </is>
      </c>
      <c r="C35" t="inlineStr">
        <is>
          <t>dooleys cycles</t>
        </is>
      </c>
      <c r="D35" t="inlineStr">
        <is>
          <t>58</t>
        </is>
      </c>
      <c r="E35">
        <f>HYPERLINK("https://www.britishcycling.org.uk/points?person_id=71413&amp;year=2021&amp;type=national&amp;d=6","Results")</f>
        <v/>
      </c>
    </row>
    <row r="36">
      <c r="A36" t="inlineStr">
        <is>
          <t>35</t>
        </is>
      </c>
      <c r="B36" t="inlineStr">
        <is>
          <t>Alicia Lisle</t>
        </is>
      </c>
      <c r="C36" t="inlineStr">
        <is>
          <t>Team Empella Cyclo-Cross.Com</t>
        </is>
      </c>
      <c r="D36" t="inlineStr">
        <is>
          <t>55</t>
        </is>
      </c>
      <c r="E36">
        <f>HYPERLINK("https://www.britishcycling.org.uk/points?person_id=497812&amp;year=2021&amp;type=national&amp;d=6","Results")</f>
        <v/>
      </c>
    </row>
    <row r="37">
      <c r="A37" t="inlineStr">
        <is>
          <t>36</t>
        </is>
      </c>
      <c r="B37" t="inlineStr">
        <is>
          <t>Jo Malpass</t>
        </is>
      </c>
      <c r="C37" t="inlineStr">
        <is>
          <t>Sprockets Cycle Club</t>
        </is>
      </c>
      <c r="D37" t="inlineStr">
        <is>
          <t>55</t>
        </is>
      </c>
      <c r="E37">
        <f>HYPERLINK("https://www.britishcycling.org.uk/points?person_id=277779&amp;year=2021&amp;type=national&amp;d=6","Results")</f>
        <v/>
      </c>
    </row>
    <row r="38">
      <c r="A38" t="inlineStr">
        <is>
          <t>37</t>
        </is>
      </c>
      <c r="B38" t="inlineStr">
        <is>
          <t>Emily Smith</t>
        </is>
      </c>
      <c r="C38" t="inlineStr"/>
      <c r="D38" t="inlineStr">
        <is>
          <t>52</t>
        </is>
      </c>
      <c r="E38">
        <f>HYPERLINK("https://www.britishcycling.org.uk/points?person_id=380645&amp;year=2021&amp;type=national&amp;d=6","Results")</f>
        <v/>
      </c>
    </row>
    <row r="39">
      <c r="A39" t="inlineStr">
        <is>
          <t>38</t>
        </is>
      </c>
      <c r="B39" t="inlineStr">
        <is>
          <t>Caroline Goward</t>
        </is>
      </c>
      <c r="C39" t="inlineStr">
        <is>
          <t>GS Vecchi</t>
        </is>
      </c>
      <c r="D39" t="inlineStr">
        <is>
          <t>51</t>
        </is>
      </c>
      <c r="E39">
        <f>HYPERLINK("https://www.britishcycling.org.uk/points?person_id=41795&amp;year=2021&amp;type=national&amp;d=6","Results")</f>
        <v/>
      </c>
    </row>
    <row r="40">
      <c r="A40" t="inlineStr">
        <is>
          <t>39</t>
        </is>
      </c>
      <c r="B40" t="inlineStr">
        <is>
          <t>Lindsay Newman</t>
        </is>
      </c>
      <c r="C40" t="inlineStr">
        <is>
          <t>Pedal Power Loughborough</t>
        </is>
      </c>
      <c r="D40" t="inlineStr">
        <is>
          <t>50</t>
        </is>
      </c>
      <c r="E40">
        <f>HYPERLINK("https://www.britishcycling.org.uk/points?person_id=334954&amp;year=2021&amp;type=national&amp;d=6","Results")</f>
        <v/>
      </c>
    </row>
    <row r="41">
      <c r="A41" t="inlineStr">
        <is>
          <t>40</t>
        </is>
      </c>
      <c r="B41" t="inlineStr">
        <is>
          <t>Emma Payne</t>
        </is>
      </c>
      <c r="C41" t="inlineStr">
        <is>
          <t>Bolsover &amp; District Cycling Club</t>
        </is>
      </c>
      <c r="D41" t="inlineStr">
        <is>
          <t>50</t>
        </is>
      </c>
      <c r="E41">
        <f>HYPERLINK("https://www.britishcycling.org.uk/points?person_id=70779&amp;year=2021&amp;type=national&amp;d=6","Results")</f>
        <v/>
      </c>
    </row>
    <row r="42">
      <c r="A42" t="inlineStr">
        <is>
          <t>41</t>
        </is>
      </c>
      <c r="B42" t="inlineStr">
        <is>
          <t>Zoe Allsop</t>
        </is>
      </c>
      <c r="C42" t="inlineStr">
        <is>
          <t>ROTOR Race Team</t>
        </is>
      </c>
      <c r="D42" t="inlineStr">
        <is>
          <t>49</t>
        </is>
      </c>
      <c r="E42">
        <f>HYPERLINK("https://www.britishcycling.org.uk/points?person_id=42181&amp;year=2021&amp;type=national&amp;d=6","Results")</f>
        <v/>
      </c>
    </row>
    <row r="43">
      <c r="A43" t="inlineStr">
        <is>
          <t>42</t>
        </is>
      </c>
      <c r="B43" t="inlineStr">
        <is>
          <t>Donna Goodwin</t>
        </is>
      </c>
      <c r="C43" t="inlineStr">
        <is>
          <t>Louth Cycle Centre RT</t>
        </is>
      </c>
      <c r="D43" t="inlineStr">
        <is>
          <t>48</t>
        </is>
      </c>
      <c r="E43">
        <f>HYPERLINK("https://www.britishcycling.org.uk/points?person_id=423791&amp;year=2021&amp;type=national&amp;d=6","Results")</f>
        <v/>
      </c>
    </row>
    <row r="44">
      <c r="A44" t="inlineStr">
        <is>
          <t>43</t>
        </is>
      </c>
      <c r="B44" t="inlineStr">
        <is>
          <t>Helen Jackson</t>
        </is>
      </c>
      <c r="C44" t="inlineStr">
        <is>
          <t>Kendal Cycle Club</t>
        </is>
      </c>
      <c r="D44" t="inlineStr">
        <is>
          <t>48</t>
        </is>
      </c>
      <c r="E44">
        <f>HYPERLINK("https://www.britishcycling.org.uk/points?person_id=74479&amp;year=2021&amp;type=national&amp;d=6","Results")</f>
        <v/>
      </c>
    </row>
    <row r="45">
      <c r="A45" t="inlineStr">
        <is>
          <t>44</t>
        </is>
      </c>
      <c r="B45" t="inlineStr">
        <is>
          <t>Nicola Powell</t>
        </is>
      </c>
      <c r="C45" t="inlineStr">
        <is>
          <t>Fast Test Racing Team</t>
        </is>
      </c>
      <c r="D45" t="inlineStr">
        <is>
          <t>48</t>
        </is>
      </c>
      <c r="E45">
        <f>HYPERLINK("https://www.britishcycling.org.uk/points?person_id=506772&amp;year=2021&amp;type=national&amp;d=6","Results")</f>
        <v/>
      </c>
    </row>
    <row r="46">
      <c r="A46" t="inlineStr">
        <is>
          <t>45</t>
        </is>
      </c>
      <c r="B46" t="inlineStr">
        <is>
          <t>Helen Nicholls</t>
        </is>
      </c>
      <c r="C46" t="inlineStr">
        <is>
          <t>Valkyrie Race Team</t>
        </is>
      </c>
      <c r="D46" t="inlineStr">
        <is>
          <t>47</t>
        </is>
      </c>
      <c r="E46">
        <f>HYPERLINK("https://www.britishcycling.org.uk/points?person_id=242387&amp;year=2021&amp;type=national&amp;d=6","Results")</f>
        <v/>
      </c>
    </row>
    <row r="47">
      <c r="A47" t="inlineStr">
        <is>
          <t>46</t>
        </is>
      </c>
      <c r="B47" t="inlineStr">
        <is>
          <t>Suzanne Warren</t>
        </is>
      </c>
      <c r="C47" t="inlineStr">
        <is>
          <t>Cardiff Ajax CC</t>
        </is>
      </c>
      <c r="D47" t="inlineStr">
        <is>
          <t>47</t>
        </is>
      </c>
      <c r="E47">
        <f>HYPERLINK("https://www.britishcycling.org.uk/points?person_id=105889&amp;year=2021&amp;type=national&amp;d=6","Results")</f>
        <v/>
      </c>
    </row>
    <row r="48">
      <c r="A48" t="inlineStr">
        <is>
          <t>47</t>
        </is>
      </c>
      <c r="B48" t="inlineStr">
        <is>
          <t>Melanie Paddington</t>
        </is>
      </c>
      <c r="C48" t="inlineStr">
        <is>
          <t>Newdales Cycles RT</t>
        </is>
      </c>
      <c r="D48" t="inlineStr">
        <is>
          <t>43</t>
        </is>
      </c>
      <c r="E48">
        <f>HYPERLINK("https://www.britishcycling.org.uk/points?person_id=198717&amp;year=2021&amp;type=national&amp;d=6","Results")</f>
        <v/>
      </c>
    </row>
    <row r="49">
      <c r="A49" t="inlineStr">
        <is>
          <t>48</t>
        </is>
      </c>
      <c r="B49" t="inlineStr">
        <is>
          <t>Lisa Addis</t>
        </is>
      </c>
      <c r="C49" t="inlineStr">
        <is>
          <t>Morvelo Magspeed Racing</t>
        </is>
      </c>
      <c r="D49" t="inlineStr">
        <is>
          <t>40</t>
        </is>
      </c>
      <c r="E49">
        <f>HYPERLINK("https://www.britishcycling.org.uk/points?person_id=992722&amp;year=2021&amp;type=national&amp;d=6","Results")</f>
        <v/>
      </c>
    </row>
    <row r="50">
      <c r="A50" t="inlineStr">
        <is>
          <t>49</t>
        </is>
      </c>
      <c r="B50" t="inlineStr">
        <is>
          <t>Joanne Howes</t>
        </is>
      </c>
      <c r="C50" t="inlineStr">
        <is>
          <t>Sleaford Wheelers Cycling Club</t>
        </is>
      </c>
      <c r="D50" t="inlineStr">
        <is>
          <t>40</t>
        </is>
      </c>
      <c r="E50">
        <f>HYPERLINK("https://www.britishcycling.org.uk/points?person_id=751391&amp;year=2021&amp;type=national&amp;d=6","Results")</f>
        <v/>
      </c>
    </row>
    <row r="51">
      <c r="A51" t="inlineStr">
        <is>
          <t>50</t>
        </is>
      </c>
      <c r="B51" t="inlineStr">
        <is>
          <t>Heidi Blunden</t>
        </is>
      </c>
      <c r="C51" t="inlineStr">
        <is>
          <t>73Degrees CC</t>
        </is>
      </c>
      <c r="D51" t="inlineStr">
        <is>
          <t>39</t>
        </is>
      </c>
      <c r="E51">
        <f>HYPERLINK("https://www.britishcycling.org.uk/points?person_id=261788&amp;year=2021&amp;type=national&amp;d=6","Results")</f>
        <v/>
      </c>
    </row>
    <row r="52">
      <c r="A52" t="inlineStr">
        <is>
          <t>51</t>
        </is>
      </c>
      <c r="B52" t="inlineStr">
        <is>
          <t>Victoria Strila</t>
        </is>
      </c>
      <c r="C52" t="inlineStr">
        <is>
          <t>TW1 Racing</t>
        </is>
      </c>
      <c r="D52" t="inlineStr">
        <is>
          <t>39</t>
        </is>
      </c>
      <c r="E52">
        <f>HYPERLINK("https://www.britishcycling.org.uk/points?person_id=202214&amp;year=2021&amp;type=national&amp;d=6","Results")</f>
        <v/>
      </c>
    </row>
    <row r="53">
      <c r="A53" t="inlineStr">
        <is>
          <t>52</t>
        </is>
      </c>
      <c r="B53" t="inlineStr">
        <is>
          <t>Roslynn Newman</t>
        </is>
      </c>
      <c r="C53" t="inlineStr">
        <is>
          <t>Edinburgh RC</t>
        </is>
      </c>
      <c r="D53" t="inlineStr">
        <is>
          <t>36</t>
        </is>
      </c>
      <c r="E53">
        <f>HYPERLINK("https://www.britishcycling.org.uk/points?person_id=169275&amp;year=2021&amp;type=national&amp;d=6","Results")</f>
        <v/>
      </c>
    </row>
    <row r="54">
      <c r="A54" t="inlineStr">
        <is>
          <t>53</t>
        </is>
      </c>
      <c r="B54" t="inlineStr">
        <is>
          <t>Elisa McDonagh</t>
        </is>
      </c>
      <c r="C54" t="inlineStr">
        <is>
          <t>Matlock CC</t>
        </is>
      </c>
      <c r="D54" t="inlineStr">
        <is>
          <t>33</t>
        </is>
      </c>
      <c r="E54">
        <f>HYPERLINK("https://www.britishcycling.org.uk/points?person_id=120341&amp;year=2021&amp;type=national&amp;d=6","Results")</f>
        <v/>
      </c>
    </row>
    <row r="55">
      <c r="A55" t="inlineStr">
        <is>
          <t>54</t>
        </is>
      </c>
      <c r="B55" t="inlineStr">
        <is>
          <t>Rachel Drew</t>
        </is>
      </c>
      <c r="C55" t="inlineStr"/>
      <c r="D55" t="inlineStr">
        <is>
          <t>32</t>
        </is>
      </c>
      <c r="E55">
        <f>HYPERLINK("https://www.britishcycling.org.uk/points?person_id=989513&amp;year=2021&amp;type=national&amp;d=6","Results")</f>
        <v/>
      </c>
    </row>
    <row r="56">
      <c r="A56" t="inlineStr">
        <is>
          <t>55</t>
        </is>
      </c>
      <c r="B56" t="inlineStr">
        <is>
          <t>Helen Gorman</t>
        </is>
      </c>
      <c r="C56" t="inlineStr">
        <is>
          <t>Stirling Bike Club</t>
        </is>
      </c>
      <c r="D56" t="inlineStr">
        <is>
          <t>32</t>
        </is>
      </c>
      <c r="E56">
        <f>HYPERLINK("https://www.britishcycling.org.uk/points?person_id=308583&amp;year=2021&amp;type=national&amp;d=6","Results")</f>
        <v/>
      </c>
    </row>
    <row r="57">
      <c r="A57" t="inlineStr">
        <is>
          <t>56</t>
        </is>
      </c>
      <c r="B57" t="inlineStr">
        <is>
          <t>Ailsa Curtis</t>
        </is>
      </c>
      <c r="C57" t="inlineStr">
        <is>
          <t>West Lothian Clarion CC</t>
        </is>
      </c>
      <c r="D57" t="inlineStr">
        <is>
          <t>30</t>
        </is>
      </c>
      <c r="E57">
        <f>HYPERLINK("https://www.britishcycling.org.uk/points?person_id=75525&amp;year=2021&amp;type=national&amp;d=6","Results")</f>
        <v/>
      </c>
    </row>
    <row r="58">
      <c r="A58" t="inlineStr">
        <is>
          <t>57</t>
        </is>
      </c>
      <c r="B58" t="inlineStr">
        <is>
          <t>Sarah Grimshaw</t>
        </is>
      </c>
      <c r="C58" t="inlineStr">
        <is>
          <t>Element Cycling Team</t>
        </is>
      </c>
      <c r="D58" t="inlineStr">
        <is>
          <t>29</t>
        </is>
      </c>
      <c r="E58">
        <f>HYPERLINK("https://www.britishcycling.org.uk/points?person_id=321195&amp;year=2021&amp;type=national&amp;d=6","Results")</f>
        <v/>
      </c>
    </row>
    <row r="59">
      <c r="A59" t="inlineStr">
        <is>
          <t>58</t>
        </is>
      </c>
      <c r="B59" t="inlineStr">
        <is>
          <t>Melanie Smith</t>
        </is>
      </c>
      <c r="C59" t="inlineStr">
        <is>
          <t>Cotswold Veldrijden</t>
        </is>
      </c>
      <c r="D59" t="inlineStr">
        <is>
          <t>29</t>
        </is>
      </c>
      <c r="E59">
        <f>HYPERLINK("https://www.britishcycling.org.uk/points?person_id=663096&amp;year=2021&amp;type=national&amp;d=6","Results")</f>
        <v/>
      </c>
    </row>
    <row r="60">
      <c r="A60" t="inlineStr">
        <is>
          <t>59</t>
        </is>
      </c>
      <c r="B60" t="inlineStr">
        <is>
          <t>Chloe Dilks</t>
        </is>
      </c>
      <c r="C60" t="inlineStr">
        <is>
          <t>Team Empella Cyclo-Cross.Com</t>
        </is>
      </c>
      <c r="D60" t="inlineStr">
        <is>
          <t>28</t>
        </is>
      </c>
      <c r="E60">
        <f>HYPERLINK("https://www.britishcycling.org.uk/points?person_id=464080&amp;year=2021&amp;type=national&amp;d=6","Results")</f>
        <v/>
      </c>
    </row>
    <row r="61">
      <c r="A61" t="inlineStr">
        <is>
          <t>60</t>
        </is>
      </c>
      <c r="B61" t="inlineStr">
        <is>
          <t>Vivienne Tomlin</t>
        </is>
      </c>
      <c r="C61" t="inlineStr">
        <is>
          <t>FTP-Fulfil The Potential-Racing</t>
        </is>
      </c>
      <c r="D61" t="inlineStr">
        <is>
          <t>27</t>
        </is>
      </c>
      <c r="E61">
        <f>HYPERLINK("https://www.britishcycling.org.uk/points?person_id=431082&amp;year=2021&amp;type=national&amp;d=6","Results")</f>
        <v/>
      </c>
    </row>
    <row r="62">
      <c r="A62" t="inlineStr">
        <is>
          <t>61</t>
        </is>
      </c>
      <c r="B62" t="inlineStr">
        <is>
          <t>Toni Senior</t>
        </is>
      </c>
      <c r="C62" t="inlineStr">
        <is>
          <t>Rugby Velo</t>
        </is>
      </c>
      <c r="D62" t="inlineStr">
        <is>
          <t>25</t>
        </is>
      </c>
      <c r="E62">
        <f>HYPERLINK("https://www.britishcycling.org.uk/points?person_id=656970&amp;year=2021&amp;type=national&amp;d=6","Results")</f>
        <v/>
      </c>
    </row>
    <row r="63">
      <c r="A63" t="inlineStr">
        <is>
          <t>62</t>
        </is>
      </c>
      <c r="B63" t="inlineStr">
        <is>
          <t>Holly Jones</t>
        </is>
      </c>
      <c r="C63" t="inlineStr">
        <is>
          <t>VC Londres</t>
        </is>
      </c>
      <c r="D63" t="inlineStr">
        <is>
          <t>24</t>
        </is>
      </c>
      <c r="E63">
        <f>HYPERLINK("https://www.britishcycling.org.uk/points?person_id=498608&amp;year=2021&amp;type=national&amp;d=6","Results")</f>
        <v/>
      </c>
    </row>
    <row r="64">
      <c r="A64" t="inlineStr">
        <is>
          <t>63</t>
        </is>
      </c>
      <c r="B64" t="inlineStr">
        <is>
          <t>Ruth Miller</t>
        </is>
      </c>
      <c r="C64" t="inlineStr">
        <is>
          <t>Ben Thomas Coaching Club</t>
        </is>
      </c>
      <c r="D64" t="inlineStr">
        <is>
          <t>23</t>
        </is>
      </c>
      <c r="E64">
        <f>HYPERLINK("https://www.britishcycling.org.uk/points?person_id=176803&amp;year=2021&amp;type=national&amp;d=6","Results")</f>
        <v/>
      </c>
    </row>
    <row r="65">
      <c r="A65" t="inlineStr">
        <is>
          <t>64</t>
        </is>
      </c>
      <c r="B65" t="inlineStr">
        <is>
          <t>Sasha Smith</t>
        </is>
      </c>
      <c r="C65" t="inlineStr">
        <is>
          <t>FTP-Fulfil The Potential-Racing</t>
        </is>
      </c>
      <c r="D65" t="inlineStr">
        <is>
          <t>21</t>
        </is>
      </c>
      <c r="E65">
        <f>HYPERLINK("https://www.britishcycling.org.uk/points?person_id=557911&amp;year=2021&amp;type=national&amp;d=6","Results")</f>
        <v/>
      </c>
    </row>
    <row r="66">
      <c r="A66" t="inlineStr">
        <is>
          <t>65</t>
        </is>
      </c>
      <c r="B66" t="inlineStr">
        <is>
          <t>Tracy Henderson</t>
        </is>
      </c>
      <c r="C66" t="inlineStr">
        <is>
          <t>North Tyneside Riders</t>
        </is>
      </c>
      <c r="D66" t="inlineStr">
        <is>
          <t>20</t>
        </is>
      </c>
      <c r="E66">
        <f>HYPERLINK("https://www.britishcycling.org.uk/points?person_id=646606&amp;year=2021&amp;type=national&amp;d=6","Results")</f>
        <v/>
      </c>
    </row>
    <row r="67">
      <c r="A67" t="inlineStr">
        <is>
          <t>66</t>
        </is>
      </c>
      <c r="B67" t="inlineStr">
        <is>
          <t>Madeleine Robinson</t>
        </is>
      </c>
      <c r="C67" t="inlineStr"/>
      <c r="D67" t="inlineStr">
        <is>
          <t>20</t>
        </is>
      </c>
      <c r="E67">
        <f>HYPERLINK("https://www.britishcycling.org.uk/points?person_id=6793&amp;year=2021&amp;type=national&amp;d=6","Results")</f>
        <v/>
      </c>
    </row>
    <row r="68">
      <c r="A68" t="inlineStr">
        <is>
          <t>67</t>
        </is>
      </c>
      <c r="B68" t="inlineStr">
        <is>
          <t>Christina Gustafson</t>
        </is>
      </c>
      <c r="C68" t="inlineStr">
        <is>
          <t>Reading CC</t>
        </is>
      </c>
      <c r="D68" t="inlineStr">
        <is>
          <t>19</t>
        </is>
      </c>
      <c r="E68">
        <f>HYPERLINK("https://www.britishcycling.org.uk/points?person_id=448259&amp;year=2021&amp;type=national&amp;d=6","Results")</f>
        <v/>
      </c>
    </row>
    <row r="69">
      <c r="A69" t="inlineStr">
        <is>
          <t>68</t>
        </is>
      </c>
      <c r="B69" t="inlineStr">
        <is>
          <t>Anne-Marie Lawrence</t>
        </is>
      </c>
      <c r="C69" t="inlineStr">
        <is>
          <t>Whitchurch Cycling Club</t>
        </is>
      </c>
      <c r="D69" t="inlineStr">
        <is>
          <t>19</t>
        </is>
      </c>
      <c r="E69">
        <f>HYPERLINK("https://www.britishcycling.org.uk/points?person_id=663132&amp;year=2021&amp;type=national&amp;d=6","Results")</f>
        <v/>
      </c>
    </row>
    <row r="70">
      <c r="A70" t="inlineStr">
        <is>
          <t>69</t>
        </is>
      </c>
      <c r="B70" t="inlineStr">
        <is>
          <t>Gemma Hutchins</t>
        </is>
      </c>
      <c r="C70" t="inlineStr">
        <is>
          <t>Blaydon Cycle Club</t>
        </is>
      </c>
      <c r="D70" t="inlineStr">
        <is>
          <t>18</t>
        </is>
      </c>
      <c r="E70">
        <f>HYPERLINK("https://www.britishcycling.org.uk/points?person_id=372751&amp;year=2021&amp;type=national&amp;d=6","Results")</f>
        <v/>
      </c>
    </row>
    <row r="71">
      <c r="A71" t="inlineStr">
        <is>
          <t>70</t>
        </is>
      </c>
      <c r="B71" t="inlineStr">
        <is>
          <t>Claire Hughes</t>
        </is>
      </c>
      <c r="C71" t="inlineStr">
        <is>
          <t>Peddlamaniacs Cycle Club</t>
        </is>
      </c>
      <c r="D71" t="inlineStr">
        <is>
          <t>16</t>
        </is>
      </c>
      <c r="E71">
        <f>HYPERLINK("https://www.britishcycling.org.uk/points?person_id=316827&amp;year=2021&amp;type=national&amp;d=6","Results")</f>
        <v/>
      </c>
    </row>
    <row r="72">
      <c r="A72" t="inlineStr">
        <is>
          <t>71</t>
        </is>
      </c>
      <c r="B72" t="inlineStr">
        <is>
          <t>Rachel Dunn</t>
        </is>
      </c>
      <c r="C72" t="inlineStr">
        <is>
          <t>Verulam - reallymoving.com</t>
        </is>
      </c>
      <c r="D72" t="inlineStr">
        <is>
          <t>15</t>
        </is>
      </c>
      <c r="E72">
        <f>HYPERLINK("https://www.britishcycling.org.uk/points?person_id=377653&amp;year=2021&amp;type=national&amp;d=6","Results")</f>
        <v/>
      </c>
    </row>
    <row r="73">
      <c r="A73" t="inlineStr">
        <is>
          <t>72</t>
        </is>
      </c>
      <c r="B73" t="inlineStr">
        <is>
          <t>Julia Birch</t>
        </is>
      </c>
      <c r="C73" t="inlineStr">
        <is>
          <t>Mickey Cranks CC</t>
        </is>
      </c>
      <c r="D73" t="inlineStr">
        <is>
          <t>14</t>
        </is>
      </c>
      <c r="E73">
        <f>HYPERLINK("https://www.britishcycling.org.uk/points?person_id=513163&amp;year=2021&amp;type=national&amp;d=6","Results")</f>
        <v/>
      </c>
    </row>
    <row r="74">
      <c r="A74" t="inlineStr">
        <is>
          <t>73</t>
        </is>
      </c>
      <c r="B74" t="inlineStr">
        <is>
          <t>Wendy Mathie</t>
        </is>
      </c>
      <c r="C74" t="inlineStr">
        <is>
          <t>Penge Cycle Club</t>
        </is>
      </c>
      <c r="D74" t="inlineStr">
        <is>
          <t>14</t>
        </is>
      </c>
      <c r="E74">
        <f>HYPERLINK("https://www.britishcycling.org.uk/points?person_id=944357&amp;year=2021&amp;type=national&amp;d=6","Results")</f>
        <v/>
      </c>
    </row>
    <row r="75">
      <c r="A75" t="inlineStr">
        <is>
          <t>74</t>
        </is>
      </c>
      <c r="B75" t="inlineStr">
        <is>
          <t>Nadine Thomas</t>
        </is>
      </c>
      <c r="C75" t="inlineStr">
        <is>
          <t>INFLITE</t>
        </is>
      </c>
      <c r="D75" t="inlineStr">
        <is>
          <t>14</t>
        </is>
      </c>
      <c r="E75">
        <f>HYPERLINK("https://www.britishcycling.org.uk/points?person_id=332931&amp;year=2021&amp;type=national&amp;d=6","Results")</f>
        <v/>
      </c>
    </row>
    <row r="76">
      <c r="A76" t="inlineStr">
        <is>
          <t>75</t>
        </is>
      </c>
      <c r="B76" t="inlineStr">
        <is>
          <t>Pamela Challen</t>
        </is>
      </c>
      <c r="C76" t="inlineStr">
        <is>
          <t>VC VELDRIJDEN</t>
        </is>
      </c>
      <c r="D76" t="inlineStr">
        <is>
          <t>13</t>
        </is>
      </c>
      <c r="E76">
        <f>HYPERLINK("https://www.britishcycling.org.uk/points?person_id=406992&amp;year=2021&amp;type=national&amp;d=6","Results")</f>
        <v/>
      </c>
    </row>
    <row r="77">
      <c r="A77" t="inlineStr">
        <is>
          <t>76</t>
        </is>
      </c>
      <c r="B77" t="inlineStr">
        <is>
          <t>Charlotte Fisher</t>
        </is>
      </c>
      <c r="C77" t="inlineStr">
        <is>
          <t>Cotswold Veldrijden</t>
        </is>
      </c>
      <c r="D77" t="inlineStr">
        <is>
          <t>13</t>
        </is>
      </c>
      <c r="E77">
        <f>HYPERLINK("https://www.britishcycling.org.uk/points?person_id=612667&amp;year=2021&amp;type=national&amp;d=6","Results")</f>
        <v/>
      </c>
    </row>
    <row r="78">
      <c r="A78" t="inlineStr">
        <is>
          <t>77</t>
        </is>
      </c>
      <c r="B78" t="inlineStr">
        <is>
          <t>Elizabeth Kemp</t>
        </is>
      </c>
      <c r="C78" t="inlineStr">
        <is>
          <t>Westbury Wheelers</t>
        </is>
      </c>
      <c r="D78" t="inlineStr">
        <is>
          <t>13</t>
        </is>
      </c>
      <c r="E78">
        <f>HYPERLINK("https://www.britishcycling.org.uk/points?person_id=23920&amp;year=2021&amp;type=national&amp;d=6","Results")</f>
        <v/>
      </c>
    </row>
    <row r="79">
      <c r="A79" t="inlineStr">
        <is>
          <t>78</t>
        </is>
      </c>
      <c r="B79" t="inlineStr">
        <is>
          <t>Helen Bridgman</t>
        </is>
      </c>
      <c r="C79" t="inlineStr">
        <is>
          <t>1904 RT</t>
        </is>
      </c>
      <c r="D79" t="inlineStr">
        <is>
          <t>12</t>
        </is>
      </c>
      <c r="E79">
        <f>HYPERLINK("https://www.britishcycling.org.uk/points?person_id=644286&amp;year=2021&amp;type=national&amp;d=6","Results")</f>
        <v/>
      </c>
    </row>
    <row r="80">
      <c r="A80" t="inlineStr">
        <is>
          <t>79</t>
        </is>
      </c>
      <c r="B80" t="inlineStr">
        <is>
          <t>Rowena Duffield</t>
        </is>
      </c>
      <c r="C80" t="inlineStr">
        <is>
          <t>Cwmcarn Paragon Cycling Club</t>
        </is>
      </c>
      <c r="D80" t="inlineStr">
        <is>
          <t>12</t>
        </is>
      </c>
      <c r="E80">
        <f>HYPERLINK("https://www.britishcycling.org.uk/points?person_id=731423&amp;year=2021&amp;type=national&amp;d=6","Results")</f>
        <v/>
      </c>
    </row>
    <row r="81">
      <c r="A81" t="inlineStr">
        <is>
          <t>80</t>
        </is>
      </c>
      <c r="B81" t="inlineStr">
        <is>
          <t>Helen Webb</t>
        </is>
      </c>
      <c r="C81" t="inlineStr">
        <is>
          <t>Sussex Nomads CC</t>
        </is>
      </c>
      <c r="D81" t="inlineStr">
        <is>
          <t>12</t>
        </is>
      </c>
      <c r="E81">
        <f>HYPERLINK("https://www.britishcycling.org.uk/points?person_id=556296&amp;year=2021&amp;type=national&amp;d=6","Results")</f>
        <v/>
      </c>
    </row>
    <row r="82">
      <c r="A82" t="inlineStr">
        <is>
          <t>81</t>
        </is>
      </c>
      <c r="B82" t="inlineStr">
        <is>
          <t>Catherine Litherland</t>
        </is>
      </c>
      <c r="C82" t="inlineStr">
        <is>
          <t>Holmfirth Cycling Club</t>
        </is>
      </c>
      <c r="D82" t="inlineStr">
        <is>
          <t>11</t>
        </is>
      </c>
      <c r="E82">
        <f>HYPERLINK("https://www.britishcycling.org.uk/points?person_id=200360&amp;year=2021&amp;type=national&amp;d=6","Results")</f>
        <v/>
      </c>
    </row>
    <row r="83">
      <c r="A83" t="inlineStr">
        <is>
          <t>82</t>
        </is>
      </c>
      <c r="B83" t="inlineStr">
        <is>
          <t>Kathleen O'Reilly</t>
        </is>
      </c>
      <c r="C83" t="inlineStr">
        <is>
          <t>Dulwich Paragon CC</t>
        </is>
      </c>
      <c r="D83" t="inlineStr">
        <is>
          <t>11</t>
        </is>
      </c>
      <c r="E83">
        <f>HYPERLINK("https://www.britishcycling.org.uk/points?person_id=180257&amp;year=2021&amp;type=national&amp;d=6","Results")</f>
        <v/>
      </c>
    </row>
    <row r="84">
      <c r="A84" t="inlineStr">
        <is>
          <t>83</t>
        </is>
      </c>
      <c r="B84" t="inlineStr">
        <is>
          <t>Deborah Ferns</t>
        </is>
      </c>
      <c r="C84" t="inlineStr">
        <is>
          <t>Glasgow Green Cycle Club</t>
        </is>
      </c>
      <c r="D84" t="inlineStr">
        <is>
          <t>10</t>
        </is>
      </c>
      <c r="E84">
        <f>HYPERLINK("https://www.britishcycling.org.uk/points?person_id=340718&amp;year=2021&amp;type=national&amp;d=6","Results")</f>
        <v/>
      </c>
    </row>
    <row r="85">
      <c r="A85" t="inlineStr">
        <is>
          <t>84</t>
        </is>
      </c>
      <c r="B85" t="inlineStr">
        <is>
          <t>Wendy Rees</t>
        </is>
      </c>
      <c r="C85" t="inlineStr">
        <is>
          <t>Bicester Millennium CC</t>
        </is>
      </c>
      <c r="D85" t="inlineStr">
        <is>
          <t>10</t>
        </is>
      </c>
      <c r="E85">
        <f>HYPERLINK("https://www.britishcycling.org.uk/points?person_id=500978&amp;year=2021&amp;type=national&amp;d=6","Results")</f>
        <v/>
      </c>
    </row>
    <row r="86">
      <c r="A86" t="inlineStr">
        <is>
          <t>85</t>
        </is>
      </c>
      <c r="B86" t="inlineStr">
        <is>
          <t>Nadine Reilly</t>
        </is>
      </c>
      <c r="C86" t="inlineStr">
        <is>
          <t>Dundee Thistle RC</t>
        </is>
      </c>
      <c r="D86" t="inlineStr">
        <is>
          <t>10</t>
        </is>
      </c>
      <c r="E86">
        <f>HYPERLINK("https://www.britishcycling.org.uk/points?person_id=852770&amp;year=2021&amp;type=national&amp;d=6","Results")</f>
        <v/>
      </c>
    </row>
    <row r="87">
      <c r="A87" t="inlineStr">
        <is>
          <t>86</t>
        </is>
      </c>
      <c r="B87" t="inlineStr">
        <is>
          <t>Astrid Pot</t>
        </is>
      </c>
      <c r="C87" t="inlineStr">
        <is>
          <t>Seacroft Wheelers</t>
        </is>
      </c>
      <c r="D87" t="inlineStr">
        <is>
          <t>9</t>
        </is>
      </c>
      <c r="E87">
        <f>HYPERLINK("https://www.britishcycling.org.uk/points?person_id=1002089&amp;year=2021&amp;type=national&amp;d=6","Results")</f>
        <v/>
      </c>
    </row>
    <row r="88">
      <c r="A88" t="inlineStr">
        <is>
          <t>87</t>
        </is>
      </c>
      <c r="B88" t="inlineStr">
        <is>
          <t>Christine Lutsch</t>
        </is>
      </c>
      <c r="C88" t="inlineStr">
        <is>
          <t>Windrush Triathlon Club</t>
        </is>
      </c>
      <c r="D88" t="inlineStr">
        <is>
          <t>8</t>
        </is>
      </c>
      <c r="E88">
        <f>HYPERLINK("https://www.britishcycling.org.uk/points?person_id=85969&amp;year=2021&amp;type=national&amp;d=6","Results")</f>
        <v/>
      </c>
    </row>
    <row r="89">
      <c r="A89" t="inlineStr">
        <is>
          <t>88</t>
        </is>
      </c>
      <c r="B89" t="inlineStr">
        <is>
          <t>Rachel Profit</t>
        </is>
      </c>
      <c r="C89" t="inlineStr">
        <is>
          <t>Clevedon &amp; District RC</t>
        </is>
      </c>
      <c r="D89" t="inlineStr">
        <is>
          <t>8</t>
        </is>
      </c>
      <c r="E89">
        <f>HYPERLINK("https://www.britishcycling.org.uk/points?person_id=879272&amp;year=2021&amp;type=national&amp;d=6","Results")</f>
        <v/>
      </c>
    </row>
    <row r="90">
      <c r="A90" t="inlineStr">
        <is>
          <t>89</t>
        </is>
      </c>
      <c r="B90" t="inlineStr">
        <is>
          <t>Tamara Walton-Evans</t>
        </is>
      </c>
      <c r="C90" t="inlineStr">
        <is>
          <t>Ynys Mon Race Team</t>
        </is>
      </c>
      <c r="D90" t="inlineStr">
        <is>
          <t>8</t>
        </is>
      </c>
      <c r="E90">
        <f>HYPERLINK("https://www.britishcycling.org.uk/points?person_id=446740&amp;year=2021&amp;type=national&amp;d=6","Results")</f>
        <v/>
      </c>
    </row>
    <row r="91">
      <c r="A91" t="inlineStr">
        <is>
          <t>90</t>
        </is>
      </c>
      <c r="B91" t="inlineStr">
        <is>
          <t>Paula Salter</t>
        </is>
      </c>
      <c r="C91" t="inlineStr">
        <is>
          <t>North Tyneside Riders</t>
        </is>
      </c>
      <c r="D91" t="inlineStr">
        <is>
          <t>7</t>
        </is>
      </c>
      <c r="E91">
        <f>HYPERLINK("https://www.britishcycling.org.uk/points?person_id=671611&amp;year=2021&amp;type=national&amp;d=6","Results")</f>
        <v/>
      </c>
    </row>
    <row r="92">
      <c r="A92" t="inlineStr">
        <is>
          <t>91</t>
        </is>
      </c>
      <c r="B92" t="inlineStr">
        <is>
          <t>Ruth Stapleton</t>
        </is>
      </c>
      <c r="C92" t="inlineStr">
        <is>
          <t>Harlow CC</t>
        </is>
      </c>
      <c r="D92" t="inlineStr">
        <is>
          <t>7</t>
        </is>
      </c>
      <c r="E92">
        <f>HYPERLINK("https://www.britishcycling.org.uk/points?person_id=253328&amp;year=2021&amp;type=national&amp;d=6","Results")</f>
        <v/>
      </c>
    </row>
    <row r="93">
      <c r="A93" t="inlineStr">
        <is>
          <t>92</t>
        </is>
      </c>
      <c r="B93" t="inlineStr">
        <is>
          <t>Catherine Wallace</t>
        </is>
      </c>
      <c r="C93" t="inlineStr">
        <is>
          <t>Brighton Mitre CC</t>
        </is>
      </c>
      <c r="D93" t="inlineStr">
        <is>
          <t>7</t>
        </is>
      </c>
      <c r="E93">
        <f>HYPERLINK("https://www.britishcycling.org.uk/points?person_id=904995&amp;year=2021&amp;type=national&amp;d=6","Results")</f>
        <v/>
      </c>
    </row>
    <row r="94">
      <c r="A94" t="inlineStr">
        <is>
          <t>93</t>
        </is>
      </c>
      <c r="B94" t="inlineStr">
        <is>
          <t>Helen Hutchinson</t>
        </is>
      </c>
      <c r="C94" t="inlineStr">
        <is>
          <t>Derby Mercury RC</t>
        </is>
      </c>
      <c r="D94" t="inlineStr">
        <is>
          <t>6</t>
        </is>
      </c>
      <c r="E94">
        <f>HYPERLINK("https://www.britishcycling.org.uk/points?person_id=425602&amp;year=2021&amp;type=national&amp;d=6","Results")</f>
        <v/>
      </c>
    </row>
    <row r="95">
      <c r="A95" t="inlineStr">
        <is>
          <t>94</t>
        </is>
      </c>
      <c r="B95" t="inlineStr">
        <is>
          <t>Samantha Messenger</t>
        </is>
      </c>
      <c r="C95" t="inlineStr">
        <is>
          <t>Bicester Millennium CC</t>
        </is>
      </c>
      <c r="D95" t="inlineStr">
        <is>
          <t>6</t>
        </is>
      </c>
      <c r="E95">
        <f>HYPERLINK("https://www.britishcycling.org.uk/points?person_id=531029&amp;year=2021&amp;type=national&amp;d=6","Results")</f>
        <v/>
      </c>
    </row>
    <row r="96">
      <c r="A96" t="inlineStr">
        <is>
          <t>95</t>
        </is>
      </c>
      <c r="B96" t="inlineStr">
        <is>
          <t>Rosslyn Anderson</t>
        </is>
      </c>
      <c r="C96" t="inlineStr"/>
      <c r="D96" t="inlineStr">
        <is>
          <t>4</t>
        </is>
      </c>
      <c r="E96">
        <f>HYPERLINK("https://www.britishcycling.org.uk/points?person_id=535826&amp;year=2021&amp;type=national&amp;d=6","Results")</f>
        <v/>
      </c>
    </row>
    <row r="97">
      <c r="A97" t="inlineStr">
        <is>
          <t>96</t>
        </is>
      </c>
      <c r="B97" t="inlineStr">
        <is>
          <t>Catrin Brown</t>
        </is>
      </c>
      <c r="C97" t="inlineStr">
        <is>
          <t>EDCO Wheels CC</t>
        </is>
      </c>
      <c r="D97" t="inlineStr">
        <is>
          <t>4</t>
        </is>
      </c>
      <c r="E97">
        <f>HYPERLINK("https://www.britishcycling.org.uk/points?person_id=982745&amp;year=2021&amp;type=national&amp;d=6","Results")</f>
        <v/>
      </c>
    </row>
    <row r="98">
      <c r="A98" t="inlineStr">
        <is>
          <t>97</t>
        </is>
      </c>
      <c r="B98" t="inlineStr">
        <is>
          <t>Iona Hassan</t>
        </is>
      </c>
      <c r="C98" t="inlineStr">
        <is>
          <t>Velociposse</t>
        </is>
      </c>
      <c r="D98" t="inlineStr">
        <is>
          <t>4</t>
        </is>
      </c>
      <c r="E98">
        <f>HYPERLINK("https://www.britishcycling.org.uk/points?person_id=572525&amp;year=2021&amp;type=national&amp;d=6","Results")</f>
        <v/>
      </c>
    </row>
    <row r="99">
      <c r="A99" t="inlineStr">
        <is>
          <t>98</t>
        </is>
      </c>
      <c r="B99" t="inlineStr">
        <is>
          <t>Charlotte Jackson</t>
        </is>
      </c>
      <c r="C99" t="inlineStr">
        <is>
          <t>Nice Brew Racing</t>
        </is>
      </c>
      <c r="D99" t="inlineStr">
        <is>
          <t>4</t>
        </is>
      </c>
      <c r="E99">
        <f>HYPERLINK("https://www.britishcycling.org.uk/points?person_id=274008&amp;year=2021&amp;type=national&amp;d=6","Results")</f>
        <v/>
      </c>
    </row>
    <row r="100">
      <c r="A100" t="inlineStr">
        <is>
          <t>99</t>
        </is>
      </c>
      <c r="B100" t="inlineStr">
        <is>
          <t>Virginia Phillips</t>
        </is>
      </c>
      <c r="C100" t="inlineStr">
        <is>
          <t>Cotswold Veldrijden</t>
        </is>
      </c>
      <c r="D100" t="inlineStr">
        <is>
          <t>4</t>
        </is>
      </c>
      <c r="E100">
        <f>HYPERLINK("https://www.britishcycling.org.uk/points?person_id=509414&amp;year=2021&amp;type=national&amp;d=6","Results")</f>
        <v/>
      </c>
    </row>
    <row r="101">
      <c r="A101" t="inlineStr">
        <is>
          <t>100</t>
        </is>
      </c>
      <c r="B101" t="inlineStr">
        <is>
          <t>Jeni Sanderson</t>
        </is>
      </c>
      <c r="C101" t="inlineStr">
        <is>
          <t>Sprockets Cycle Club</t>
        </is>
      </c>
      <c r="D101" t="inlineStr">
        <is>
          <t>4</t>
        </is>
      </c>
      <c r="E101">
        <f>HYPERLINK("https://www.britishcycling.org.uk/points?person_id=704612&amp;year=2021&amp;type=national&amp;d=6","Results")</f>
        <v/>
      </c>
    </row>
    <row r="102">
      <c r="A102" t="inlineStr">
        <is>
          <t>101</t>
        </is>
      </c>
      <c r="B102" t="inlineStr">
        <is>
          <t>Angharad Berriman</t>
        </is>
      </c>
      <c r="C102" t="inlineStr">
        <is>
          <t>Penzance Wheelers</t>
        </is>
      </c>
      <c r="D102" t="inlineStr">
        <is>
          <t>3</t>
        </is>
      </c>
      <c r="E102">
        <f>HYPERLINK("https://www.britishcycling.org.uk/points?person_id=643943&amp;year=2021&amp;type=national&amp;d=6","Results")</f>
        <v/>
      </c>
    </row>
    <row r="103">
      <c r="A103" t="inlineStr">
        <is>
          <t>102</t>
        </is>
      </c>
      <c r="B103" t="inlineStr">
        <is>
          <t>Caroline Guest</t>
        </is>
      </c>
      <c r="C103" t="inlineStr">
        <is>
          <t>Ford Cycling Club</t>
        </is>
      </c>
      <c r="D103" t="inlineStr">
        <is>
          <t>3</t>
        </is>
      </c>
      <c r="E103">
        <f>HYPERLINK("https://www.britishcycling.org.uk/points?person_id=135292&amp;year=2021&amp;type=national&amp;d=6","Results")</f>
        <v/>
      </c>
    </row>
    <row r="104">
      <c r="A104" t="inlineStr">
        <is>
          <t>103</t>
        </is>
      </c>
      <c r="B104" t="inlineStr">
        <is>
          <t>Jolene Slothouber Galbreath</t>
        </is>
      </c>
      <c r="C104" t="inlineStr">
        <is>
          <t>Pronto Bikes</t>
        </is>
      </c>
      <c r="D104" t="inlineStr">
        <is>
          <t>3</t>
        </is>
      </c>
      <c r="E104">
        <f>HYPERLINK("https://www.britishcycling.org.uk/points?person_id=950293&amp;year=2021&amp;type=national&amp;d=6","Results")</f>
        <v/>
      </c>
    </row>
    <row r="105">
      <c r="A105" t="inlineStr">
        <is>
          <t>104</t>
        </is>
      </c>
      <c r="B105" t="inlineStr">
        <is>
          <t>Fleur Stoops</t>
        </is>
      </c>
      <c r="C105" t="inlineStr">
        <is>
          <t>Vanelli-Project Go</t>
        </is>
      </c>
      <c r="D105" t="inlineStr">
        <is>
          <t>3</t>
        </is>
      </c>
      <c r="E105">
        <f>HYPERLINK("https://www.britishcycling.org.uk/points?person_id=105136&amp;year=2021&amp;type=national&amp;d=6","Results")</f>
        <v/>
      </c>
    </row>
    <row r="106">
      <c r="A106" t="inlineStr">
        <is>
          <t>105</t>
        </is>
      </c>
      <c r="B106" t="inlineStr">
        <is>
          <t>Katie Styles</t>
        </is>
      </c>
      <c r="C106" t="inlineStr">
        <is>
          <t>Brixton Cycles Club</t>
        </is>
      </c>
      <c r="D106" t="inlineStr">
        <is>
          <t>3</t>
        </is>
      </c>
      <c r="E106">
        <f>HYPERLINK("https://www.britishcycling.org.uk/points?person_id=465498&amp;year=2021&amp;type=national&amp;d=6","Results")</f>
        <v/>
      </c>
    </row>
    <row r="107">
      <c r="A107" t="inlineStr">
        <is>
          <t>106</t>
        </is>
      </c>
      <c r="B107" t="inlineStr">
        <is>
          <t>Claire Weller</t>
        </is>
      </c>
      <c r="C107" t="inlineStr">
        <is>
          <t>Barrow Central Wheelers</t>
        </is>
      </c>
      <c r="D107" t="inlineStr">
        <is>
          <t>3</t>
        </is>
      </c>
      <c r="E107">
        <f>HYPERLINK("https://www.britishcycling.org.uk/points?person_id=579433&amp;year=2021&amp;type=national&amp;d=6","Results")</f>
        <v/>
      </c>
    </row>
    <row r="108">
      <c r="A108" t="inlineStr">
        <is>
          <t>107</t>
        </is>
      </c>
      <c r="B108" t="inlineStr">
        <is>
          <t>Lynsey Astles</t>
        </is>
      </c>
      <c r="C108" t="inlineStr">
        <is>
          <t>Congleton CC</t>
        </is>
      </c>
      <c r="D108" t="inlineStr">
        <is>
          <t>2</t>
        </is>
      </c>
      <c r="E108">
        <f>HYPERLINK("https://www.britishcycling.org.uk/points?person_id=613199&amp;year=2021&amp;type=national&amp;d=6","Results")</f>
        <v/>
      </c>
    </row>
    <row r="109">
      <c r="A109" t="inlineStr">
        <is>
          <t>108</t>
        </is>
      </c>
      <c r="B109" t="inlineStr">
        <is>
          <t>Nicola Berry</t>
        </is>
      </c>
      <c r="C109" t="inlineStr">
        <is>
          <t>Team Empella Cyclo-Cross.Com</t>
        </is>
      </c>
      <c r="D109" t="inlineStr">
        <is>
          <t>2</t>
        </is>
      </c>
      <c r="E109">
        <f>HYPERLINK("https://www.britishcycling.org.uk/points?person_id=936742&amp;year=2021&amp;type=national&amp;d=6","Results")</f>
        <v/>
      </c>
    </row>
    <row r="110">
      <c r="A110" t="inlineStr">
        <is>
          <t>109</t>
        </is>
      </c>
      <c r="B110" t="inlineStr">
        <is>
          <t>Lorna Breetzke</t>
        </is>
      </c>
      <c r="C110" t="inlineStr">
        <is>
          <t>Elgin CC</t>
        </is>
      </c>
      <c r="D110" t="inlineStr">
        <is>
          <t>2</t>
        </is>
      </c>
      <c r="E110">
        <f>HYPERLINK("https://www.britishcycling.org.uk/points?person_id=805275&amp;year=2021&amp;type=national&amp;d=6","Results")</f>
        <v/>
      </c>
    </row>
    <row r="111">
      <c r="A111" t="inlineStr">
        <is>
          <t>110</t>
        </is>
      </c>
      <c r="B111" t="inlineStr">
        <is>
          <t>Rachael Connall</t>
        </is>
      </c>
      <c r="C111" t="inlineStr">
        <is>
          <t>Velobants.cc</t>
        </is>
      </c>
      <c r="D111" t="inlineStr">
        <is>
          <t>2</t>
        </is>
      </c>
      <c r="E111">
        <f>HYPERLINK("https://www.britishcycling.org.uk/points?person_id=737066&amp;year=2021&amp;type=national&amp;d=6","Results")</f>
        <v/>
      </c>
    </row>
    <row r="112">
      <c r="A112" t="inlineStr">
        <is>
          <t>111</t>
        </is>
      </c>
      <c r="B112" t="inlineStr">
        <is>
          <t>Crissy Harris</t>
        </is>
      </c>
      <c r="C112" t="inlineStr">
        <is>
          <t>Twickenham CC</t>
        </is>
      </c>
      <c r="D112" t="inlineStr">
        <is>
          <t>2</t>
        </is>
      </c>
      <c r="E112">
        <f>HYPERLINK("https://www.britishcycling.org.uk/points?person_id=60299&amp;year=2021&amp;type=national&amp;d=6","Results")</f>
        <v/>
      </c>
    </row>
    <row r="113">
      <c r="A113" t="inlineStr">
        <is>
          <t>112</t>
        </is>
      </c>
      <c r="B113" t="inlineStr">
        <is>
          <t>Yvonne Shaw</t>
        </is>
      </c>
      <c r="C113" t="inlineStr">
        <is>
          <t>Stirling Bike Club</t>
        </is>
      </c>
      <c r="D113" t="inlineStr">
        <is>
          <t>2</t>
        </is>
      </c>
      <c r="E113">
        <f>HYPERLINK("https://www.britishcycling.org.uk/points?person_id=339130&amp;year=2021&amp;type=national&amp;d=6","Results")</f>
        <v/>
      </c>
    </row>
    <row r="114">
      <c r="A114" t="inlineStr">
        <is>
          <t>113</t>
        </is>
      </c>
      <c r="B114" t="inlineStr">
        <is>
          <t>Mandie James</t>
        </is>
      </c>
      <c r="C114" t="inlineStr">
        <is>
          <t>Ilkeston Cycle Club</t>
        </is>
      </c>
      <c r="D114" t="inlineStr">
        <is>
          <t>1</t>
        </is>
      </c>
      <c r="E114">
        <f>HYPERLINK("https://www.britishcycling.org.uk/points?person_id=117417&amp;year=2021&amp;type=national&amp;d=6","Results")</f>
        <v/>
      </c>
    </row>
    <row r="115">
      <c r="A115" t="inlineStr">
        <is>
          <t>114</t>
        </is>
      </c>
      <c r="B115" t="inlineStr">
        <is>
          <t>Maggie McPhillips</t>
        </is>
      </c>
      <c r="C115" t="inlineStr">
        <is>
          <t>Stockport Clarion CC</t>
        </is>
      </c>
      <c r="D115" t="inlineStr">
        <is>
          <t>1</t>
        </is>
      </c>
      <c r="E115">
        <f>HYPERLINK("https://www.britishcycling.org.uk/points?person_id=543783&amp;year=2021&amp;type=national&amp;d=6","Results")</f>
        <v/>
      </c>
    </row>
    <row r="116">
      <c r="A116" t="inlineStr">
        <is>
          <t>115</t>
        </is>
      </c>
      <c r="B116" t="inlineStr">
        <is>
          <t>Clare Spencer</t>
        </is>
      </c>
      <c r="C116" t="inlineStr"/>
      <c r="D116" t="inlineStr">
        <is>
          <t>1</t>
        </is>
      </c>
      <c r="E116">
        <f>HYPERLINK("https://www.britishcycling.org.uk/points?person_id=307685&amp;year=2021&amp;type=national&amp;d=6","Results")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64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Helen Pattinson</t>
        </is>
      </c>
      <c r="C2" t="inlineStr">
        <is>
          <t>Montezuma's Race Team</t>
        </is>
      </c>
      <c r="D2" t="inlineStr">
        <is>
          <t>268</t>
        </is>
      </c>
      <c r="E2">
        <f>HYPERLINK("https://www.britishcycling.org.uk/points?person_id=240019&amp;year=2021&amp;type=national&amp;d=6","Results")</f>
        <v/>
      </c>
    </row>
    <row r="3">
      <c r="A3" t="inlineStr">
        <is>
          <t>2</t>
        </is>
      </c>
      <c r="B3" t="inlineStr">
        <is>
          <t>Catriona Ross</t>
        </is>
      </c>
      <c r="C3" t="inlineStr">
        <is>
          <t>Bridport CC</t>
        </is>
      </c>
      <c r="D3" t="inlineStr">
        <is>
          <t>258</t>
        </is>
      </c>
      <c r="E3">
        <f>HYPERLINK("https://www.britishcycling.org.uk/points?person_id=63101&amp;year=2021&amp;type=national&amp;d=6","Results")</f>
        <v/>
      </c>
    </row>
    <row r="4">
      <c r="A4" t="inlineStr">
        <is>
          <t>3</t>
        </is>
      </c>
      <c r="B4" t="inlineStr">
        <is>
          <t>Kate Dixon</t>
        </is>
      </c>
      <c r="C4" t="inlineStr">
        <is>
          <t>Oscar Bravo</t>
        </is>
      </c>
      <c r="D4" t="inlineStr">
        <is>
          <t>204</t>
        </is>
      </c>
      <c r="E4">
        <f>HYPERLINK("https://www.britishcycling.org.uk/points?person_id=863211&amp;year=2021&amp;type=national&amp;d=6","Results")</f>
        <v/>
      </c>
    </row>
    <row r="5">
      <c r="A5" t="inlineStr">
        <is>
          <t>4</t>
        </is>
      </c>
      <c r="B5" t="inlineStr">
        <is>
          <t>Isla Rowntree</t>
        </is>
      </c>
      <c r="C5" t="inlineStr">
        <is>
          <t>Islabikes</t>
        </is>
      </c>
      <c r="D5" t="inlineStr">
        <is>
          <t>151</t>
        </is>
      </c>
      <c r="E5">
        <f>HYPERLINK("https://www.britishcycling.org.uk/points?person_id=21208&amp;year=2021&amp;type=national&amp;d=6","Results")</f>
        <v/>
      </c>
    </row>
    <row r="6">
      <c r="A6" t="inlineStr">
        <is>
          <t>5</t>
        </is>
      </c>
      <c r="B6" t="inlineStr">
        <is>
          <t>Caroline Harvey</t>
        </is>
      </c>
      <c r="C6" t="inlineStr">
        <is>
          <t>Peebles CC</t>
        </is>
      </c>
      <c r="D6" t="inlineStr">
        <is>
          <t>141</t>
        </is>
      </c>
      <c r="E6">
        <f>HYPERLINK("https://www.britishcycling.org.uk/points?person_id=508653&amp;year=2021&amp;type=national&amp;d=6","Results")</f>
        <v/>
      </c>
    </row>
    <row r="7">
      <c r="A7" t="inlineStr">
        <is>
          <t>6</t>
        </is>
      </c>
      <c r="B7" t="inlineStr">
        <is>
          <t>Tracy Wilkinson-Begg</t>
        </is>
      </c>
      <c r="C7" t="inlineStr">
        <is>
          <t>TWB - ON TIME RACE TEAM</t>
        </is>
      </c>
      <c r="D7" t="inlineStr">
        <is>
          <t>131</t>
        </is>
      </c>
      <c r="E7">
        <f>HYPERLINK("https://www.britishcycling.org.uk/points?person_id=604772&amp;year=2021&amp;type=national&amp;d=6","Results")</f>
        <v/>
      </c>
    </row>
    <row r="8">
      <c r="A8" t="inlineStr">
        <is>
          <t>7</t>
        </is>
      </c>
      <c r="B8" t="inlineStr">
        <is>
          <t>Zoe Codd</t>
        </is>
      </c>
      <c r="C8" t="inlineStr">
        <is>
          <t>Laatste Ronde! Coaching</t>
        </is>
      </c>
      <c r="D8" t="inlineStr">
        <is>
          <t>123</t>
        </is>
      </c>
      <c r="E8">
        <f>HYPERLINK("https://www.britishcycling.org.uk/points?person_id=416032&amp;year=2021&amp;type=national&amp;d=6","Results")</f>
        <v/>
      </c>
    </row>
    <row r="9">
      <c r="A9" t="inlineStr">
        <is>
          <t>8</t>
        </is>
      </c>
      <c r="B9" t="inlineStr">
        <is>
          <t>Helen Dussek</t>
        </is>
      </c>
      <c r="C9" t="inlineStr">
        <is>
          <t>Nottingham Clarion CC</t>
        </is>
      </c>
      <c r="D9" t="inlineStr">
        <is>
          <t>113</t>
        </is>
      </c>
      <c r="E9">
        <f>HYPERLINK("https://www.britishcycling.org.uk/points?person_id=139207&amp;year=2021&amp;type=national&amp;d=6","Results")</f>
        <v/>
      </c>
    </row>
    <row r="10">
      <c r="A10" t="inlineStr">
        <is>
          <t>9</t>
        </is>
      </c>
      <c r="B10" t="inlineStr">
        <is>
          <t>Caroline Goodman</t>
        </is>
      </c>
      <c r="C10" t="inlineStr">
        <is>
          <t>High Wycombe Cycling Club</t>
        </is>
      </c>
      <c r="D10" t="inlineStr">
        <is>
          <t>99</t>
        </is>
      </c>
      <c r="E10">
        <f>HYPERLINK("https://www.britishcycling.org.uk/points?person_id=832441&amp;year=2021&amp;type=national&amp;d=6","Results")</f>
        <v/>
      </c>
    </row>
    <row r="11">
      <c r="A11" t="inlineStr">
        <is>
          <t>10</t>
        </is>
      </c>
      <c r="B11" t="inlineStr">
        <is>
          <t>Catherine Kilburn</t>
        </is>
      </c>
      <c r="C11" t="inlineStr">
        <is>
          <t>Mid Devon CC</t>
        </is>
      </c>
      <c r="D11" t="inlineStr">
        <is>
          <t>92</t>
        </is>
      </c>
      <c r="E11">
        <f>HYPERLINK("https://www.britishcycling.org.uk/points?person_id=313214&amp;year=2021&amp;type=national&amp;d=6","Results")</f>
        <v/>
      </c>
    </row>
    <row r="12">
      <c r="A12" t="inlineStr">
        <is>
          <t>11</t>
        </is>
      </c>
      <c r="B12" t="inlineStr">
        <is>
          <t>Tracey Fletcher</t>
        </is>
      </c>
      <c r="C12" t="inlineStr">
        <is>
          <t>Morvelo Magspeed Racing</t>
        </is>
      </c>
      <c r="D12" t="inlineStr">
        <is>
          <t>91</t>
        </is>
      </c>
      <c r="E12">
        <f>HYPERLINK("https://www.britishcycling.org.uk/points?person_id=27758&amp;year=2021&amp;type=national&amp;d=6","Results")</f>
        <v/>
      </c>
    </row>
    <row r="13">
      <c r="A13" t="inlineStr">
        <is>
          <t>12</t>
        </is>
      </c>
      <c r="B13" t="inlineStr">
        <is>
          <t>Nicky Hughes</t>
        </is>
      </c>
      <c r="C13" t="inlineStr"/>
      <c r="D13" t="inlineStr">
        <is>
          <t>90</t>
        </is>
      </c>
      <c r="E13">
        <f>HYPERLINK("https://www.britishcycling.org.uk/points?person_id=37490&amp;year=2021&amp;type=national&amp;d=6","Results")</f>
        <v/>
      </c>
    </row>
    <row r="14">
      <c r="A14" t="inlineStr">
        <is>
          <t>13</t>
        </is>
      </c>
      <c r="B14" t="inlineStr">
        <is>
          <t>Joanne Newstead</t>
        </is>
      </c>
      <c r="C14" t="inlineStr">
        <is>
          <t>XRT - Elmy Cycles</t>
        </is>
      </c>
      <c r="D14" t="inlineStr">
        <is>
          <t>81</t>
        </is>
      </c>
      <c r="E14">
        <f>HYPERLINK("https://www.britishcycling.org.uk/points?person_id=13888&amp;year=2021&amp;type=national&amp;d=6","Results")</f>
        <v/>
      </c>
    </row>
    <row r="15">
      <c r="A15" t="inlineStr">
        <is>
          <t>14</t>
        </is>
      </c>
      <c r="B15" t="inlineStr">
        <is>
          <t>Karen Summers</t>
        </is>
      </c>
      <c r="C15" t="inlineStr">
        <is>
          <t>Team Jewson-M.I.Racing</t>
        </is>
      </c>
      <c r="D15" t="inlineStr">
        <is>
          <t>77</t>
        </is>
      </c>
      <c r="E15">
        <f>HYPERLINK("https://www.britishcycling.org.uk/points?person_id=36899&amp;year=2021&amp;type=national&amp;d=6","Results")</f>
        <v/>
      </c>
    </row>
    <row r="16">
      <c r="A16" t="inlineStr">
        <is>
          <t>15</t>
        </is>
      </c>
      <c r="B16" t="inlineStr">
        <is>
          <t>Miriam Whitehurst</t>
        </is>
      </c>
      <c r="C16" t="inlineStr">
        <is>
          <t>Reflex Racing</t>
        </is>
      </c>
      <c r="D16" t="inlineStr">
        <is>
          <t>77</t>
        </is>
      </c>
      <c r="E16">
        <f>HYPERLINK("https://www.britishcycling.org.uk/points?person_id=47153&amp;year=2021&amp;type=national&amp;d=6","Results")</f>
        <v/>
      </c>
    </row>
    <row r="17">
      <c r="A17" t="inlineStr">
        <is>
          <t>16</t>
        </is>
      </c>
      <c r="B17" t="inlineStr">
        <is>
          <t>Clare Hoskins</t>
        </is>
      </c>
      <c r="C17" t="inlineStr">
        <is>
          <t>Cardiff JIF</t>
        </is>
      </c>
      <c r="D17" t="inlineStr">
        <is>
          <t>70</t>
        </is>
      </c>
      <c r="E17">
        <f>HYPERLINK("https://www.britishcycling.org.uk/points?person_id=64594&amp;year=2021&amp;type=national&amp;d=6","Results")</f>
        <v/>
      </c>
    </row>
    <row r="18">
      <c r="A18" t="inlineStr">
        <is>
          <t>17</t>
        </is>
      </c>
      <c r="B18" t="inlineStr">
        <is>
          <t>Elizabeth McKie</t>
        </is>
      </c>
      <c r="C18" t="inlineStr">
        <is>
          <t>Verulam - reallymoving.com</t>
        </is>
      </c>
      <c r="D18" t="inlineStr">
        <is>
          <t>70</t>
        </is>
      </c>
      <c r="E18">
        <f>HYPERLINK("https://www.britishcycling.org.uk/points?person_id=137605&amp;year=2021&amp;type=national&amp;d=6","Results")</f>
        <v/>
      </c>
    </row>
    <row r="19">
      <c r="A19" t="inlineStr">
        <is>
          <t>18</t>
        </is>
      </c>
      <c r="B19" t="inlineStr">
        <is>
          <t>Alison Bagnall</t>
        </is>
      </c>
      <c r="C19" t="inlineStr">
        <is>
          <t>ROTOR Race Team</t>
        </is>
      </c>
      <c r="D19" t="inlineStr">
        <is>
          <t>63</t>
        </is>
      </c>
      <c r="E19">
        <f>HYPERLINK("https://www.britishcycling.org.uk/points?person_id=540393&amp;year=2021&amp;type=national&amp;d=6","Results")</f>
        <v/>
      </c>
    </row>
    <row r="20">
      <c r="A20" t="inlineStr">
        <is>
          <t>19</t>
        </is>
      </c>
      <c r="B20" t="inlineStr">
        <is>
          <t>Lynne Coldray</t>
        </is>
      </c>
      <c r="C20" t="inlineStr">
        <is>
          <t>Club Corley Cycles RC</t>
        </is>
      </c>
      <c r="D20" t="inlineStr">
        <is>
          <t>55</t>
        </is>
      </c>
      <c r="E20">
        <f>HYPERLINK("https://www.britishcycling.org.uk/points?person_id=602957&amp;year=2021&amp;type=national&amp;d=6","Results")</f>
        <v/>
      </c>
    </row>
    <row r="21">
      <c r="A21" t="inlineStr">
        <is>
          <t>20</t>
        </is>
      </c>
      <c r="B21" t="inlineStr">
        <is>
          <t>Lynn Bland</t>
        </is>
      </c>
      <c r="C21" t="inlineStr">
        <is>
          <t>Norton Wheelers</t>
        </is>
      </c>
      <c r="D21" t="inlineStr">
        <is>
          <t>54</t>
        </is>
      </c>
      <c r="E21">
        <f>HYPERLINK("https://www.britishcycling.org.uk/points?person_id=71298&amp;year=2021&amp;type=national&amp;d=6","Results")</f>
        <v/>
      </c>
    </row>
    <row r="22">
      <c r="A22" t="inlineStr">
        <is>
          <t>21</t>
        </is>
      </c>
      <c r="B22" t="inlineStr">
        <is>
          <t>Nicola Kent</t>
        </is>
      </c>
      <c r="C22" t="inlineStr">
        <is>
          <t>Whitby Wheelers CC</t>
        </is>
      </c>
      <c r="D22" t="inlineStr">
        <is>
          <t>52</t>
        </is>
      </c>
      <c r="E22">
        <f>HYPERLINK("https://www.britishcycling.org.uk/points?person_id=487749&amp;year=2021&amp;type=national&amp;d=6","Results")</f>
        <v/>
      </c>
    </row>
    <row r="23">
      <c r="A23" t="inlineStr">
        <is>
          <t>22</t>
        </is>
      </c>
      <c r="B23" t="inlineStr">
        <is>
          <t>Karen McGrath</t>
        </is>
      </c>
      <c r="C23" t="inlineStr">
        <is>
          <t>Worthing Excelsior CC</t>
        </is>
      </c>
      <c r="D23" t="inlineStr">
        <is>
          <t>52</t>
        </is>
      </c>
      <c r="E23">
        <f>HYPERLINK("https://www.britishcycling.org.uk/points?person_id=228737&amp;year=2021&amp;type=national&amp;d=6","Results")</f>
        <v/>
      </c>
    </row>
    <row r="24">
      <c r="A24" t="inlineStr">
        <is>
          <t>23</t>
        </is>
      </c>
      <c r="B24" t="inlineStr">
        <is>
          <t>Suzanne Wise</t>
        </is>
      </c>
      <c r="C24" t="inlineStr">
        <is>
          <t>C and N Cycles RT</t>
        </is>
      </c>
      <c r="D24" t="inlineStr">
        <is>
          <t>46</t>
        </is>
      </c>
      <c r="E24">
        <f>HYPERLINK("https://www.britishcycling.org.uk/points?person_id=607451&amp;year=2021&amp;type=national&amp;d=6","Results")</f>
        <v/>
      </c>
    </row>
    <row r="25">
      <c r="A25" t="inlineStr">
        <is>
          <t>24</t>
        </is>
      </c>
      <c r="B25" t="inlineStr">
        <is>
          <t>Janet Marsden</t>
        </is>
      </c>
      <c r="C25" t="inlineStr"/>
      <c r="D25" t="inlineStr">
        <is>
          <t>43</t>
        </is>
      </c>
      <c r="E25">
        <f>HYPERLINK("https://www.britishcycling.org.uk/points?person_id=100970&amp;year=2021&amp;type=national&amp;d=6","Results")</f>
        <v/>
      </c>
    </row>
    <row r="26">
      <c r="A26" t="inlineStr">
        <is>
          <t>25</t>
        </is>
      </c>
      <c r="B26" t="inlineStr">
        <is>
          <t>Louise Potter</t>
        </is>
      </c>
      <c r="C26" t="inlineStr">
        <is>
          <t>Torvelo Racing</t>
        </is>
      </c>
      <c r="D26" t="inlineStr">
        <is>
          <t>43</t>
        </is>
      </c>
      <c r="E26">
        <f>HYPERLINK("https://www.britishcycling.org.uk/points?person_id=853096&amp;year=2021&amp;type=national&amp;d=6","Results")</f>
        <v/>
      </c>
    </row>
    <row r="27">
      <c r="A27" t="inlineStr">
        <is>
          <t>26</t>
        </is>
      </c>
      <c r="B27" t="inlineStr">
        <is>
          <t>Janice Bell</t>
        </is>
      </c>
      <c r="C27" t="inlineStr">
        <is>
          <t>Berkhamsted Cycling Club</t>
        </is>
      </c>
      <c r="D27" t="inlineStr">
        <is>
          <t>37</t>
        </is>
      </c>
      <c r="E27">
        <f>HYPERLINK("https://www.britishcycling.org.uk/points?person_id=383459&amp;year=2021&amp;type=national&amp;d=6","Results")</f>
        <v/>
      </c>
    </row>
    <row r="28">
      <c r="A28" t="inlineStr">
        <is>
          <t>27</t>
        </is>
      </c>
      <c r="B28" t="inlineStr">
        <is>
          <t>Catherine Hughes</t>
        </is>
      </c>
      <c r="C28" t="inlineStr">
        <is>
          <t>Ilkeston Cycle Club</t>
        </is>
      </c>
      <c r="D28" t="inlineStr">
        <is>
          <t>36</t>
        </is>
      </c>
      <c r="E28">
        <f>HYPERLINK("https://www.britishcycling.org.uk/points?person_id=478788&amp;year=2021&amp;type=national&amp;d=6","Results")</f>
        <v/>
      </c>
    </row>
    <row r="29">
      <c r="A29" t="inlineStr">
        <is>
          <t>28</t>
        </is>
      </c>
      <c r="B29" t="inlineStr">
        <is>
          <t>Kate Dance</t>
        </is>
      </c>
      <c r="C29" t="inlineStr">
        <is>
          <t>Datalynx-Parenesis Cycling</t>
        </is>
      </c>
      <c r="D29" t="inlineStr">
        <is>
          <t>31</t>
        </is>
      </c>
      <c r="E29">
        <f>HYPERLINK("https://www.britishcycling.org.uk/points?person_id=611435&amp;year=2021&amp;type=national&amp;d=6","Results")</f>
        <v/>
      </c>
    </row>
    <row r="30">
      <c r="A30" t="inlineStr">
        <is>
          <t>29</t>
        </is>
      </c>
      <c r="B30" t="inlineStr">
        <is>
          <t>Alison Ford</t>
        </is>
      </c>
      <c r="C30" t="inlineStr">
        <is>
          <t>GS Vecchi</t>
        </is>
      </c>
      <c r="D30" t="inlineStr">
        <is>
          <t>31</t>
        </is>
      </c>
      <c r="E30">
        <f>HYPERLINK("https://www.britishcycling.org.uk/points?person_id=47037&amp;year=2021&amp;type=national&amp;d=6","Results")</f>
        <v/>
      </c>
    </row>
    <row r="31">
      <c r="A31" t="inlineStr">
        <is>
          <t>30</t>
        </is>
      </c>
      <c r="B31" t="inlineStr">
        <is>
          <t>Catherine Pascoe</t>
        </is>
      </c>
      <c r="C31" t="inlineStr">
        <is>
          <t>New Forest CC</t>
        </is>
      </c>
      <c r="D31" t="inlineStr">
        <is>
          <t>25</t>
        </is>
      </c>
      <c r="E31">
        <f>HYPERLINK("https://www.britishcycling.org.uk/points?person_id=67170&amp;year=2021&amp;type=national&amp;d=6","Results")</f>
        <v/>
      </c>
    </row>
    <row r="32">
      <c r="A32" t="inlineStr">
        <is>
          <t>31</t>
        </is>
      </c>
      <c r="B32" t="inlineStr">
        <is>
          <t>Fiona Cockburn</t>
        </is>
      </c>
      <c r="C32" t="inlineStr">
        <is>
          <t>Torvelo Racing</t>
        </is>
      </c>
      <c r="D32" t="inlineStr">
        <is>
          <t>24</t>
        </is>
      </c>
      <c r="E32">
        <f>HYPERLINK("https://www.britishcycling.org.uk/points?person_id=565457&amp;year=2021&amp;type=national&amp;d=6","Results")</f>
        <v/>
      </c>
    </row>
    <row r="33">
      <c r="A33" t="inlineStr">
        <is>
          <t>32</t>
        </is>
      </c>
      <c r="B33" t="inlineStr">
        <is>
          <t>Abigail Armstrong</t>
        </is>
      </c>
      <c r="C33" t="inlineStr">
        <is>
          <t>Beachy Head Cycling Club</t>
        </is>
      </c>
      <c r="D33" t="inlineStr">
        <is>
          <t>20</t>
        </is>
      </c>
      <c r="E33">
        <f>HYPERLINK("https://www.britishcycling.org.uk/points?person_id=69655&amp;year=2021&amp;type=national&amp;d=6","Results")</f>
        <v/>
      </c>
    </row>
    <row r="34">
      <c r="A34" t="inlineStr">
        <is>
          <t>33</t>
        </is>
      </c>
      <c r="B34" t="inlineStr">
        <is>
          <t>Jacqui Simcock</t>
        </is>
      </c>
      <c r="C34" t="inlineStr">
        <is>
          <t>Team JMC</t>
        </is>
      </c>
      <c r="D34" t="inlineStr">
        <is>
          <t>20</t>
        </is>
      </c>
      <c r="E34">
        <f>HYPERLINK("https://www.britishcycling.org.uk/points?person_id=357380&amp;year=2021&amp;type=national&amp;d=6","Results")</f>
        <v/>
      </c>
    </row>
    <row r="35">
      <c r="A35" t="inlineStr">
        <is>
          <t>34</t>
        </is>
      </c>
      <c r="B35" t="inlineStr">
        <is>
          <t>Helen Winton</t>
        </is>
      </c>
      <c r="C35" t="inlineStr">
        <is>
          <t>Stirling Bike Club</t>
        </is>
      </c>
      <c r="D35" t="inlineStr">
        <is>
          <t>20</t>
        </is>
      </c>
      <c r="E35">
        <f>HYPERLINK("https://www.britishcycling.org.uk/points?person_id=255001&amp;year=2021&amp;type=national&amp;d=6","Results")</f>
        <v/>
      </c>
    </row>
    <row r="36">
      <c r="A36" t="inlineStr">
        <is>
          <t>35</t>
        </is>
      </c>
      <c r="B36" t="inlineStr">
        <is>
          <t>Sue McIntyre</t>
        </is>
      </c>
      <c r="C36" t="inlineStr">
        <is>
          <t>Walden Velo</t>
        </is>
      </c>
      <c r="D36" t="inlineStr">
        <is>
          <t>19</t>
        </is>
      </c>
      <c r="E36">
        <f>HYPERLINK("https://www.britishcycling.org.uk/points?person_id=124805&amp;year=2021&amp;type=national&amp;d=6","Results")</f>
        <v/>
      </c>
    </row>
    <row r="37">
      <c r="A37" t="inlineStr">
        <is>
          <t>36</t>
        </is>
      </c>
      <c r="B37" t="inlineStr">
        <is>
          <t>Claire Sharp</t>
        </is>
      </c>
      <c r="C37" t="inlineStr">
        <is>
          <t>Verulam CC</t>
        </is>
      </c>
      <c r="D37" t="inlineStr">
        <is>
          <t>16</t>
        </is>
      </c>
      <c r="E37">
        <f>HYPERLINK("https://www.britishcycling.org.uk/points?person_id=304742&amp;year=2021&amp;type=national&amp;d=6","Results")</f>
        <v/>
      </c>
    </row>
    <row r="38">
      <c r="A38" t="inlineStr">
        <is>
          <t>37</t>
        </is>
      </c>
      <c r="B38" t="inlineStr">
        <is>
          <t>Jackie Shute</t>
        </is>
      </c>
      <c r="C38" t="inlineStr">
        <is>
          <t>Mid Devon CC</t>
        </is>
      </c>
      <c r="D38" t="inlineStr">
        <is>
          <t>16</t>
        </is>
      </c>
      <c r="E38">
        <f>HYPERLINK("https://www.britishcycling.org.uk/points?person_id=395528&amp;year=2021&amp;type=national&amp;d=6","Results")</f>
        <v/>
      </c>
    </row>
    <row r="39">
      <c r="A39" t="inlineStr">
        <is>
          <t>38</t>
        </is>
      </c>
      <c r="B39" t="inlineStr">
        <is>
          <t>Maddi Smith</t>
        </is>
      </c>
      <c r="C39" t="inlineStr">
        <is>
          <t>Bolsover &amp; District Cycling Club</t>
        </is>
      </c>
      <c r="D39" t="inlineStr">
        <is>
          <t>16</t>
        </is>
      </c>
      <c r="E39">
        <f>HYPERLINK("https://www.britishcycling.org.uk/points?person_id=228103&amp;year=2021&amp;type=national&amp;d=6","Results")</f>
        <v/>
      </c>
    </row>
    <row r="40">
      <c r="A40" t="inlineStr">
        <is>
          <t>39</t>
        </is>
      </c>
      <c r="B40" t="inlineStr">
        <is>
          <t>Gill Thom</t>
        </is>
      </c>
      <c r="C40" t="inlineStr">
        <is>
          <t>Kingston Wheelers CC</t>
        </is>
      </c>
      <c r="D40" t="inlineStr">
        <is>
          <t>15</t>
        </is>
      </c>
      <c r="E40">
        <f>HYPERLINK("https://www.britishcycling.org.uk/points?person_id=271465&amp;year=2021&amp;type=national&amp;d=6","Results")</f>
        <v/>
      </c>
    </row>
    <row r="41">
      <c r="A41" t="inlineStr">
        <is>
          <t>40</t>
        </is>
      </c>
      <c r="B41" t="inlineStr">
        <is>
          <t>Marjo Van Velzen</t>
        </is>
      </c>
      <c r="C41" t="inlineStr">
        <is>
          <t>VC Deal</t>
        </is>
      </c>
      <c r="D41" t="inlineStr">
        <is>
          <t>15</t>
        </is>
      </c>
      <c r="E41">
        <f>HYPERLINK("https://www.britishcycling.org.uk/points?person_id=254404&amp;year=2021&amp;type=national&amp;d=6","Results")</f>
        <v/>
      </c>
    </row>
    <row r="42">
      <c r="A42" t="inlineStr">
        <is>
          <t>41</t>
        </is>
      </c>
      <c r="B42" t="inlineStr">
        <is>
          <t>Sarah Kelman</t>
        </is>
      </c>
      <c r="C42" t="inlineStr">
        <is>
          <t>St Ives CC</t>
        </is>
      </c>
      <c r="D42" t="inlineStr">
        <is>
          <t>13</t>
        </is>
      </c>
      <c r="E42">
        <f>HYPERLINK("https://www.britishcycling.org.uk/points?person_id=661074&amp;year=2021&amp;type=national&amp;d=6","Results")</f>
        <v/>
      </c>
    </row>
    <row r="43">
      <c r="A43" t="inlineStr">
        <is>
          <t>42</t>
        </is>
      </c>
      <c r="B43" t="inlineStr">
        <is>
          <t>Rita Humphreys</t>
        </is>
      </c>
      <c r="C43" t="inlineStr">
        <is>
          <t>Coventry Cycling Club</t>
        </is>
      </c>
      <c r="D43" t="inlineStr">
        <is>
          <t>12</t>
        </is>
      </c>
      <c r="E43">
        <f>HYPERLINK("https://www.britishcycling.org.uk/points?person_id=102896&amp;year=2021&amp;type=national&amp;d=6","Results")</f>
        <v/>
      </c>
    </row>
    <row r="44">
      <c r="A44" t="inlineStr">
        <is>
          <t>43</t>
        </is>
      </c>
      <c r="B44" t="inlineStr">
        <is>
          <t>Jean Bergin</t>
        </is>
      </c>
      <c r="C44" t="inlineStr">
        <is>
          <t>De Laune CC</t>
        </is>
      </c>
      <c r="D44" t="inlineStr">
        <is>
          <t>11</t>
        </is>
      </c>
      <c r="E44">
        <f>HYPERLINK("https://www.britishcycling.org.uk/points?person_id=416871&amp;year=2021&amp;type=national&amp;d=6","Results")</f>
        <v/>
      </c>
    </row>
    <row r="45">
      <c r="A45" t="inlineStr">
        <is>
          <t>44</t>
        </is>
      </c>
      <c r="B45" t="inlineStr">
        <is>
          <t>Nicola Hartle</t>
        </is>
      </c>
      <c r="C45" t="inlineStr">
        <is>
          <t>PH-MAS - Paul Milnes Cycles</t>
        </is>
      </c>
      <c r="D45" t="inlineStr">
        <is>
          <t>11</t>
        </is>
      </c>
      <c r="E45">
        <f>HYPERLINK("https://www.britishcycling.org.uk/points?person_id=24304&amp;year=2021&amp;type=national&amp;d=6","Results")</f>
        <v/>
      </c>
    </row>
    <row r="46">
      <c r="A46" t="inlineStr">
        <is>
          <t>45</t>
        </is>
      </c>
      <c r="B46" t="inlineStr">
        <is>
          <t>Fiona Jolly</t>
        </is>
      </c>
      <c r="C46" t="inlineStr">
        <is>
          <t>Kenilworth Wheelers CC</t>
        </is>
      </c>
      <c r="D46" t="inlineStr">
        <is>
          <t>11</t>
        </is>
      </c>
      <c r="E46">
        <f>HYPERLINK("https://www.britishcycling.org.uk/points?person_id=402369&amp;year=2021&amp;type=national&amp;d=6","Results")</f>
        <v/>
      </c>
    </row>
    <row r="47">
      <c r="A47" t="inlineStr">
        <is>
          <t>46</t>
        </is>
      </c>
      <c r="B47" t="inlineStr">
        <is>
          <t>Nicola McCoy</t>
        </is>
      </c>
      <c r="C47" t="inlineStr">
        <is>
          <t>Muckle Cycle Club</t>
        </is>
      </c>
      <c r="D47" t="inlineStr">
        <is>
          <t>10</t>
        </is>
      </c>
      <c r="E47">
        <f>HYPERLINK("https://www.britishcycling.org.uk/points?person_id=684240&amp;year=2021&amp;type=national&amp;d=6","Results")</f>
        <v/>
      </c>
    </row>
    <row r="48">
      <c r="A48" t="inlineStr">
        <is>
          <t>47</t>
        </is>
      </c>
      <c r="B48" t="inlineStr">
        <is>
          <t>Clare Johnson</t>
        </is>
      </c>
      <c r="C48" t="inlineStr">
        <is>
          <t>Brighton Mitre CC</t>
        </is>
      </c>
      <c r="D48" t="inlineStr">
        <is>
          <t>9</t>
        </is>
      </c>
      <c r="E48">
        <f>HYPERLINK("https://www.britishcycling.org.uk/points?person_id=568700&amp;year=2021&amp;type=national&amp;d=6","Results")</f>
        <v/>
      </c>
    </row>
    <row r="49">
      <c r="A49" t="inlineStr">
        <is>
          <t>48</t>
        </is>
      </c>
      <c r="B49" t="inlineStr">
        <is>
          <t>Alison Stagg</t>
        </is>
      </c>
      <c r="C49" t="inlineStr">
        <is>
          <t>VC Deal</t>
        </is>
      </c>
      <c r="D49" t="inlineStr">
        <is>
          <t>9</t>
        </is>
      </c>
      <c r="E49">
        <f>HYPERLINK("https://www.britishcycling.org.uk/points?person_id=322677&amp;year=2021&amp;type=national&amp;d=6","Results")</f>
        <v/>
      </c>
    </row>
    <row r="50">
      <c r="A50" t="inlineStr">
        <is>
          <t>49</t>
        </is>
      </c>
      <c r="B50" t="inlineStr">
        <is>
          <t>Claire Hitchings</t>
        </is>
      </c>
      <c r="C50" t="inlineStr"/>
      <c r="D50" t="inlineStr">
        <is>
          <t>8</t>
        </is>
      </c>
      <c r="E50">
        <f>HYPERLINK("https://www.britishcycling.org.uk/points?person_id=76230&amp;year=2021&amp;type=national&amp;d=6","Results")</f>
        <v/>
      </c>
    </row>
    <row r="51">
      <c r="A51" t="inlineStr">
        <is>
          <t>50</t>
        </is>
      </c>
      <c r="B51" t="inlineStr">
        <is>
          <t>Debbie MacColl</t>
        </is>
      </c>
      <c r="C51" t="inlineStr">
        <is>
          <t>Team Milton Keynes</t>
        </is>
      </c>
      <c r="D51" t="inlineStr">
        <is>
          <t>8</t>
        </is>
      </c>
      <c r="E51">
        <f>HYPERLINK("https://www.britishcycling.org.uk/points?person_id=557687&amp;year=2021&amp;type=national&amp;d=6","Results")</f>
        <v/>
      </c>
    </row>
    <row r="52">
      <c r="A52" t="inlineStr">
        <is>
          <t>51</t>
        </is>
      </c>
      <c r="B52" t="inlineStr">
        <is>
          <t>Maria David</t>
        </is>
      </c>
      <c r="C52" t="inlineStr">
        <is>
          <t>Serpentine Running Club</t>
        </is>
      </c>
      <c r="D52" t="inlineStr">
        <is>
          <t>7</t>
        </is>
      </c>
      <c r="E52">
        <f>HYPERLINK("https://www.britishcycling.org.uk/points?person_id=13402&amp;year=2021&amp;type=national&amp;d=6","Results")</f>
        <v/>
      </c>
    </row>
    <row r="53">
      <c r="A53" t="inlineStr">
        <is>
          <t>52</t>
        </is>
      </c>
      <c r="B53" t="inlineStr">
        <is>
          <t>Carol Miller</t>
        </is>
      </c>
      <c r="C53" t="inlineStr">
        <is>
          <t>Cardiff JIF</t>
        </is>
      </c>
      <c r="D53" t="inlineStr">
        <is>
          <t>7</t>
        </is>
      </c>
      <c r="E53">
        <f>HYPERLINK("https://www.britishcycling.org.uk/points?person_id=9530&amp;year=2021&amp;type=national&amp;d=6","Results")</f>
        <v/>
      </c>
    </row>
    <row r="54">
      <c r="A54" t="inlineStr">
        <is>
          <t>53</t>
        </is>
      </c>
      <c r="B54" t="inlineStr">
        <is>
          <t>Kirsteen Ellis</t>
        </is>
      </c>
      <c r="C54" t="inlineStr">
        <is>
          <t>Synergy Cycles</t>
        </is>
      </c>
      <c r="D54" t="inlineStr">
        <is>
          <t>6</t>
        </is>
      </c>
      <c r="E54">
        <f>HYPERLINK("https://www.britishcycling.org.uk/points?person_id=304067&amp;year=2021&amp;type=national&amp;d=6","Results")</f>
        <v/>
      </c>
    </row>
    <row r="55">
      <c r="A55" t="inlineStr">
        <is>
          <t>54</t>
        </is>
      </c>
      <c r="B55" t="inlineStr">
        <is>
          <t>Emily Holl</t>
        </is>
      </c>
      <c r="C55" t="inlineStr">
        <is>
          <t>Stirling Bike Club</t>
        </is>
      </c>
      <c r="D55" t="inlineStr">
        <is>
          <t>6</t>
        </is>
      </c>
      <c r="E55">
        <f>HYPERLINK("https://www.britishcycling.org.uk/points?person_id=106307&amp;year=2021&amp;type=national&amp;d=6","Results")</f>
        <v/>
      </c>
    </row>
    <row r="56">
      <c r="A56" t="inlineStr">
        <is>
          <t>55</t>
        </is>
      </c>
      <c r="B56" t="inlineStr">
        <is>
          <t>Caroline Mansfield</t>
        </is>
      </c>
      <c r="C56" t="inlineStr">
        <is>
          <t>Morvelo Magspeed Racing</t>
        </is>
      </c>
      <c r="D56" t="inlineStr">
        <is>
          <t>6</t>
        </is>
      </c>
      <c r="E56">
        <f>HYPERLINK("https://www.britishcycling.org.uk/points?person_id=179243&amp;year=2021&amp;type=national&amp;d=6","Results")</f>
        <v/>
      </c>
    </row>
    <row r="57">
      <c r="A57" t="inlineStr">
        <is>
          <t>56</t>
        </is>
      </c>
      <c r="B57" t="inlineStr">
        <is>
          <t>Sara James</t>
        </is>
      </c>
      <c r="C57" t="inlineStr">
        <is>
          <t>Clevedon &amp; District RC</t>
        </is>
      </c>
      <c r="D57" t="inlineStr">
        <is>
          <t>5</t>
        </is>
      </c>
      <c r="E57">
        <f>HYPERLINK("https://www.britishcycling.org.uk/points?person_id=615706&amp;year=2021&amp;type=national&amp;d=6","Results")</f>
        <v/>
      </c>
    </row>
    <row r="58">
      <c r="A58" t="inlineStr">
        <is>
          <t>57</t>
        </is>
      </c>
      <c r="B58" t="inlineStr">
        <is>
          <t>Elizabeth Clayton</t>
        </is>
      </c>
      <c r="C58" t="inlineStr">
        <is>
          <t>RT23</t>
        </is>
      </c>
      <c r="D58" t="inlineStr">
        <is>
          <t>4</t>
        </is>
      </c>
      <c r="E58">
        <f>HYPERLINK("https://www.britishcycling.org.uk/points?person_id=26258&amp;year=2021&amp;type=national&amp;d=6","Results")</f>
        <v/>
      </c>
    </row>
    <row r="59">
      <c r="A59" t="inlineStr">
        <is>
          <t>58</t>
        </is>
      </c>
      <c r="B59" t="inlineStr">
        <is>
          <t>Alison Taylor</t>
        </is>
      </c>
      <c r="C59" t="inlineStr">
        <is>
          <t>Shibden Cycling Club</t>
        </is>
      </c>
      <c r="D59" t="inlineStr">
        <is>
          <t>4</t>
        </is>
      </c>
      <c r="E59">
        <f>HYPERLINK("https://www.britishcycling.org.uk/points?person_id=986885&amp;year=2021&amp;type=national&amp;d=6","Results")</f>
        <v/>
      </c>
    </row>
    <row r="60">
      <c r="A60" t="inlineStr">
        <is>
          <t>59</t>
        </is>
      </c>
      <c r="B60" t="inlineStr">
        <is>
          <t>Petra Wiltshire</t>
        </is>
      </c>
      <c r="C60" t="inlineStr">
        <is>
          <t>Pronto Bikes</t>
        </is>
      </c>
      <c r="D60" t="inlineStr">
        <is>
          <t>4</t>
        </is>
      </c>
      <c r="E60">
        <f>HYPERLINK("https://www.britishcycling.org.uk/points?person_id=59110&amp;year=2021&amp;type=national&amp;d=6","Results")</f>
        <v/>
      </c>
    </row>
    <row r="61">
      <c r="A61" t="inlineStr">
        <is>
          <t>60</t>
        </is>
      </c>
      <c r="B61" t="inlineStr">
        <is>
          <t>Lucie Gallen</t>
        </is>
      </c>
      <c r="C61" t="inlineStr">
        <is>
          <t>Team Milton Keynes</t>
        </is>
      </c>
      <c r="D61" t="inlineStr">
        <is>
          <t>3</t>
        </is>
      </c>
      <c r="E61">
        <f>HYPERLINK("https://www.britishcycling.org.uk/points?person_id=201337&amp;year=2021&amp;type=national&amp;d=6","Results")</f>
        <v/>
      </c>
    </row>
    <row r="62">
      <c r="A62" t="inlineStr">
        <is>
          <t>61</t>
        </is>
      </c>
      <c r="B62" t="inlineStr">
        <is>
          <t>Liz Rylott</t>
        </is>
      </c>
      <c r="C62" t="inlineStr">
        <is>
          <t>York Cycleworks</t>
        </is>
      </c>
      <c r="D62" t="inlineStr">
        <is>
          <t>2</t>
        </is>
      </c>
      <c r="E62">
        <f>HYPERLINK("https://www.britishcycling.org.uk/points?person_id=237085&amp;year=2021&amp;type=national&amp;d=6","Results")</f>
        <v/>
      </c>
    </row>
    <row r="63">
      <c r="A63" t="inlineStr">
        <is>
          <t>62</t>
        </is>
      </c>
      <c r="B63" t="inlineStr">
        <is>
          <t>Carolyn Swan</t>
        </is>
      </c>
      <c r="C63" t="inlineStr">
        <is>
          <t>1904 RT</t>
        </is>
      </c>
      <c r="D63" t="inlineStr">
        <is>
          <t>2</t>
        </is>
      </c>
      <c r="E63">
        <f>HYPERLINK("https://www.britishcycling.org.uk/points?person_id=278236&amp;year=2021&amp;type=national&amp;d=6","Results")</f>
        <v/>
      </c>
    </row>
    <row r="64">
      <c r="A64" t="inlineStr">
        <is>
          <t>63</t>
        </is>
      </c>
      <c r="B64" t="inlineStr">
        <is>
          <t>Lynette Farrar</t>
        </is>
      </c>
      <c r="C64" t="inlineStr"/>
      <c r="D64" t="inlineStr">
        <is>
          <t>1</t>
        </is>
      </c>
      <c r="E64">
        <f>HYPERLINK("https://www.britishcycling.org.uk/points?person_id=1027235&amp;year=2021&amp;type=national&amp;d=6","Results")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Nicola Davies</t>
        </is>
      </c>
      <c r="C2" t="inlineStr">
        <is>
          <t>www.cyclocrossrider.com</t>
        </is>
      </c>
      <c r="D2" t="inlineStr">
        <is>
          <t>88</t>
        </is>
      </c>
      <c r="E2">
        <f>HYPERLINK("https://www.britishcycling.org.uk/points?person_id=23143&amp;year=2021&amp;type=national&amp;d=6","Results")</f>
        <v/>
      </c>
    </row>
    <row r="3">
      <c r="A3" t="inlineStr">
        <is>
          <t>2</t>
        </is>
      </c>
      <c r="B3" t="inlineStr">
        <is>
          <t>Brenda Bozwood Davies</t>
        </is>
      </c>
      <c r="C3" t="inlineStr">
        <is>
          <t>Team Trident</t>
        </is>
      </c>
      <c r="D3" t="inlineStr">
        <is>
          <t>46</t>
        </is>
      </c>
      <c r="E3">
        <f>HYPERLINK("https://www.britishcycling.org.uk/points?person_id=223054&amp;year=2021&amp;type=national&amp;d=6","Results")</f>
        <v/>
      </c>
    </row>
    <row r="4">
      <c r="A4" t="inlineStr">
        <is>
          <t>3</t>
        </is>
      </c>
      <c r="B4" t="inlineStr">
        <is>
          <t>Carolyn Speirs</t>
        </is>
      </c>
      <c r="C4" t="inlineStr">
        <is>
          <t>Kendal Cycle Club</t>
        </is>
      </c>
      <c r="D4" t="inlineStr">
        <is>
          <t>41</t>
        </is>
      </c>
      <c r="E4">
        <f>HYPERLINK("https://www.britishcycling.org.uk/points?person_id=43271&amp;year=2021&amp;type=national&amp;d=6","Results")</f>
        <v/>
      </c>
    </row>
    <row r="5">
      <c r="A5" t="inlineStr">
        <is>
          <t>4</t>
        </is>
      </c>
      <c r="B5" t="inlineStr">
        <is>
          <t>Lydia Gould</t>
        </is>
      </c>
      <c r="C5" t="inlineStr">
        <is>
          <t>Velo Club Venta</t>
        </is>
      </c>
      <c r="D5" t="inlineStr">
        <is>
          <t>35</t>
        </is>
      </c>
      <c r="E5">
        <f>HYPERLINK("https://www.britishcycling.org.uk/points?person_id=25383&amp;year=2021&amp;type=national&amp;d=6","Results")</f>
        <v/>
      </c>
    </row>
    <row r="6">
      <c r="A6" t="inlineStr">
        <is>
          <t>5</t>
        </is>
      </c>
      <c r="B6" t="inlineStr">
        <is>
          <t>Sally Reid</t>
        </is>
      </c>
      <c r="C6" t="inlineStr">
        <is>
          <t>Morvelo Magspeed Racing</t>
        </is>
      </c>
      <c r="D6" t="inlineStr">
        <is>
          <t>28</t>
        </is>
      </c>
      <c r="E6">
        <f>HYPERLINK("https://www.britishcycling.org.uk/points?person_id=333365&amp;year=2021&amp;type=national&amp;d=6","Results")</f>
        <v/>
      </c>
    </row>
    <row r="7">
      <c r="A7" t="inlineStr">
        <is>
          <t>6</t>
        </is>
      </c>
      <c r="B7" t="inlineStr">
        <is>
          <t>Karen Payton</t>
        </is>
      </c>
      <c r="C7" t="inlineStr"/>
      <c r="D7" t="inlineStr">
        <is>
          <t>19</t>
        </is>
      </c>
      <c r="E7">
        <f>HYPERLINK("https://www.britishcycling.org.uk/points?person_id=37432&amp;year=2021&amp;type=national&amp;d=6","Results")</f>
        <v/>
      </c>
    </row>
    <row r="8">
      <c r="A8" t="inlineStr">
        <is>
          <t>7</t>
        </is>
      </c>
      <c r="B8" t="inlineStr">
        <is>
          <t>Elizabeth Webb</t>
        </is>
      </c>
      <c r="C8" t="inlineStr">
        <is>
          <t>Cardiff Ajax CC</t>
        </is>
      </c>
      <c r="D8" t="inlineStr">
        <is>
          <t>18</t>
        </is>
      </c>
      <c r="E8">
        <f>HYPERLINK("https://www.britishcycling.org.uk/points?person_id=79422&amp;year=2021&amp;type=national&amp;d=6","Results")</f>
        <v/>
      </c>
    </row>
    <row r="9">
      <c r="A9" t="inlineStr">
        <is>
          <t>8</t>
        </is>
      </c>
      <c r="B9" t="inlineStr">
        <is>
          <t>Maureen Sinclair</t>
        </is>
      </c>
      <c r="C9" t="inlineStr">
        <is>
          <t>MTS Cycle Sport</t>
        </is>
      </c>
      <c r="D9" t="inlineStr">
        <is>
          <t>7</t>
        </is>
      </c>
      <c r="E9">
        <f>HYPERLINK("https://www.britishcycling.org.uk/points?person_id=920767&amp;year=2021&amp;type=national&amp;d=6","Results")</f>
        <v/>
      </c>
    </row>
    <row r="10">
      <c r="A10" t="inlineStr">
        <is>
          <t>9</t>
        </is>
      </c>
      <c r="B10" t="inlineStr">
        <is>
          <t>Janet Burthem</t>
        </is>
      </c>
      <c r="C10" t="inlineStr">
        <is>
          <t>Velo Club Melyd</t>
        </is>
      </c>
      <c r="D10" t="inlineStr">
        <is>
          <t>3</t>
        </is>
      </c>
      <c r="E10">
        <f>HYPERLINK("https://www.britishcycling.org.uk/points?person_id=175434&amp;year=2021&amp;type=national&amp;d=6","Results")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75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Alfie Amey</t>
        </is>
      </c>
      <c r="C2" t="inlineStr">
        <is>
          <t>DB Racing</t>
        </is>
      </c>
      <c r="D2" t="inlineStr">
        <is>
          <t>954</t>
        </is>
      </c>
      <c r="E2">
        <f>HYPERLINK("https://www.britishcycling.org.uk/points?person_id=218543&amp;year=2021&amp;type=national&amp;d=6","Results")</f>
        <v/>
      </c>
    </row>
    <row r="3">
      <c r="A3" t="inlineStr">
        <is>
          <t>2</t>
        </is>
      </c>
      <c r="B3" t="inlineStr">
        <is>
          <t>Oscar Martin</t>
        </is>
      </c>
      <c r="C3" t="inlineStr">
        <is>
          <t>ROTOR Race Team</t>
        </is>
      </c>
      <c r="D3" t="inlineStr">
        <is>
          <t>818</t>
        </is>
      </c>
      <c r="E3">
        <f>HYPERLINK("https://www.britishcycling.org.uk/points?person_id=386481&amp;year=2021&amp;type=national&amp;d=6","Results")</f>
        <v/>
      </c>
    </row>
    <row r="4">
      <c r="A4" t="inlineStr">
        <is>
          <t>3</t>
        </is>
      </c>
      <c r="B4" t="inlineStr">
        <is>
          <t>Sebastian Grindley</t>
        </is>
      </c>
      <c r="C4" t="inlineStr">
        <is>
          <t>Garden Shed UK-Ribble-Verge Sport</t>
        </is>
      </c>
      <c r="D4" t="inlineStr">
        <is>
          <t>788</t>
        </is>
      </c>
      <c r="E4">
        <f>HYPERLINK("https://www.britishcycling.org.uk/points?person_id=330519&amp;year=2021&amp;type=national&amp;d=6","Results")</f>
        <v/>
      </c>
    </row>
    <row r="5">
      <c r="A5" t="inlineStr">
        <is>
          <t>4</t>
        </is>
      </c>
      <c r="B5" t="inlineStr">
        <is>
          <t>Oscar Amey</t>
        </is>
      </c>
      <c r="C5" t="inlineStr">
        <is>
          <t>DB Racing</t>
        </is>
      </c>
      <c r="D5" t="inlineStr">
        <is>
          <t>698</t>
        </is>
      </c>
      <c r="E5">
        <f>HYPERLINK("https://www.britishcycling.org.uk/points?person_id=218544&amp;year=2021&amp;type=national&amp;d=6","Results")</f>
        <v/>
      </c>
    </row>
    <row r="6">
      <c r="A6" t="inlineStr">
        <is>
          <t>5</t>
        </is>
      </c>
      <c r="B6" t="inlineStr">
        <is>
          <t>Peter Carpenter</t>
        </is>
      </c>
      <c r="C6" t="inlineStr">
        <is>
          <t>C and N Cycles RT</t>
        </is>
      </c>
      <c r="D6" t="inlineStr">
        <is>
          <t>559</t>
        </is>
      </c>
      <c r="E6">
        <f>HYPERLINK("https://www.britishcycling.org.uk/points?person_id=228183&amp;year=2021&amp;type=national&amp;d=6","Results")</f>
        <v/>
      </c>
    </row>
    <row r="7">
      <c r="A7" t="inlineStr">
        <is>
          <t>6</t>
        </is>
      </c>
      <c r="B7" t="inlineStr">
        <is>
          <t>Nathaniel Henderson</t>
        </is>
      </c>
      <c r="C7" t="inlineStr">
        <is>
          <t>Hetton Hawks Cycling Club</t>
        </is>
      </c>
      <c r="D7" t="inlineStr">
        <is>
          <t>484</t>
        </is>
      </c>
      <c r="E7">
        <f>HYPERLINK("https://www.britishcycling.org.uk/points?person_id=241825&amp;year=2021&amp;type=national&amp;d=6","Results")</f>
        <v/>
      </c>
    </row>
    <row r="8">
      <c r="A8" t="inlineStr">
        <is>
          <t>7</t>
        </is>
      </c>
      <c r="B8" t="inlineStr">
        <is>
          <t>Ben Coppola</t>
        </is>
      </c>
      <c r="C8" t="inlineStr">
        <is>
          <t>Four4th</t>
        </is>
      </c>
      <c r="D8" t="inlineStr">
        <is>
          <t>474</t>
        </is>
      </c>
      <c r="E8">
        <f>HYPERLINK("https://www.britishcycling.org.uk/points?person_id=139080&amp;year=2021&amp;type=national&amp;d=6","Results")</f>
        <v/>
      </c>
    </row>
    <row r="9">
      <c r="A9" t="inlineStr">
        <is>
          <t>8</t>
        </is>
      </c>
      <c r="B9" t="inlineStr">
        <is>
          <t>Spencer Corder</t>
        </is>
      </c>
      <c r="C9" t="inlineStr">
        <is>
          <t>ROTOR Race Team</t>
        </is>
      </c>
      <c r="D9" t="inlineStr">
        <is>
          <t>465</t>
        </is>
      </c>
      <c r="E9">
        <f>HYPERLINK("https://www.britishcycling.org.uk/points?person_id=290168&amp;year=2021&amp;type=national&amp;d=6","Results")</f>
        <v/>
      </c>
    </row>
    <row r="10">
      <c r="A10" t="inlineStr">
        <is>
          <t>9</t>
        </is>
      </c>
      <c r="B10" t="inlineStr">
        <is>
          <t>Joshua Jackson</t>
        </is>
      </c>
      <c r="C10" t="inlineStr">
        <is>
          <t>Team Ohten Aveas</t>
        </is>
      </c>
      <c r="D10" t="inlineStr">
        <is>
          <t>426</t>
        </is>
      </c>
      <c r="E10">
        <f>HYPERLINK("https://www.britishcycling.org.uk/points?person_id=177538&amp;year=2021&amp;type=national&amp;d=6","Results")</f>
        <v/>
      </c>
    </row>
    <row r="11">
      <c r="A11" t="inlineStr">
        <is>
          <t>10</t>
        </is>
      </c>
      <c r="B11" t="inlineStr">
        <is>
          <t>Denholm Edwards</t>
        </is>
      </c>
      <c r="C11" t="inlineStr">
        <is>
          <t>Harrogate Nova CC</t>
        </is>
      </c>
      <c r="D11" t="inlineStr">
        <is>
          <t>401</t>
        </is>
      </c>
      <c r="E11">
        <f>HYPERLINK("https://www.britishcycling.org.uk/points?person_id=416881&amp;year=2021&amp;type=national&amp;d=6","Results")</f>
        <v/>
      </c>
    </row>
    <row r="12">
      <c r="A12" t="inlineStr">
        <is>
          <t>11</t>
        </is>
      </c>
      <c r="B12" t="inlineStr">
        <is>
          <t>Adam Jones</t>
        </is>
      </c>
      <c r="C12" t="inlineStr">
        <is>
          <t>Four4th</t>
        </is>
      </c>
      <c r="D12" t="inlineStr">
        <is>
          <t>351</t>
        </is>
      </c>
      <c r="E12">
        <f>HYPERLINK("https://www.britishcycling.org.uk/points?person_id=667395&amp;year=2021&amp;type=national&amp;d=6","Results")</f>
        <v/>
      </c>
    </row>
    <row r="13">
      <c r="A13" t="inlineStr">
        <is>
          <t>12</t>
        </is>
      </c>
      <c r="B13" t="inlineStr">
        <is>
          <t>Lewis Tinsley</t>
        </is>
      </c>
      <c r="C13" t="inlineStr">
        <is>
          <t>ROTOR Race Team</t>
        </is>
      </c>
      <c r="D13" t="inlineStr">
        <is>
          <t>350</t>
        </is>
      </c>
      <c r="E13">
        <f>HYPERLINK("https://www.britishcycling.org.uk/points?person_id=285574&amp;year=2021&amp;type=national&amp;d=6","Results")</f>
        <v/>
      </c>
    </row>
    <row r="14">
      <c r="A14" t="inlineStr">
        <is>
          <t>13</t>
        </is>
      </c>
      <c r="B14" t="inlineStr">
        <is>
          <t>Ollie Boarer</t>
        </is>
      </c>
      <c r="C14" t="inlineStr">
        <is>
          <t>FlandersColor Galloo</t>
        </is>
      </c>
      <c r="D14" t="inlineStr">
        <is>
          <t>348</t>
        </is>
      </c>
      <c r="E14">
        <f>HYPERLINK("https://www.britishcycling.org.uk/points?person_id=328254&amp;year=2021&amp;type=national&amp;d=6","Results")</f>
        <v/>
      </c>
    </row>
    <row r="15">
      <c r="A15" t="inlineStr">
        <is>
          <t>14</t>
        </is>
      </c>
      <c r="B15" t="inlineStr">
        <is>
          <t>Mackenzie Riley</t>
        </is>
      </c>
      <c r="C15" t="inlineStr">
        <is>
          <t>Shibden Cycling Club</t>
        </is>
      </c>
      <c r="D15" t="inlineStr">
        <is>
          <t>337</t>
        </is>
      </c>
      <c r="E15">
        <f>HYPERLINK("https://www.britishcycling.org.uk/points?person_id=383351&amp;year=2021&amp;type=national&amp;d=6","Results")</f>
        <v/>
      </c>
    </row>
    <row r="16">
      <c r="A16" t="inlineStr">
        <is>
          <t>15</t>
        </is>
      </c>
      <c r="B16" t="inlineStr">
        <is>
          <t>Oliver Dawson</t>
        </is>
      </c>
      <c r="C16" t="inlineStr">
        <is>
          <t>RTD - J'sCycleShack</t>
        </is>
      </c>
      <c r="D16" t="inlineStr">
        <is>
          <t>335</t>
        </is>
      </c>
      <c r="E16">
        <f>HYPERLINK("https://www.britishcycling.org.uk/points?person_id=561633&amp;year=2021&amp;type=national&amp;d=6","Results")</f>
        <v/>
      </c>
    </row>
    <row r="17">
      <c r="A17" t="inlineStr">
        <is>
          <t>16</t>
        </is>
      </c>
      <c r="B17" t="inlineStr">
        <is>
          <t>Alfie Davies</t>
        </is>
      </c>
      <c r="C17" t="inlineStr">
        <is>
          <t>The Bulls</t>
        </is>
      </c>
      <c r="D17" t="inlineStr">
        <is>
          <t>319</t>
        </is>
      </c>
      <c r="E17">
        <f>HYPERLINK("https://www.britishcycling.org.uk/points?person_id=231550&amp;year=2021&amp;type=national&amp;d=6","Results")</f>
        <v/>
      </c>
    </row>
    <row r="18">
      <c r="A18" t="inlineStr">
        <is>
          <t>17</t>
        </is>
      </c>
      <c r="B18" t="inlineStr">
        <is>
          <t>Harley Gregory</t>
        </is>
      </c>
      <c r="C18" t="inlineStr">
        <is>
          <t>West Suffolk Wheelers</t>
        </is>
      </c>
      <c r="D18" t="inlineStr">
        <is>
          <t>316</t>
        </is>
      </c>
      <c r="E18">
        <f>HYPERLINK("https://www.britishcycling.org.uk/points?person_id=287901&amp;year=2021&amp;type=national&amp;d=6","Results")</f>
        <v/>
      </c>
    </row>
    <row r="19">
      <c r="A19" t="inlineStr">
        <is>
          <t>18</t>
        </is>
      </c>
      <c r="B19" t="inlineStr">
        <is>
          <t>John White</t>
        </is>
      </c>
      <c r="C19" t="inlineStr">
        <is>
          <t>North Cheshire Clarion</t>
        </is>
      </c>
      <c r="D19" t="inlineStr">
        <is>
          <t>316</t>
        </is>
      </c>
      <c r="E19">
        <f>HYPERLINK("https://www.britishcycling.org.uk/points?person_id=195431&amp;year=2021&amp;type=national&amp;d=6","Results")</f>
        <v/>
      </c>
    </row>
    <row r="20">
      <c r="A20" t="inlineStr">
        <is>
          <t>19</t>
        </is>
      </c>
      <c r="B20" t="inlineStr">
        <is>
          <t>Alex Taylor</t>
        </is>
      </c>
      <c r="C20" t="inlineStr">
        <is>
          <t>Pedalon.co.uk</t>
        </is>
      </c>
      <c r="D20" t="inlineStr">
        <is>
          <t>314</t>
        </is>
      </c>
      <c r="E20">
        <f>HYPERLINK("https://www.britishcycling.org.uk/points?person_id=662940&amp;year=2021&amp;type=national&amp;d=6","Results")</f>
        <v/>
      </c>
    </row>
    <row r="21">
      <c r="A21" t="inlineStr">
        <is>
          <t>20</t>
        </is>
      </c>
      <c r="B21" t="inlineStr">
        <is>
          <t>Innes McDonald</t>
        </is>
      </c>
      <c r="C21" t="inlineStr">
        <is>
          <t>Edinburgh RC</t>
        </is>
      </c>
      <c r="D21" t="inlineStr">
        <is>
          <t>303</t>
        </is>
      </c>
      <c r="E21">
        <f>HYPERLINK("https://www.britishcycling.org.uk/points?person_id=340261&amp;year=2021&amp;type=national&amp;d=6","Results")</f>
        <v/>
      </c>
    </row>
    <row r="22">
      <c r="A22" t="inlineStr">
        <is>
          <t>21</t>
        </is>
      </c>
      <c r="B22" t="inlineStr">
        <is>
          <t>Felix Earth</t>
        </is>
      </c>
      <c r="C22" t="inlineStr">
        <is>
          <t>Sleaford Wheelers Cycling Club</t>
        </is>
      </c>
      <c r="D22" t="inlineStr">
        <is>
          <t>301</t>
        </is>
      </c>
      <c r="E22">
        <f>HYPERLINK("https://www.britishcycling.org.uk/points?person_id=706564&amp;year=2021&amp;type=national&amp;d=6","Results")</f>
        <v/>
      </c>
    </row>
    <row r="23">
      <c r="A23" t="inlineStr">
        <is>
          <t>22</t>
        </is>
      </c>
      <c r="B23" t="inlineStr">
        <is>
          <t>Luke Gibson</t>
        </is>
      </c>
      <c r="C23" t="inlineStr">
        <is>
          <t>4T+ Cyclopark</t>
        </is>
      </c>
      <c r="D23" t="inlineStr">
        <is>
          <t>273</t>
        </is>
      </c>
      <c r="E23">
        <f>HYPERLINK("https://www.britishcycling.org.uk/points?person_id=218449&amp;year=2021&amp;type=national&amp;d=6","Results")</f>
        <v/>
      </c>
    </row>
    <row r="24">
      <c r="A24" t="inlineStr">
        <is>
          <t>23</t>
        </is>
      </c>
      <c r="B24" t="inlineStr">
        <is>
          <t>Joel Hurt</t>
        </is>
      </c>
      <c r="C24" t="inlineStr">
        <is>
          <t>Derwentside CC</t>
        </is>
      </c>
      <c r="D24" t="inlineStr">
        <is>
          <t>270</t>
        </is>
      </c>
      <c r="E24">
        <f>HYPERLINK("https://www.britishcycling.org.uk/points?person_id=218581&amp;year=2021&amp;type=national&amp;d=6","Results")</f>
        <v/>
      </c>
    </row>
    <row r="25">
      <c r="A25" t="inlineStr">
        <is>
          <t>24</t>
        </is>
      </c>
      <c r="B25" t="inlineStr">
        <is>
          <t>Finlay Mowat</t>
        </is>
      </c>
      <c r="C25" t="inlineStr">
        <is>
          <t>Avid Sport</t>
        </is>
      </c>
      <c r="D25" t="inlineStr">
        <is>
          <t>262</t>
        </is>
      </c>
      <c r="E25">
        <f>HYPERLINK("https://www.britishcycling.org.uk/points?person_id=973812&amp;year=2021&amp;type=national&amp;d=6","Results")</f>
        <v/>
      </c>
    </row>
    <row r="26">
      <c r="A26" t="inlineStr">
        <is>
          <t>25</t>
        </is>
      </c>
      <c r="B26" t="inlineStr">
        <is>
          <t>Elliot Rowe</t>
        </is>
      </c>
      <c r="C26" t="inlineStr">
        <is>
          <t>Deeside Thistle CC</t>
        </is>
      </c>
      <c r="D26" t="inlineStr">
        <is>
          <t>254</t>
        </is>
      </c>
      <c r="E26">
        <f>HYPERLINK("https://www.britishcycling.org.uk/points?person_id=259512&amp;year=2021&amp;type=national&amp;d=6","Results")</f>
        <v/>
      </c>
    </row>
    <row r="27">
      <c r="A27" t="inlineStr">
        <is>
          <t>26</t>
        </is>
      </c>
      <c r="B27" t="inlineStr">
        <is>
          <t>Joseph Wright</t>
        </is>
      </c>
      <c r="C27" t="inlineStr">
        <is>
          <t>Team Zoyland Race Academy</t>
        </is>
      </c>
      <c r="D27" t="inlineStr">
        <is>
          <t>224</t>
        </is>
      </c>
      <c r="E27">
        <f>HYPERLINK("https://www.britishcycling.org.uk/points?person_id=424325&amp;year=2021&amp;type=national&amp;d=6","Results")</f>
        <v/>
      </c>
    </row>
    <row r="28">
      <c r="A28" t="inlineStr">
        <is>
          <t>27</t>
        </is>
      </c>
      <c r="B28" t="inlineStr">
        <is>
          <t>Ewan Dix</t>
        </is>
      </c>
      <c r="C28" t="inlineStr">
        <is>
          <t>Dartmoor Velo–CareControlSystems</t>
        </is>
      </c>
      <c r="D28" t="inlineStr">
        <is>
          <t>215</t>
        </is>
      </c>
      <c r="E28">
        <f>HYPERLINK("https://www.britishcycling.org.uk/points?person_id=543546&amp;year=2021&amp;type=national&amp;d=6","Results")</f>
        <v/>
      </c>
    </row>
    <row r="29">
      <c r="A29" t="inlineStr">
        <is>
          <t>28</t>
        </is>
      </c>
      <c r="B29" t="inlineStr">
        <is>
          <t>Callum Evans</t>
        </is>
      </c>
      <c r="C29" t="inlineStr">
        <is>
          <t>Sleaford Wheelers Cycling Club</t>
        </is>
      </c>
      <c r="D29" t="inlineStr">
        <is>
          <t>210</t>
        </is>
      </c>
      <c r="E29">
        <f>HYPERLINK("https://www.britishcycling.org.uk/points?person_id=735592&amp;year=2021&amp;type=national&amp;d=6","Results")</f>
        <v/>
      </c>
    </row>
    <row r="30">
      <c r="A30" t="inlineStr">
        <is>
          <t>29</t>
        </is>
      </c>
      <c r="B30" t="inlineStr">
        <is>
          <t>Magnus Denwood</t>
        </is>
      </c>
      <c r="C30" t="inlineStr">
        <is>
          <t>Harrogate Nova CC</t>
        </is>
      </c>
      <c r="D30" t="inlineStr">
        <is>
          <t>207</t>
        </is>
      </c>
      <c r="E30">
        <f>HYPERLINK("https://www.britishcycling.org.uk/points?person_id=781446&amp;year=2021&amp;type=national&amp;d=6","Results")</f>
        <v/>
      </c>
    </row>
    <row r="31">
      <c r="A31" t="inlineStr">
        <is>
          <t>30</t>
        </is>
      </c>
      <c r="B31" t="inlineStr">
        <is>
          <t>Reece Pittman</t>
        </is>
      </c>
      <c r="C31" t="inlineStr">
        <is>
          <t>Palmer Park Velo RT</t>
        </is>
      </c>
      <c r="D31" t="inlineStr">
        <is>
          <t>206</t>
        </is>
      </c>
      <c r="E31">
        <f>HYPERLINK("https://www.britishcycling.org.uk/points?person_id=744729&amp;year=2021&amp;type=national&amp;d=6","Results")</f>
        <v/>
      </c>
    </row>
    <row r="32">
      <c r="A32" t="inlineStr">
        <is>
          <t>31</t>
        </is>
      </c>
      <c r="B32" t="inlineStr">
        <is>
          <t>Oliver Meentzen-Alldritt</t>
        </is>
      </c>
      <c r="C32" t="inlineStr">
        <is>
          <t>Wolverhampton Wheelers</t>
        </is>
      </c>
      <c r="D32" t="inlineStr">
        <is>
          <t>204</t>
        </is>
      </c>
      <c r="E32">
        <f>HYPERLINK("https://www.britishcycling.org.uk/points?person_id=1003534&amp;year=2021&amp;type=national&amp;d=6","Results")</f>
        <v/>
      </c>
    </row>
    <row r="33">
      <c r="A33" t="inlineStr">
        <is>
          <t>32</t>
        </is>
      </c>
      <c r="B33" t="inlineStr">
        <is>
          <t>Dylan Cherruault</t>
        </is>
      </c>
      <c r="C33" t="inlineStr">
        <is>
          <t>Avid Sport</t>
        </is>
      </c>
      <c r="D33" t="inlineStr">
        <is>
          <t>203</t>
        </is>
      </c>
      <c r="E33">
        <f>HYPERLINK("https://www.britishcycling.org.uk/points?person_id=615296&amp;year=2021&amp;type=national&amp;d=6","Results")</f>
        <v/>
      </c>
    </row>
    <row r="34">
      <c r="A34" t="inlineStr">
        <is>
          <t>33</t>
        </is>
      </c>
      <c r="B34" t="inlineStr">
        <is>
          <t>Jamie Stewart</t>
        </is>
      </c>
      <c r="C34" t="inlineStr">
        <is>
          <t>Shibden Cycling Club</t>
        </is>
      </c>
      <c r="D34" t="inlineStr">
        <is>
          <t>202</t>
        </is>
      </c>
      <c r="E34">
        <f>HYPERLINK("https://www.britishcycling.org.uk/points?person_id=359028&amp;year=2021&amp;type=national&amp;d=6","Results")</f>
        <v/>
      </c>
    </row>
    <row r="35">
      <c r="A35" t="inlineStr">
        <is>
          <t>34</t>
        </is>
      </c>
      <c r="B35" t="inlineStr">
        <is>
          <t>Noah Horton</t>
        </is>
      </c>
      <c r="C35" t="inlineStr">
        <is>
          <t>Palmer Park Velo RT</t>
        </is>
      </c>
      <c r="D35" t="inlineStr">
        <is>
          <t>199</t>
        </is>
      </c>
      <c r="E35">
        <f>HYPERLINK("https://www.britishcycling.org.uk/points?person_id=616955&amp;year=2021&amp;type=national&amp;d=6","Results")</f>
        <v/>
      </c>
    </row>
    <row r="36">
      <c r="A36" t="inlineStr">
        <is>
          <t>35</t>
        </is>
      </c>
      <c r="B36" t="inlineStr">
        <is>
          <t>Luca Bednarek</t>
        </is>
      </c>
      <c r="C36" t="inlineStr">
        <is>
          <t>Kirklees Cycling Academy</t>
        </is>
      </c>
      <c r="D36" t="inlineStr">
        <is>
          <t>195</t>
        </is>
      </c>
      <c r="E36">
        <f>HYPERLINK("https://www.britishcycling.org.uk/points?person_id=469206&amp;year=2021&amp;type=national&amp;d=6","Results")</f>
        <v/>
      </c>
    </row>
    <row r="37">
      <c r="A37" t="inlineStr">
        <is>
          <t>36</t>
        </is>
      </c>
      <c r="B37" t="inlineStr">
        <is>
          <t>Kai Buckley</t>
        </is>
      </c>
      <c r="C37" t="inlineStr">
        <is>
          <t>Beeston Cycling Club</t>
        </is>
      </c>
      <c r="D37" t="inlineStr">
        <is>
          <t>194</t>
        </is>
      </c>
      <c r="E37">
        <f>HYPERLINK("https://www.britishcycling.org.uk/points?person_id=527317&amp;year=2021&amp;type=national&amp;d=6","Results")</f>
        <v/>
      </c>
    </row>
    <row r="38">
      <c r="A38" t="inlineStr">
        <is>
          <t>37</t>
        </is>
      </c>
      <c r="B38" t="inlineStr">
        <is>
          <t>Mak Larkin</t>
        </is>
      </c>
      <c r="C38" t="inlineStr">
        <is>
          <t>ROTOR Race Team</t>
        </is>
      </c>
      <c r="D38" t="inlineStr">
        <is>
          <t>193</t>
        </is>
      </c>
      <c r="E38">
        <f>HYPERLINK("https://www.britishcycling.org.uk/points?person_id=604670&amp;year=2021&amp;type=national&amp;d=6","Results")</f>
        <v/>
      </c>
    </row>
    <row r="39">
      <c r="A39" t="inlineStr">
        <is>
          <t>38</t>
        </is>
      </c>
      <c r="B39" t="inlineStr">
        <is>
          <t>Ethan Storti</t>
        </is>
      </c>
      <c r="C39" t="inlineStr">
        <is>
          <t>Welwyn Wheelers CC</t>
        </is>
      </c>
      <c r="D39" t="inlineStr">
        <is>
          <t>190</t>
        </is>
      </c>
      <c r="E39">
        <f>HYPERLINK("https://www.britishcycling.org.uk/points?person_id=284887&amp;year=2021&amp;type=national&amp;d=6","Results")</f>
        <v/>
      </c>
    </row>
    <row r="40">
      <c r="A40" t="inlineStr">
        <is>
          <t>39</t>
        </is>
      </c>
      <c r="B40" t="inlineStr">
        <is>
          <t>Rowan Baxter</t>
        </is>
      </c>
      <c r="C40" t="inlineStr">
        <is>
          <t>Huddersfield Star Wheelers</t>
        </is>
      </c>
      <c r="D40" t="inlineStr">
        <is>
          <t>189</t>
        </is>
      </c>
      <c r="E40">
        <f>HYPERLINK("https://www.britishcycling.org.uk/points?person_id=314080&amp;year=2021&amp;type=national&amp;d=6","Results")</f>
        <v/>
      </c>
    </row>
    <row r="41">
      <c r="A41" t="inlineStr">
        <is>
          <t>40</t>
        </is>
      </c>
      <c r="B41" t="inlineStr">
        <is>
          <t>Joe Watkins-Wilson</t>
        </is>
      </c>
      <c r="C41" t="inlineStr">
        <is>
          <t>North Cheshire Clarion</t>
        </is>
      </c>
      <c r="D41" t="inlineStr">
        <is>
          <t>183</t>
        </is>
      </c>
      <c r="E41">
        <f>HYPERLINK("https://www.britishcycling.org.uk/points?person_id=550008&amp;year=2021&amp;type=national&amp;d=6","Results")</f>
        <v/>
      </c>
    </row>
    <row r="42">
      <c r="A42" t="inlineStr">
        <is>
          <t>41</t>
        </is>
      </c>
      <c r="B42" t="inlineStr">
        <is>
          <t>Matthew Bell</t>
        </is>
      </c>
      <c r="C42" t="inlineStr">
        <is>
          <t>Kirklees Cycling Academy</t>
        </is>
      </c>
      <c r="D42" t="inlineStr">
        <is>
          <t>182</t>
        </is>
      </c>
      <c r="E42">
        <f>HYPERLINK("https://www.britishcycling.org.uk/points?person_id=385736&amp;year=2021&amp;type=national&amp;d=6","Results")</f>
        <v/>
      </c>
    </row>
    <row r="43">
      <c r="A43" t="inlineStr">
        <is>
          <t>42</t>
        </is>
      </c>
      <c r="B43" t="inlineStr">
        <is>
          <t>Dillon Air</t>
        </is>
      </c>
      <c r="C43" t="inlineStr">
        <is>
          <t>Ilkeston Cycle Club</t>
        </is>
      </c>
      <c r="D43" t="inlineStr">
        <is>
          <t>175</t>
        </is>
      </c>
      <c r="E43">
        <f>HYPERLINK("https://www.britishcycling.org.uk/points?person_id=376907&amp;year=2021&amp;type=national&amp;d=6","Results")</f>
        <v/>
      </c>
    </row>
    <row r="44">
      <c r="A44" t="inlineStr">
        <is>
          <t>43</t>
        </is>
      </c>
      <c r="B44" t="inlineStr">
        <is>
          <t>Declan Oldham</t>
        </is>
      </c>
      <c r="C44" t="inlineStr">
        <is>
          <t>Hope Factory Racing</t>
        </is>
      </c>
      <c r="D44" t="inlineStr">
        <is>
          <t>174</t>
        </is>
      </c>
      <c r="E44">
        <f>HYPERLINK("https://www.britishcycling.org.uk/points?person_id=766143&amp;year=2021&amp;type=national&amp;d=6","Results")</f>
        <v/>
      </c>
    </row>
    <row r="45">
      <c r="A45" t="inlineStr">
        <is>
          <t>44</t>
        </is>
      </c>
      <c r="B45" t="inlineStr">
        <is>
          <t>Oscar Davies</t>
        </is>
      </c>
      <c r="C45" t="inlineStr">
        <is>
          <t>CC Abergavenny - JP Signs &amp; Print</t>
        </is>
      </c>
      <c r="D45" t="inlineStr">
        <is>
          <t>171</t>
        </is>
      </c>
      <c r="E45">
        <f>HYPERLINK("https://www.britishcycling.org.uk/points?person_id=413609&amp;year=2021&amp;type=national&amp;d=6","Results")</f>
        <v/>
      </c>
    </row>
    <row r="46">
      <c r="A46" t="inlineStr">
        <is>
          <t>45</t>
        </is>
      </c>
      <c r="B46" t="inlineStr">
        <is>
          <t>Seth Jackson</t>
        </is>
      </c>
      <c r="C46" t="inlineStr">
        <is>
          <t>Kirklees Cycling Academy</t>
        </is>
      </c>
      <c r="D46" t="inlineStr">
        <is>
          <t>168</t>
        </is>
      </c>
      <c r="E46">
        <f>HYPERLINK("https://www.britishcycling.org.uk/points?person_id=422790&amp;year=2021&amp;type=national&amp;d=6","Results")</f>
        <v/>
      </c>
    </row>
    <row r="47">
      <c r="A47" t="inlineStr">
        <is>
          <t>46</t>
        </is>
      </c>
      <c r="B47" t="inlineStr">
        <is>
          <t>Isaac Oliver</t>
        </is>
      </c>
      <c r="C47" t="inlineStr">
        <is>
          <t>Sheffield Youth Cycling Club</t>
        </is>
      </c>
      <c r="D47" t="inlineStr">
        <is>
          <t>165</t>
        </is>
      </c>
      <c r="E47">
        <f>HYPERLINK("https://www.britishcycling.org.uk/points?person_id=951372&amp;year=2021&amp;type=national&amp;d=6","Results")</f>
        <v/>
      </c>
    </row>
    <row r="48">
      <c r="A48" t="inlineStr">
        <is>
          <t>47</t>
        </is>
      </c>
      <c r="B48" t="inlineStr">
        <is>
          <t>Bobby Buenfeld</t>
        </is>
      </c>
      <c r="C48" t="inlineStr">
        <is>
          <t>Velo Club Venta</t>
        </is>
      </c>
      <c r="D48" t="inlineStr">
        <is>
          <t>164</t>
        </is>
      </c>
      <c r="E48">
        <f>HYPERLINK("https://www.britishcycling.org.uk/points?person_id=378863&amp;year=2021&amp;type=national&amp;d=6","Results")</f>
        <v/>
      </c>
    </row>
    <row r="49">
      <c r="A49" t="inlineStr">
        <is>
          <t>48</t>
        </is>
      </c>
      <c r="B49" t="inlineStr">
        <is>
          <t>Milo McIntosh</t>
        </is>
      </c>
      <c r="C49" t="inlineStr">
        <is>
          <t>Peebles CC</t>
        </is>
      </c>
      <c r="D49" t="inlineStr">
        <is>
          <t>164</t>
        </is>
      </c>
      <c r="E49">
        <f>HYPERLINK("https://www.britishcycling.org.uk/points?person_id=1008140&amp;year=2021&amp;type=national&amp;d=6","Results")</f>
        <v/>
      </c>
    </row>
    <row r="50">
      <c r="A50" t="inlineStr">
        <is>
          <t>49</t>
        </is>
      </c>
      <c r="B50" t="inlineStr">
        <is>
          <t>Alex Hart</t>
        </is>
      </c>
      <c r="C50" t="inlineStr">
        <is>
          <t>Mid Shropshire Wheelers</t>
        </is>
      </c>
      <c r="D50" t="inlineStr">
        <is>
          <t>163</t>
        </is>
      </c>
      <c r="E50">
        <f>HYPERLINK("https://www.britishcycling.org.uk/points?person_id=351456&amp;year=2021&amp;type=national&amp;d=6","Results")</f>
        <v/>
      </c>
    </row>
    <row r="51">
      <c r="A51" t="inlineStr">
        <is>
          <t>50</t>
        </is>
      </c>
      <c r="B51" t="inlineStr">
        <is>
          <t>Will Roberts</t>
        </is>
      </c>
      <c r="C51" t="inlineStr">
        <is>
          <t>Derwentside CC</t>
        </is>
      </c>
      <c r="D51" t="inlineStr">
        <is>
          <t>160</t>
        </is>
      </c>
      <c r="E51">
        <f>HYPERLINK("https://www.britishcycling.org.uk/points?person_id=571079&amp;year=2021&amp;type=national&amp;d=6","Results")</f>
        <v/>
      </c>
    </row>
    <row r="52">
      <c r="A52" t="inlineStr">
        <is>
          <t>51</t>
        </is>
      </c>
      <c r="B52" t="inlineStr">
        <is>
          <t>Charlie Hoyle</t>
        </is>
      </c>
      <c r="C52" t="inlineStr">
        <is>
          <t>Ashfield RC</t>
        </is>
      </c>
      <c r="D52" t="inlineStr">
        <is>
          <t>158</t>
        </is>
      </c>
      <c r="E52">
        <f>HYPERLINK("https://www.britishcycling.org.uk/points?person_id=452397&amp;year=2021&amp;type=national&amp;d=6","Results")</f>
        <v/>
      </c>
    </row>
    <row r="53">
      <c r="A53" t="inlineStr">
        <is>
          <t>52</t>
        </is>
      </c>
      <c r="B53" t="inlineStr">
        <is>
          <t>Sam Budd</t>
        </is>
      </c>
      <c r="C53" t="inlineStr">
        <is>
          <t>Morvelo Magspeed Racing</t>
        </is>
      </c>
      <c r="D53" t="inlineStr">
        <is>
          <t>154</t>
        </is>
      </c>
      <c r="E53">
        <f>HYPERLINK("https://www.britishcycling.org.uk/points?person_id=676773&amp;year=2021&amp;type=national&amp;d=6","Results")</f>
        <v/>
      </c>
    </row>
    <row r="54">
      <c r="A54" t="inlineStr">
        <is>
          <t>53</t>
        </is>
      </c>
      <c r="B54" t="inlineStr">
        <is>
          <t>Oliver Moss</t>
        </is>
      </c>
      <c r="C54" t="inlineStr">
        <is>
          <t>Clifton CC</t>
        </is>
      </c>
      <c r="D54" t="inlineStr">
        <is>
          <t>154</t>
        </is>
      </c>
      <c r="E54">
        <f>HYPERLINK("https://www.britishcycling.org.uk/points?person_id=580888&amp;year=2021&amp;type=national&amp;d=6","Results")</f>
        <v/>
      </c>
    </row>
    <row r="55">
      <c r="A55" t="inlineStr">
        <is>
          <t>54</t>
        </is>
      </c>
      <c r="B55" t="inlineStr">
        <is>
          <t>Callum Jones</t>
        </is>
      </c>
      <c r="C55" t="inlineStr">
        <is>
          <t>Beeston Cycling Club</t>
        </is>
      </c>
      <c r="D55" t="inlineStr">
        <is>
          <t>153</t>
        </is>
      </c>
      <c r="E55">
        <f>HYPERLINK("https://www.britishcycling.org.uk/points?person_id=542019&amp;year=2021&amp;type=national&amp;d=6","Results")</f>
        <v/>
      </c>
    </row>
    <row r="56">
      <c r="A56" t="inlineStr">
        <is>
          <t>55</t>
        </is>
      </c>
      <c r="B56" t="inlineStr">
        <is>
          <t>Arran Cairns</t>
        </is>
      </c>
      <c r="C56" t="inlineStr">
        <is>
          <t>Derwentside CC</t>
        </is>
      </c>
      <c r="D56" t="inlineStr">
        <is>
          <t>150</t>
        </is>
      </c>
      <c r="E56">
        <f>HYPERLINK("https://www.britishcycling.org.uk/points?person_id=515652&amp;year=2021&amp;type=national&amp;d=6","Results")</f>
        <v/>
      </c>
    </row>
    <row r="57">
      <c r="A57" t="inlineStr">
        <is>
          <t>56</t>
        </is>
      </c>
      <c r="B57" t="inlineStr">
        <is>
          <t>Sam Barbour</t>
        </is>
      </c>
      <c r="C57" t="inlineStr">
        <is>
          <t>SteppingStanes Youth Cycling Club</t>
        </is>
      </c>
      <c r="D57" t="inlineStr">
        <is>
          <t>141</t>
        </is>
      </c>
      <c r="E57">
        <f>HYPERLINK("https://www.britishcycling.org.uk/points?person_id=525069&amp;year=2021&amp;type=national&amp;d=6","Results")</f>
        <v/>
      </c>
    </row>
    <row r="58">
      <c r="A58" t="inlineStr">
        <is>
          <t>57</t>
        </is>
      </c>
      <c r="B58" t="inlineStr">
        <is>
          <t>Cian Evans</t>
        </is>
      </c>
      <c r="C58" t="inlineStr">
        <is>
          <t>The Bulls</t>
        </is>
      </c>
      <c r="D58" t="inlineStr">
        <is>
          <t>130</t>
        </is>
      </c>
      <c r="E58">
        <f>HYPERLINK("https://www.britishcycling.org.uk/points?person_id=231621&amp;year=2021&amp;type=national&amp;d=6","Results")</f>
        <v/>
      </c>
    </row>
    <row r="59">
      <c r="A59" t="inlineStr">
        <is>
          <t>58</t>
        </is>
      </c>
      <c r="B59" t="inlineStr">
        <is>
          <t>Toby Pullan</t>
        </is>
      </c>
      <c r="C59" t="inlineStr">
        <is>
          <t>Cambridge Junior Cycling Club</t>
        </is>
      </c>
      <c r="D59" t="inlineStr">
        <is>
          <t>130</t>
        </is>
      </c>
      <c r="E59">
        <f>HYPERLINK("https://www.britishcycling.org.uk/points?person_id=612654&amp;year=2021&amp;type=national&amp;d=6","Results")</f>
        <v/>
      </c>
    </row>
    <row r="60">
      <c r="A60" t="inlineStr">
        <is>
          <t>59</t>
        </is>
      </c>
      <c r="B60" t="inlineStr">
        <is>
          <t>Samuel Greenwell</t>
        </is>
      </c>
      <c r="C60" t="inlineStr">
        <is>
          <t>Solihull CC</t>
        </is>
      </c>
      <c r="D60" t="inlineStr">
        <is>
          <t>128</t>
        </is>
      </c>
      <c r="E60">
        <f>HYPERLINK("https://www.britishcycling.org.uk/points?person_id=207570&amp;year=2021&amp;type=national&amp;d=6","Results")</f>
        <v/>
      </c>
    </row>
    <row r="61">
      <c r="A61" t="inlineStr">
        <is>
          <t>60</t>
        </is>
      </c>
      <c r="B61" t="inlineStr">
        <is>
          <t>Hudson Hendry</t>
        </is>
      </c>
      <c r="C61" t="inlineStr">
        <is>
          <t>Rockingham Forest Whls</t>
        </is>
      </c>
      <c r="D61" t="inlineStr">
        <is>
          <t>124</t>
        </is>
      </c>
      <c r="E61">
        <f>HYPERLINK("https://www.britishcycling.org.uk/points?person_id=840927&amp;year=2021&amp;type=national&amp;d=6","Results")</f>
        <v/>
      </c>
    </row>
    <row r="62">
      <c r="A62" t="inlineStr">
        <is>
          <t>61</t>
        </is>
      </c>
      <c r="B62" t="inlineStr">
        <is>
          <t>Oliver Morgan</t>
        </is>
      </c>
      <c r="C62" t="inlineStr">
        <is>
          <t>Solent Pirates</t>
        </is>
      </c>
      <c r="D62" t="inlineStr">
        <is>
          <t>124</t>
        </is>
      </c>
      <c r="E62">
        <f>HYPERLINK("https://www.britishcycling.org.uk/points?person_id=454208&amp;year=2021&amp;type=national&amp;d=6","Results")</f>
        <v/>
      </c>
    </row>
    <row r="63">
      <c r="A63" t="inlineStr">
        <is>
          <t>62</t>
        </is>
      </c>
      <c r="B63" t="inlineStr">
        <is>
          <t>William Pollard</t>
        </is>
      </c>
      <c r="C63" t="inlineStr">
        <is>
          <t>Welwyn Wheelers CC</t>
        </is>
      </c>
      <c r="D63" t="inlineStr">
        <is>
          <t>119</t>
        </is>
      </c>
      <c r="E63">
        <f>HYPERLINK("https://www.britishcycling.org.uk/points?person_id=612428&amp;year=2021&amp;type=national&amp;d=6","Results")</f>
        <v/>
      </c>
    </row>
    <row r="64">
      <c r="A64" t="inlineStr">
        <is>
          <t>63</t>
        </is>
      </c>
      <c r="B64" t="inlineStr">
        <is>
          <t>Miles Horner</t>
        </is>
      </c>
      <c r="C64" t="inlineStr">
        <is>
          <t>Solent Pirates</t>
        </is>
      </c>
      <c r="D64" t="inlineStr">
        <is>
          <t>118</t>
        </is>
      </c>
      <c r="E64">
        <f>HYPERLINK("https://www.britishcycling.org.uk/points?person_id=753385&amp;year=2021&amp;type=national&amp;d=6","Results")</f>
        <v/>
      </c>
    </row>
    <row r="65">
      <c r="A65" t="inlineStr">
        <is>
          <t>64</t>
        </is>
      </c>
      <c r="B65" t="inlineStr">
        <is>
          <t>Daniel Phillips</t>
        </is>
      </c>
      <c r="C65" t="inlineStr">
        <is>
          <t>WORX Factory Racing</t>
        </is>
      </c>
      <c r="D65" t="inlineStr">
        <is>
          <t>117</t>
        </is>
      </c>
      <c r="E65">
        <f>HYPERLINK("https://www.britishcycling.org.uk/points?person_id=509416&amp;year=2021&amp;type=national&amp;d=6","Results")</f>
        <v/>
      </c>
    </row>
    <row r="66">
      <c r="A66" t="inlineStr">
        <is>
          <t>65</t>
        </is>
      </c>
      <c r="B66" t="inlineStr">
        <is>
          <t>Thomas Lewis</t>
        </is>
      </c>
      <c r="C66" t="inlineStr">
        <is>
          <t>Ely &amp; District CC</t>
        </is>
      </c>
      <c r="D66" t="inlineStr">
        <is>
          <t>115</t>
        </is>
      </c>
      <c r="E66">
        <f>HYPERLINK("https://www.britishcycling.org.uk/points?person_id=681513&amp;year=2021&amp;type=national&amp;d=6","Results")</f>
        <v/>
      </c>
    </row>
    <row r="67">
      <c r="A67" t="inlineStr">
        <is>
          <t>66</t>
        </is>
      </c>
      <c r="B67" t="inlineStr">
        <is>
          <t>Ryan Oldfield</t>
        </is>
      </c>
      <c r="C67" t="inlineStr">
        <is>
          <t>Redditch Road &amp; Path CC</t>
        </is>
      </c>
      <c r="D67" t="inlineStr">
        <is>
          <t>112</t>
        </is>
      </c>
      <c r="E67">
        <f>HYPERLINK("https://www.britishcycling.org.uk/points?person_id=247337&amp;year=2021&amp;type=national&amp;d=6","Results")</f>
        <v/>
      </c>
    </row>
    <row r="68">
      <c r="A68" t="inlineStr">
        <is>
          <t>67</t>
        </is>
      </c>
      <c r="B68" t="inlineStr">
        <is>
          <t>Daniel Kemp</t>
        </is>
      </c>
      <c r="C68" t="inlineStr">
        <is>
          <t>Clifton CC</t>
        </is>
      </c>
      <c r="D68" t="inlineStr">
        <is>
          <t>108</t>
        </is>
      </c>
      <c r="E68">
        <f>HYPERLINK("https://www.britishcycling.org.uk/points?person_id=617355&amp;year=2021&amp;type=national&amp;d=6","Results")</f>
        <v/>
      </c>
    </row>
    <row r="69">
      <c r="A69" t="inlineStr">
        <is>
          <t>68</t>
        </is>
      </c>
      <c r="B69" t="inlineStr">
        <is>
          <t>Mackenzie Mellish</t>
        </is>
      </c>
      <c r="C69" t="inlineStr">
        <is>
          <t>Vector Cycling Race Team</t>
        </is>
      </c>
      <c r="D69" t="inlineStr">
        <is>
          <t>106</t>
        </is>
      </c>
      <c r="E69">
        <f>HYPERLINK("https://www.britishcycling.org.uk/points?person_id=181327&amp;year=2021&amp;type=national&amp;d=6","Results")</f>
        <v/>
      </c>
    </row>
    <row r="70">
      <c r="A70" t="inlineStr">
        <is>
          <t>69</t>
        </is>
      </c>
      <c r="B70" t="inlineStr">
        <is>
          <t>Ben Mellor</t>
        </is>
      </c>
      <c r="C70" t="inlineStr">
        <is>
          <t>Matlock CC</t>
        </is>
      </c>
      <c r="D70" t="inlineStr">
        <is>
          <t>101</t>
        </is>
      </c>
      <c r="E70">
        <f>HYPERLINK("https://www.britishcycling.org.uk/points?person_id=242326&amp;year=2021&amp;type=national&amp;d=6","Results")</f>
        <v/>
      </c>
    </row>
    <row r="71">
      <c r="A71" t="inlineStr">
        <is>
          <t>70</t>
        </is>
      </c>
      <c r="B71" t="inlineStr">
        <is>
          <t>Ben Scott</t>
        </is>
      </c>
      <c r="C71" t="inlineStr">
        <is>
          <t>Racing Metro 15</t>
        </is>
      </c>
      <c r="D71" t="inlineStr">
        <is>
          <t>101</t>
        </is>
      </c>
      <c r="E71">
        <f>HYPERLINK("https://www.britishcycling.org.uk/points?person_id=296029&amp;year=2021&amp;type=national&amp;d=6","Results")</f>
        <v/>
      </c>
    </row>
    <row r="72">
      <c r="A72" t="inlineStr">
        <is>
          <t>71</t>
        </is>
      </c>
      <c r="B72" t="inlineStr">
        <is>
          <t>Joshua Darlow</t>
        </is>
      </c>
      <c r="C72" t="inlineStr">
        <is>
          <t>ROTOR Race Team</t>
        </is>
      </c>
      <c r="D72" t="inlineStr">
        <is>
          <t>100</t>
        </is>
      </c>
      <c r="E72">
        <f>HYPERLINK("https://www.britishcycling.org.uk/points?person_id=585219&amp;year=2021&amp;type=national&amp;d=6","Results")</f>
        <v/>
      </c>
    </row>
    <row r="73">
      <c r="A73" t="inlineStr">
        <is>
          <t>72</t>
        </is>
      </c>
      <c r="B73" t="inlineStr">
        <is>
          <t>George Watch</t>
        </is>
      </c>
      <c r="C73" t="inlineStr">
        <is>
          <t>Team Zoyland Race Academy</t>
        </is>
      </c>
      <c r="D73" t="inlineStr">
        <is>
          <t>98</t>
        </is>
      </c>
      <c r="E73">
        <f>HYPERLINK("https://www.britishcycling.org.uk/points?person_id=532098&amp;year=2021&amp;type=national&amp;d=6","Results")</f>
        <v/>
      </c>
    </row>
    <row r="74">
      <c r="A74" t="inlineStr">
        <is>
          <t>73</t>
        </is>
      </c>
      <c r="B74" t="inlineStr">
        <is>
          <t>James Ingham</t>
        </is>
      </c>
      <c r="C74" t="inlineStr">
        <is>
          <t>Green Jersey CC</t>
        </is>
      </c>
      <c r="D74" t="inlineStr">
        <is>
          <t>96</t>
        </is>
      </c>
      <c r="E74">
        <f>HYPERLINK("https://www.britishcycling.org.uk/points?person_id=545785&amp;year=2021&amp;type=national&amp;d=6","Results")</f>
        <v/>
      </c>
    </row>
    <row r="75">
      <c r="A75" t="inlineStr">
        <is>
          <t>74</t>
        </is>
      </c>
      <c r="B75" t="inlineStr">
        <is>
          <t>James Martin</t>
        </is>
      </c>
      <c r="C75" t="inlineStr">
        <is>
          <t>Solent Pirates</t>
        </is>
      </c>
      <c r="D75" t="inlineStr">
        <is>
          <t>96</t>
        </is>
      </c>
      <c r="E75">
        <f>HYPERLINK("https://www.britishcycling.org.uk/points?person_id=396173&amp;year=2021&amp;type=national&amp;d=6","Results")</f>
        <v/>
      </c>
    </row>
    <row r="76">
      <c r="A76" t="inlineStr">
        <is>
          <t>75</t>
        </is>
      </c>
      <c r="B76" t="inlineStr">
        <is>
          <t>Oscar Nisbett</t>
        </is>
      </c>
      <c r="C76" t="inlineStr">
        <is>
          <t>Crawley Wheelers</t>
        </is>
      </c>
      <c r="D76" t="inlineStr">
        <is>
          <t>94</t>
        </is>
      </c>
      <c r="E76">
        <f>HYPERLINK("https://www.britishcycling.org.uk/points?person_id=199906&amp;year=2021&amp;type=national&amp;d=6","Results")</f>
        <v/>
      </c>
    </row>
    <row r="77">
      <c r="A77" t="inlineStr">
        <is>
          <t>76</t>
        </is>
      </c>
      <c r="B77" t="inlineStr">
        <is>
          <t>Ben Ellis</t>
        </is>
      </c>
      <c r="C77" t="inlineStr">
        <is>
          <t>Matlock CC</t>
        </is>
      </c>
      <c r="D77" t="inlineStr">
        <is>
          <t>88</t>
        </is>
      </c>
      <c r="E77">
        <f>HYPERLINK("https://www.britishcycling.org.uk/points?person_id=853515&amp;year=2021&amp;type=national&amp;d=6","Results")</f>
        <v/>
      </c>
    </row>
    <row r="78">
      <c r="A78" t="inlineStr">
        <is>
          <t>77</t>
        </is>
      </c>
      <c r="B78" t="inlineStr">
        <is>
          <t>Alexander Keary</t>
        </is>
      </c>
      <c r="C78" t="inlineStr">
        <is>
          <t>Palmer Park Velo RT</t>
        </is>
      </c>
      <c r="D78" t="inlineStr">
        <is>
          <t>87</t>
        </is>
      </c>
      <c r="E78">
        <f>HYPERLINK("https://www.britishcycling.org.uk/points?person_id=406128&amp;year=2021&amp;type=national&amp;d=6","Results")</f>
        <v/>
      </c>
    </row>
    <row r="79">
      <c r="A79" t="inlineStr">
        <is>
          <t>78</t>
        </is>
      </c>
      <c r="B79" t="inlineStr">
        <is>
          <t>Louis Kirk</t>
        </is>
      </c>
      <c r="C79" t="inlineStr">
        <is>
          <t>Sotonia CC</t>
        </is>
      </c>
      <c r="D79" t="inlineStr">
        <is>
          <t>85</t>
        </is>
      </c>
      <c r="E79">
        <f>HYPERLINK("https://www.britishcycling.org.uk/points?person_id=615829&amp;year=2021&amp;type=national&amp;d=6","Results")</f>
        <v/>
      </c>
    </row>
    <row r="80">
      <c r="A80" t="inlineStr">
        <is>
          <t>79</t>
        </is>
      </c>
      <c r="B80" t="inlineStr">
        <is>
          <t>Noah Ellison</t>
        </is>
      </c>
      <c r="C80" t="inlineStr">
        <is>
          <t>Shibden Cycling Club</t>
        </is>
      </c>
      <c r="D80" t="inlineStr">
        <is>
          <t>84</t>
        </is>
      </c>
      <c r="E80">
        <f>HYPERLINK("https://www.britishcycling.org.uk/points?person_id=546293&amp;year=2021&amp;type=national&amp;d=6","Results")</f>
        <v/>
      </c>
    </row>
    <row r="81">
      <c r="A81" t="inlineStr">
        <is>
          <t>80</t>
        </is>
      </c>
      <c r="B81" t="inlineStr">
        <is>
          <t>Edward Charles</t>
        </is>
      </c>
      <c r="C81" t="inlineStr">
        <is>
          <t>WORX Factory Racing</t>
        </is>
      </c>
      <c r="D81" t="inlineStr">
        <is>
          <t>83</t>
        </is>
      </c>
      <c r="E81">
        <f>HYPERLINK("https://www.britishcycling.org.uk/points?person_id=292863&amp;year=2021&amp;type=national&amp;d=6","Results")</f>
        <v/>
      </c>
    </row>
    <row r="82">
      <c r="A82" t="inlineStr">
        <is>
          <t>81</t>
        </is>
      </c>
      <c r="B82" t="inlineStr">
        <is>
          <t>Harry Knox</t>
        </is>
      </c>
      <c r="C82" t="inlineStr">
        <is>
          <t>Barnesbury CC</t>
        </is>
      </c>
      <c r="D82" t="inlineStr">
        <is>
          <t>81</t>
        </is>
      </c>
      <c r="E82">
        <f>HYPERLINK("https://www.britishcycling.org.uk/points?person_id=543635&amp;year=2021&amp;type=national&amp;d=6","Results")</f>
        <v/>
      </c>
    </row>
    <row r="83">
      <c r="A83" t="inlineStr">
        <is>
          <t>82</t>
        </is>
      </c>
      <c r="B83" t="inlineStr">
        <is>
          <t>Luca Mascia</t>
        </is>
      </c>
      <c r="C83" t="inlineStr">
        <is>
          <t>360VRT</t>
        </is>
      </c>
      <c r="D83" t="inlineStr">
        <is>
          <t>80</t>
        </is>
      </c>
      <c r="E83">
        <f>HYPERLINK("https://www.britishcycling.org.uk/points?person_id=678295&amp;year=2021&amp;type=national&amp;d=6","Results")</f>
        <v/>
      </c>
    </row>
    <row r="84">
      <c r="A84" t="inlineStr">
        <is>
          <t>83</t>
        </is>
      </c>
      <c r="B84" t="inlineStr">
        <is>
          <t>Lucas Elwell</t>
        </is>
      </c>
      <c r="C84" t="inlineStr">
        <is>
          <t>East Bradford Race Team</t>
        </is>
      </c>
      <c r="D84" t="inlineStr">
        <is>
          <t>79</t>
        </is>
      </c>
      <c r="E84">
        <f>HYPERLINK("https://www.britishcycling.org.uk/points?person_id=405552&amp;year=2021&amp;type=national&amp;d=6","Results")</f>
        <v/>
      </c>
    </row>
    <row r="85">
      <c r="A85" t="inlineStr">
        <is>
          <t>84</t>
        </is>
      </c>
      <c r="B85" t="inlineStr">
        <is>
          <t>Freddie Dixon</t>
        </is>
      </c>
      <c r="C85" t="inlineStr">
        <is>
          <t>Hope Factory Racing</t>
        </is>
      </c>
      <c r="D85" t="inlineStr">
        <is>
          <t>78</t>
        </is>
      </c>
      <c r="E85">
        <f>HYPERLINK("https://www.britishcycling.org.uk/points?person_id=983294&amp;year=2021&amp;type=national&amp;d=6","Results")</f>
        <v/>
      </c>
    </row>
    <row r="86">
      <c r="A86" t="inlineStr">
        <is>
          <t>85</t>
        </is>
      </c>
      <c r="B86" t="inlineStr">
        <is>
          <t>Rupert Cavill</t>
        </is>
      </c>
      <c r="C86" t="inlineStr">
        <is>
          <t>Welwyn Wheelers CC</t>
        </is>
      </c>
      <c r="D86" t="inlineStr">
        <is>
          <t>76</t>
        </is>
      </c>
      <c r="E86">
        <f>HYPERLINK("https://www.britishcycling.org.uk/points?person_id=300592&amp;year=2021&amp;type=national&amp;d=6","Results")</f>
        <v/>
      </c>
    </row>
    <row r="87">
      <c r="A87" t="inlineStr">
        <is>
          <t>86</t>
        </is>
      </c>
      <c r="B87" t="inlineStr">
        <is>
          <t>Alexander Murphy</t>
        </is>
      </c>
      <c r="C87" t="inlineStr">
        <is>
          <t>Velo Club Venta</t>
        </is>
      </c>
      <c r="D87" t="inlineStr">
        <is>
          <t>74</t>
        </is>
      </c>
      <c r="E87">
        <f>HYPERLINK("https://www.britishcycling.org.uk/points?person_id=657721&amp;year=2021&amp;type=national&amp;d=6","Results")</f>
        <v/>
      </c>
    </row>
    <row r="88">
      <c r="A88" t="inlineStr">
        <is>
          <t>87</t>
        </is>
      </c>
      <c r="B88" t="inlineStr">
        <is>
          <t>James Beagley</t>
        </is>
      </c>
      <c r="C88" t="inlineStr">
        <is>
          <t>Harrogate Nova CC</t>
        </is>
      </c>
      <c r="D88" t="inlineStr">
        <is>
          <t>73</t>
        </is>
      </c>
      <c r="E88">
        <f>HYPERLINK("https://www.britishcycling.org.uk/points?person_id=782215&amp;year=2021&amp;type=national&amp;d=6","Results")</f>
        <v/>
      </c>
    </row>
    <row r="89">
      <c r="A89" t="inlineStr">
        <is>
          <t>88</t>
        </is>
      </c>
      <c r="B89" t="inlineStr">
        <is>
          <t>Lewis Smith</t>
        </is>
      </c>
      <c r="C89" t="inlineStr">
        <is>
          <t>Ashfield RC</t>
        </is>
      </c>
      <c r="D89" t="inlineStr">
        <is>
          <t>72</t>
        </is>
      </c>
      <c r="E89">
        <f>HYPERLINK("https://www.britishcycling.org.uk/points?person_id=525367&amp;year=2021&amp;type=national&amp;d=6","Results")</f>
        <v/>
      </c>
    </row>
    <row r="90">
      <c r="A90" t="inlineStr">
        <is>
          <t>89</t>
        </is>
      </c>
      <c r="B90" t="inlineStr">
        <is>
          <t>Nathan Smith</t>
        </is>
      </c>
      <c r="C90" t="inlineStr">
        <is>
          <t>Clifton CC</t>
        </is>
      </c>
      <c r="D90" t="inlineStr">
        <is>
          <t>71</t>
        </is>
      </c>
      <c r="E90">
        <f>HYPERLINK("https://www.britishcycling.org.uk/points?person_id=840393&amp;year=2021&amp;type=national&amp;d=6","Results")</f>
        <v/>
      </c>
    </row>
    <row r="91">
      <c r="A91" t="inlineStr">
        <is>
          <t>90</t>
        </is>
      </c>
      <c r="B91" t="inlineStr">
        <is>
          <t>Oscar Karta-Smith</t>
        </is>
      </c>
      <c r="C91" t="inlineStr">
        <is>
          <t>Colchester Rovers CC</t>
        </is>
      </c>
      <c r="D91" t="inlineStr">
        <is>
          <t>70</t>
        </is>
      </c>
      <c r="E91">
        <f>HYPERLINK("https://www.britishcycling.org.uk/points?person_id=860578&amp;year=2021&amp;type=national&amp;d=6","Results")</f>
        <v/>
      </c>
    </row>
    <row r="92">
      <c r="A92" t="inlineStr">
        <is>
          <t>91</t>
        </is>
      </c>
      <c r="B92" t="inlineStr">
        <is>
          <t>George Harvey</t>
        </is>
      </c>
      <c r="C92" t="inlineStr">
        <is>
          <t>VC Jubilee</t>
        </is>
      </c>
      <c r="D92" t="inlineStr">
        <is>
          <t>69</t>
        </is>
      </c>
      <c r="E92">
        <f>HYPERLINK("https://www.britishcycling.org.uk/points?person_id=253080&amp;year=2021&amp;type=national&amp;d=6","Results")</f>
        <v/>
      </c>
    </row>
    <row r="93">
      <c r="A93" t="inlineStr">
        <is>
          <t>92</t>
        </is>
      </c>
      <c r="B93" t="inlineStr">
        <is>
          <t>Benjamin Pearcey</t>
        </is>
      </c>
      <c r="C93" t="inlineStr">
        <is>
          <t>Avid Sport</t>
        </is>
      </c>
      <c r="D93" t="inlineStr">
        <is>
          <t>69</t>
        </is>
      </c>
      <c r="E93">
        <f>HYPERLINK("https://www.britishcycling.org.uk/points?person_id=853062&amp;year=2021&amp;type=national&amp;d=6","Results")</f>
        <v/>
      </c>
    </row>
    <row r="94">
      <c r="A94" t="inlineStr">
        <is>
          <t>93</t>
        </is>
      </c>
      <c r="B94" t="inlineStr">
        <is>
          <t>Callum Feather</t>
        </is>
      </c>
      <c r="C94" t="inlineStr">
        <is>
          <t>Paul Milnes - Bradford Olympic RC</t>
        </is>
      </c>
      <c r="D94" t="inlineStr">
        <is>
          <t>66</t>
        </is>
      </c>
      <c r="E94">
        <f>HYPERLINK("https://www.britishcycling.org.uk/points?person_id=540586&amp;year=2021&amp;type=national&amp;d=6","Results")</f>
        <v/>
      </c>
    </row>
    <row r="95">
      <c r="A95" t="inlineStr">
        <is>
          <t>94</t>
        </is>
      </c>
      <c r="B95" t="inlineStr">
        <is>
          <t>Samuel Brownsword</t>
        </is>
      </c>
      <c r="C95" t="inlineStr">
        <is>
          <t>Solihull CC</t>
        </is>
      </c>
      <c r="D95" t="inlineStr">
        <is>
          <t>65</t>
        </is>
      </c>
      <c r="E95">
        <f>HYPERLINK("https://www.britishcycling.org.uk/points?person_id=191654&amp;year=2021&amp;type=national&amp;d=6","Results")</f>
        <v/>
      </c>
    </row>
    <row r="96">
      <c r="A96" t="inlineStr">
        <is>
          <t>95</t>
        </is>
      </c>
      <c r="B96" t="inlineStr">
        <is>
          <t>Ruan Vorster</t>
        </is>
      </c>
      <c r="C96" t="inlineStr">
        <is>
          <t>West Lothian Clarion CC</t>
        </is>
      </c>
      <c r="D96" t="inlineStr">
        <is>
          <t>62</t>
        </is>
      </c>
      <c r="E96">
        <f>HYPERLINK("https://www.britishcycling.org.uk/points?person_id=837786&amp;year=2021&amp;type=national&amp;d=6","Results")</f>
        <v/>
      </c>
    </row>
    <row r="97">
      <c r="A97" t="inlineStr">
        <is>
          <t>96</t>
        </is>
      </c>
      <c r="B97" t="inlineStr">
        <is>
          <t>Huw Watkins</t>
        </is>
      </c>
      <c r="C97" t="inlineStr">
        <is>
          <t>Sprockets Cycle Club</t>
        </is>
      </c>
      <c r="D97" t="inlineStr">
        <is>
          <t>61</t>
        </is>
      </c>
      <c r="E97">
        <f>HYPERLINK("https://www.britishcycling.org.uk/points?person_id=557385&amp;year=2021&amp;type=national&amp;d=6","Results")</f>
        <v/>
      </c>
    </row>
    <row r="98">
      <c r="A98" t="inlineStr">
        <is>
          <t>97</t>
        </is>
      </c>
      <c r="B98" t="inlineStr">
        <is>
          <t>George Cranston</t>
        </is>
      </c>
      <c r="C98" t="inlineStr">
        <is>
          <t>Barnesbury CC</t>
        </is>
      </c>
      <c r="D98" t="inlineStr">
        <is>
          <t>58</t>
        </is>
      </c>
      <c r="E98">
        <f>HYPERLINK("https://www.britishcycling.org.uk/points?person_id=466072&amp;year=2021&amp;type=national&amp;d=6","Results")</f>
        <v/>
      </c>
    </row>
    <row r="99">
      <c r="A99" t="inlineStr">
        <is>
          <t>98</t>
        </is>
      </c>
      <c r="B99" t="inlineStr">
        <is>
          <t>Oliver Murphy</t>
        </is>
      </c>
      <c r="C99" t="inlineStr">
        <is>
          <t>Dartmoor Velo–CareControlSystems</t>
        </is>
      </c>
      <c r="D99" t="inlineStr">
        <is>
          <t>58</t>
        </is>
      </c>
      <c r="E99">
        <f>HYPERLINK("https://www.britishcycling.org.uk/points?person_id=407094&amp;year=2021&amp;type=national&amp;d=6","Results")</f>
        <v/>
      </c>
    </row>
    <row r="100">
      <c r="A100" t="inlineStr">
        <is>
          <t>99</t>
        </is>
      </c>
      <c r="B100" t="inlineStr">
        <is>
          <t>Llion Rees-Jenkins</t>
        </is>
      </c>
      <c r="C100" t="inlineStr">
        <is>
          <t>Caffi Gruff</t>
        </is>
      </c>
      <c r="D100" t="inlineStr">
        <is>
          <t>57</t>
        </is>
      </c>
      <c r="E100">
        <f>HYPERLINK("https://www.britishcycling.org.uk/points?person_id=498169&amp;year=2021&amp;type=national&amp;d=6","Results")</f>
        <v/>
      </c>
    </row>
    <row r="101">
      <c r="A101" t="inlineStr">
        <is>
          <t>100</t>
        </is>
      </c>
      <c r="B101" t="inlineStr">
        <is>
          <t>Harry Hudson</t>
        </is>
      </c>
      <c r="C101" t="inlineStr">
        <is>
          <t>Matlock CC</t>
        </is>
      </c>
      <c r="D101" t="inlineStr">
        <is>
          <t>56</t>
        </is>
      </c>
      <c r="E101">
        <f>HYPERLINK("https://www.britishcycling.org.uk/points?person_id=859024&amp;year=2021&amp;type=national&amp;d=6","Results")</f>
        <v/>
      </c>
    </row>
    <row r="102">
      <c r="A102" t="inlineStr">
        <is>
          <t>101</t>
        </is>
      </c>
      <c r="B102" t="inlineStr">
        <is>
          <t>Oliver Agombar</t>
        </is>
      </c>
      <c r="C102" t="inlineStr">
        <is>
          <t>Morvelo Magspeed Racing</t>
        </is>
      </c>
      <c r="D102" t="inlineStr">
        <is>
          <t>55</t>
        </is>
      </c>
      <c r="E102">
        <f>HYPERLINK("https://www.britishcycling.org.uk/points?person_id=766392&amp;year=2021&amp;type=national&amp;d=6","Results")</f>
        <v/>
      </c>
    </row>
    <row r="103">
      <c r="A103" t="inlineStr">
        <is>
          <t>102</t>
        </is>
      </c>
      <c r="B103" t="inlineStr">
        <is>
          <t>Matthew Hitchings</t>
        </is>
      </c>
      <c r="C103" t="inlineStr">
        <is>
          <t>Cotswold Cycles RT</t>
        </is>
      </c>
      <c r="D103" t="inlineStr">
        <is>
          <t>54</t>
        </is>
      </c>
      <c r="E103">
        <f>HYPERLINK("https://www.britishcycling.org.uk/points?person_id=553488&amp;year=2021&amp;type=national&amp;d=6","Results")</f>
        <v/>
      </c>
    </row>
    <row r="104">
      <c r="A104" t="inlineStr">
        <is>
          <t>103</t>
        </is>
      </c>
      <c r="B104" t="inlineStr">
        <is>
          <t>Ben Howlett</t>
        </is>
      </c>
      <c r="C104" t="inlineStr">
        <is>
          <t>Stowmarket &amp; District CC</t>
        </is>
      </c>
      <c r="D104" t="inlineStr">
        <is>
          <t>54</t>
        </is>
      </c>
      <c r="E104">
        <f>HYPERLINK("https://www.britishcycling.org.uk/points?person_id=733136&amp;year=2021&amp;type=national&amp;d=6","Results")</f>
        <v/>
      </c>
    </row>
    <row r="105">
      <c r="A105" t="inlineStr">
        <is>
          <t>104</t>
        </is>
      </c>
      <c r="B105" t="inlineStr">
        <is>
          <t>James Brown</t>
        </is>
      </c>
      <c r="C105" t="inlineStr">
        <is>
          <t>WORX Factory Racing</t>
        </is>
      </c>
      <c r="D105" t="inlineStr">
        <is>
          <t>53</t>
        </is>
      </c>
      <c r="E105">
        <f>HYPERLINK("https://www.britishcycling.org.uk/points?person_id=184243&amp;year=2021&amp;type=national&amp;d=6","Results")</f>
        <v/>
      </c>
    </row>
    <row r="106">
      <c r="A106" t="inlineStr">
        <is>
          <t>105</t>
        </is>
      </c>
      <c r="B106" t="inlineStr">
        <is>
          <t>Ahron Dick</t>
        </is>
      </c>
      <c r="C106" t="inlineStr">
        <is>
          <t>Edinburgh RC</t>
        </is>
      </c>
      <c r="D106" t="inlineStr">
        <is>
          <t>52</t>
        </is>
      </c>
      <c r="E106">
        <f>HYPERLINK("https://www.britishcycling.org.uk/points?person_id=671786&amp;year=2021&amp;type=national&amp;d=6","Results")</f>
        <v/>
      </c>
    </row>
    <row r="107">
      <c r="A107" t="inlineStr">
        <is>
          <t>106</t>
        </is>
      </c>
      <c r="B107" t="inlineStr">
        <is>
          <t>Aaron Medlyn</t>
        </is>
      </c>
      <c r="C107" t="inlineStr">
        <is>
          <t>Bigfoot Youth Cycle Club Ltd</t>
        </is>
      </c>
      <c r="D107" t="inlineStr">
        <is>
          <t>50</t>
        </is>
      </c>
      <c r="E107">
        <f>HYPERLINK("https://www.britishcycling.org.uk/points?person_id=397077&amp;year=2021&amp;type=national&amp;d=6","Results")</f>
        <v/>
      </c>
    </row>
    <row r="108">
      <c r="A108" t="inlineStr">
        <is>
          <t>107</t>
        </is>
      </c>
      <c r="B108" t="inlineStr">
        <is>
          <t>Tom Pruett</t>
        </is>
      </c>
      <c r="C108" t="inlineStr">
        <is>
          <t>Welwyn Wheelers CC</t>
        </is>
      </c>
      <c r="D108" t="inlineStr">
        <is>
          <t>50</t>
        </is>
      </c>
      <c r="E108">
        <f>HYPERLINK("https://www.britishcycling.org.uk/points?person_id=751484&amp;year=2021&amp;type=national&amp;d=6","Results")</f>
        <v/>
      </c>
    </row>
    <row r="109">
      <c r="A109" t="inlineStr">
        <is>
          <t>108</t>
        </is>
      </c>
      <c r="B109" t="inlineStr">
        <is>
          <t>Thomas Roodhouse</t>
        </is>
      </c>
      <c r="C109" t="inlineStr">
        <is>
          <t>Wheal Velocity</t>
        </is>
      </c>
      <c r="D109" t="inlineStr">
        <is>
          <t>50</t>
        </is>
      </c>
      <c r="E109">
        <f>HYPERLINK("https://www.britishcycling.org.uk/points?person_id=527261&amp;year=2021&amp;type=national&amp;d=6","Results")</f>
        <v/>
      </c>
    </row>
    <row r="110">
      <c r="A110" t="inlineStr">
        <is>
          <t>109</t>
        </is>
      </c>
      <c r="B110" t="inlineStr">
        <is>
          <t>Sebastian Varley</t>
        </is>
      </c>
      <c r="C110" t="inlineStr">
        <is>
          <t>Derby Mercury RC</t>
        </is>
      </c>
      <c r="D110" t="inlineStr">
        <is>
          <t>50</t>
        </is>
      </c>
      <c r="E110">
        <f>HYPERLINK("https://www.britishcycling.org.uk/points?person_id=287620&amp;year=2021&amp;type=national&amp;d=6","Results")</f>
        <v/>
      </c>
    </row>
    <row r="111">
      <c r="A111" t="inlineStr">
        <is>
          <t>110</t>
        </is>
      </c>
      <c r="B111" t="inlineStr">
        <is>
          <t>William Gilbank</t>
        </is>
      </c>
      <c r="C111" t="inlineStr">
        <is>
          <t>Lee Valley Youth Cycling Club</t>
        </is>
      </c>
      <c r="D111" t="inlineStr">
        <is>
          <t>49</t>
        </is>
      </c>
      <c r="E111">
        <f>HYPERLINK("https://www.britishcycling.org.uk/points?person_id=761225&amp;year=2021&amp;type=national&amp;d=6","Results")</f>
        <v/>
      </c>
    </row>
    <row r="112">
      <c r="A112" t="inlineStr">
        <is>
          <t>111</t>
        </is>
      </c>
      <c r="B112" t="inlineStr">
        <is>
          <t>Sam Benson</t>
        </is>
      </c>
      <c r="C112" t="inlineStr">
        <is>
          <t>VC Deal</t>
        </is>
      </c>
      <c r="D112" t="inlineStr">
        <is>
          <t>48</t>
        </is>
      </c>
      <c r="E112">
        <f>HYPERLINK("https://www.britishcycling.org.uk/points?person_id=1016811&amp;year=2021&amp;type=national&amp;d=6","Results")</f>
        <v/>
      </c>
    </row>
    <row r="113">
      <c r="A113" t="inlineStr">
        <is>
          <t>112</t>
        </is>
      </c>
      <c r="B113" t="inlineStr">
        <is>
          <t>Ben Heap</t>
        </is>
      </c>
      <c r="C113" t="inlineStr">
        <is>
          <t>Hillingdon Slipstreamers</t>
        </is>
      </c>
      <c r="D113" t="inlineStr">
        <is>
          <t>46</t>
        </is>
      </c>
      <c r="E113">
        <f>HYPERLINK("https://www.britishcycling.org.uk/points?person_id=383836&amp;year=2021&amp;type=national&amp;d=6","Results")</f>
        <v/>
      </c>
    </row>
    <row r="114">
      <c r="A114" t="inlineStr">
        <is>
          <t>113</t>
        </is>
      </c>
      <c r="B114" t="inlineStr">
        <is>
          <t>Thomas Bottomley</t>
        </is>
      </c>
      <c r="C114" t="inlineStr">
        <is>
          <t>Solent Pirates</t>
        </is>
      </c>
      <c r="D114" t="inlineStr">
        <is>
          <t>45</t>
        </is>
      </c>
      <c r="E114">
        <f>HYPERLINK("https://www.britishcycling.org.uk/points?person_id=928456&amp;year=2021&amp;type=national&amp;d=6","Results")</f>
        <v/>
      </c>
    </row>
    <row r="115">
      <c r="A115" t="inlineStr">
        <is>
          <t>114</t>
        </is>
      </c>
      <c r="B115" t="inlineStr">
        <is>
          <t>Joseph Swanston</t>
        </is>
      </c>
      <c r="C115" t="inlineStr">
        <is>
          <t>Hetton Hawks Cycling Club</t>
        </is>
      </c>
      <c r="D115" t="inlineStr">
        <is>
          <t>45</t>
        </is>
      </c>
      <c r="E115">
        <f>HYPERLINK("https://www.britishcycling.org.uk/points?person_id=384770&amp;year=2021&amp;type=national&amp;d=6","Results")</f>
        <v/>
      </c>
    </row>
    <row r="116">
      <c r="A116" t="inlineStr">
        <is>
          <t>115</t>
        </is>
      </c>
      <c r="B116" t="inlineStr">
        <is>
          <t>Daniel Backhouse</t>
        </is>
      </c>
      <c r="C116" t="inlineStr">
        <is>
          <t>Lincoln Wheelers CC</t>
        </is>
      </c>
      <c r="D116" t="inlineStr">
        <is>
          <t>44</t>
        </is>
      </c>
      <c r="E116">
        <f>HYPERLINK("https://www.britishcycling.org.uk/points?person_id=404269&amp;year=2021&amp;type=national&amp;d=6","Results")</f>
        <v/>
      </c>
    </row>
    <row r="117">
      <c r="A117" t="inlineStr">
        <is>
          <t>116</t>
        </is>
      </c>
      <c r="B117" t="inlineStr">
        <is>
          <t>Ellis Jackson</t>
        </is>
      </c>
      <c r="C117" t="inlineStr">
        <is>
          <t>Leicester Forest CC</t>
        </is>
      </c>
      <c r="D117" t="inlineStr">
        <is>
          <t>44</t>
        </is>
      </c>
      <c r="E117">
        <f>HYPERLINK("https://www.britishcycling.org.uk/points?person_id=330990&amp;year=2021&amp;type=national&amp;d=6","Results")</f>
        <v/>
      </c>
    </row>
    <row r="118">
      <c r="A118" t="inlineStr">
        <is>
          <t>117</t>
        </is>
      </c>
      <c r="B118" t="inlineStr">
        <is>
          <t>Tommy Stroud</t>
        </is>
      </c>
      <c r="C118" t="inlineStr">
        <is>
          <t>Solent Pirates</t>
        </is>
      </c>
      <c r="D118" t="inlineStr">
        <is>
          <t>44</t>
        </is>
      </c>
      <c r="E118">
        <f>HYPERLINK("https://www.britishcycling.org.uk/points?person_id=752011&amp;year=2021&amp;type=national&amp;d=6","Results")</f>
        <v/>
      </c>
    </row>
    <row r="119">
      <c r="A119" t="inlineStr">
        <is>
          <t>118</t>
        </is>
      </c>
      <c r="B119" t="inlineStr">
        <is>
          <t>Matthew Peace</t>
        </is>
      </c>
      <c r="C119" t="inlineStr">
        <is>
          <t>Otley CC</t>
        </is>
      </c>
      <c r="D119" t="inlineStr">
        <is>
          <t>43</t>
        </is>
      </c>
      <c r="E119">
        <f>HYPERLINK("https://www.britishcycling.org.uk/points?person_id=538164&amp;year=2021&amp;type=national&amp;d=6","Results")</f>
        <v/>
      </c>
    </row>
    <row r="120">
      <c r="A120" t="inlineStr">
        <is>
          <t>119</t>
        </is>
      </c>
      <c r="B120" t="inlineStr">
        <is>
          <t>Oscar Saxton</t>
        </is>
      </c>
      <c r="C120" t="inlineStr">
        <is>
          <t>Huddersfield Star Wheelers</t>
        </is>
      </c>
      <c r="D120" t="inlineStr">
        <is>
          <t>43</t>
        </is>
      </c>
      <c r="E120">
        <f>HYPERLINK("https://www.britishcycling.org.uk/points?person_id=688717&amp;year=2021&amp;type=national&amp;d=6","Results")</f>
        <v/>
      </c>
    </row>
    <row r="121">
      <c r="A121" t="inlineStr">
        <is>
          <t>120</t>
        </is>
      </c>
      <c r="B121" t="inlineStr">
        <is>
          <t>Isaac Alexander Pressley</t>
        </is>
      </c>
      <c r="C121" t="inlineStr">
        <is>
          <t>Clifton CC</t>
        </is>
      </c>
      <c r="D121" t="inlineStr">
        <is>
          <t>42</t>
        </is>
      </c>
      <c r="E121">
        <f>HYPERLINK("https://www.britishcycling.org.uk/points?person_id=535557&amp;year=2021&amp;type=national&amp;d=6","Results")</f>
        <v/>
      </c>
    </row>
    <row r="122">
      <c r="A122" t="inlineStr">
        <is>
          <t>121</t>
        </is>
      </c>
      <c r="B122" t="inlineStr">
        <is>
          <t>Oliver Barker</t>
        </is>
      </c>
      <c r="C122" t="inlineStr">
        <is>
          <t>Shibden Cycling Club</t>
        </is>
      </c>
      <c r="D122" t="inlineStr">
        <is>
          <t>41</t>
        </is>
      </c>
      <c r="E122">
        <f>HYPERLINK("https://www.britishcycling.org.uk/points?person_id=392100&amp;year=2021&amp;type=national&amp;d=6","Results")</f>
        <v/>
      </c>
    </row>
    <row r="123">
      <c r="A123" t="inlineStr">
        <is>
          <t>122</t>
        </is>
      </c>
      <c r="B123" t="inlineStr">
        <is>
          <t>Luke Mannings</t>
        </is>
      </c>
      <c r="C123" t="inlineStr">
        <is>
          <t>Halesowen A &amp; CC</t>
        </is>
      </c>
      <c r="D123" t="inlineStr">
        <is>
          <t>41</t>
        </is>
      </c>
      <c r="E123">
        <f>HYPERLINK("https://www.britishcycling.org.uk/points?person_id=286250&amp;year=2021&amp;type=national&amp;d=6","Results")</f>
        <v/>
      </c>
    </row>
    <row r="124">
      <c r="A124" t="inlineStr">
        <is>
          <t>123</t>
        </is>
      </c>
      <c r="B124" t="inlineStr">
        <is>
          <t>Tom Jackson</t>
        </is>
      </c>
      <c r="C124" t="inlineStr">
        <is>
          <t>Newport Shropshire CC</t>
        </is>
      </c>
      <c r="D124" t="inlineStr">
        <is>
          <t>40</t>
        </is>
      </c>
      <c r="E124">
        <f>HYPERLINK("https://www.britishcycling.org.uk/points?person_id=381482&amp;year=2021&amp;type=national&amp;d=6","Results")</f>
        <v/>
      </c>
    </row>
    <row r="125">
      <c r="A125" t="inlineStr">
        <is>
          <t>124</t>
        </is>
      </c>
      <c r="B125" t="inlineStr">
        <is>
          <t>Finlay Tarling</t>
        </is>
      </c>
      <c r="C125" t="inlineStr">
        <is>
          <t>WORX Factory Racing</t>
        </is>
      </c>
      <c r="D125" t="inlineStr">
        <is>
          <t>40</t>
        </is>
      </c>
      <c r="E125">
        <f>HYPERLINK("https://www.britishcycling.org.uk/points?person_id=207777&amp;year=2021&amp;type=national&amp;d=6","Results")</f>
        <v/>
      </c>
    </row>
    <row r="126">
      <c r="A126" t="inlineStr">
        <is>
          <t>125</t>
        </is>
      </c>
      <c r="B126" t="inlineStr">
        <is>
          <t>Jack Sutton</t>
        </is>
      </c>
      <c r="C126" t="inlineStr">
        <is>
          <t>Stonham Barns Park – SYRT</t>
        </is>
      </c>
      <c r="D126" t="inlineStr">
        <is>
          <t>38</t>
        </is>
      </c>
      <c r="E126">
        <f>HYPERLINK("https://www.britishcycling.org.uk/points?person_id=939075&amp;year=2021&amp;type=national&amp;d=6","Results")</f>
        <v/>
      </c>
    </row>
    <row r="127">
      <c r="A127" t="inlineStr">
        <is>
          <t>126</t>
        </is>
      </c>
      <c r="B127" t="inlineStr">
        <is>
          <t>Charlie Thorpe</t>
        </is>
      </c>
      <c r="C127" t="inlineStr">
        <is>
          <t>RTD - J'sCycleShack</t>
        </is>
      </c>
      <c r="D127" t="inlineStr">
        <is>
          <t>38</t>
        </is>
      </c>
      <c r="E127">
        <f>HYPERLINK("https://www.britishcycling.org.uk/points?person_id=706680&amp;year=2021&amp;type=national&amp;d=6","Results")</f>
        <v/>
      </c>
    </row>
    <row r="128">
      <c r="A128" t="inlineStr">
        <is>
          <t>127</t>
        </is>
      </c>
      <c r="B128" t="inlineStr">
        <is>
          <t>Feargus Pearson</t>
        </is>
      </c>
      <c r="C128" t="inlineStr">
        <is>
          <t>Peebles CC</t>
        </is>
      </c>
      <c r="D128" t="inlineStr">
        <is>
          <t>36</t>
        </is>
      </c>
      <c r="E128">
        <f>HYPERLINK("https://www.britishcycling.org.uk/points?person_id=759348&amp;year=2021&amp;type=national&amp;d=6","Results")</f>
        <v/>
      </c>
    </row>
    <row r="129">
      <c r="A129" t="inlineStr">
        <is>
          <t>128</t>
        </is>
      </c>
      <c r="B129" t="inlineStr">
        <is>
          <t>Oliver Clements</t>
        </is>
      </c>
      <c r="C129" t="inlineStr">
        <is>
          <t>Southborough &amp; District Whls</t>
        </is>
      </c>
      <c r="D129" t="inlineStr">
        <is>
          <t>34</t>
        </is>
      </c>
      <c r="E129">
        <f>HYPERLINK("https://www.britishcycling.org.uk/points?person_id=977727&amp;year=2021&amp;type=national&amp;d=6","Results")</f>
        <v/>
      </c>
    </row>
    <row r="130">
      <c r="A130" t="inlineStr">
        <is>
          <t>129</t>
        </is>
      </c>
      <c r="B130" t="inlineStr">
        <is>
          <t>Finlay Woodliffe</t>
        </is>
      </c>
      <c r="C130" t="inlineStr">
        <is>
          <t>Welwyn Wheelers CC</t>
        </is>
      </c>
      <c r="D130" t="inlineStr">
        <is>
          <t>34</t>
        </is>
      </c>
      <c r="E130">
        <f>HYPERLINK("https://www.britishcycling.org.uk/points?person_id=333649&amp;year=2021&amp;type=national&amp;d=6","Results")</f>
        <v/>
      </c>
    </row>
    <row r="131">
      <c r="A131" t="inlineStr">
        <is>
          <t>130</t>
        </is>
      </c>
      <c r="B131" t="inlineStr">
        <is>
          <t>Jack Beveridge</t>
        </is>
      </c>
      <c r="C131" t="inlineStr">
        <is>
          <t>Avid Sport</t>
        </is>
      </c>
      <c r="D131" t="inlineStr">
        <is>
          <t>33</t>
        </is>
      </c>
      <c r="E131">
        <f>HYPERLINK("https://www.britishcycling.org.uk/points?person_id=269894&amp;year=2021&amp;type=national&amp;d=6","Results")</f>
        <v/>
      </c>
    </row>
    <row r="132">
      <c r="A132" t="inlineStr">
        <is>
          <t>131</t>
        </is>
      </c>
      <c r="B132" t="inlineStr">
        <is>
          <t>Jesse Bradley</t>
        </is>
      </c>
      <c r="C132" t="inlineStr">
        <is>
          <t>Lichfield City CC</t>
        </is>
      </c>
      <c r="D132" t="inlineStr">
        <is>
          <t>33</t>
        </is>
      </c>
      <c r="E132">
        <f>HYPERLINK("https://www.britishcycling.org.uk/points?person_id=294190&amp;year=2021&amp;type=national&amp;d=6","Results")</f>
        <v/>
      </c>
    </row>
    <row r="133">
      <c r="A133" t="inlineStr">
        <is>
          <t>132</t>
        </is>
      </c>
      <c r="B133" t="inlineStr">
        <is>
          <t>Noah Inman</t>
        </is>
      </c>
      <c r="C133" t="inlineStr">
        <is>
          <t>Ashfield RC</t>
        </is>
      </c>
      <c r="D133" t="inlineStr">
        <is>
          <t>33</t>
        </is>
      </c>
      <c r="E133">
        <f>HYPERLINK("https://www.britishcycling.org.uk/points?person_id=454908&amp;year=2021&amp;type=national&amp;d=6","Results")</f>
        <v/>
      </c>
    </row>
    <row r="134">
      <c r="A134" t="inlineStr">
        <is>
          <t>133</t>
        </is>
      </c>
      <c r="B134" t="inlineStr">
        <is>
          <t>Oliver Blyth</t>
        </is>
      </c>
      <c r="C134" t="inlineStr">
        <is>
          <t>Edinburgh RC</t>
        </is>
      </c>
      <c r="D134" t="inlineStr">
        <is>
          <t>32</t>
        </is>
      </c>
      <c r="E134">
        <f>HYPERLINK("https://www.britishcycling.org.uk/points?person_id=564639&amp;year=2021&amp;type=national&amp;d=6","Results")</f>
        <v/>
      </c>
    </row>
    <row r="135">
      <c r="A135" t="inlineStr">
        <is>
          <t>134</t>
        </is>
      </c>
      <c r="B135" t="inlineStr">
        <is>
          <t>Lucas Buksh</t>
        </is>
      </c>
      <c r="C135" t="inlineStr">
        <is>
          <t>Kettering CC</t>
        </is>
      </c>
      <c r="D135" t="inlineStr">
        <is>
          <t>32</t>
        </is>
      </c>
      <c r="E135">
        <f>HYPERLINK("https://www.britishcycling.org.uk/points?person_id=849111&amp;year=2021&amp;type=national&amp;d=6","Results")</f>
        <v/>
      </c>
    </row>
    <row r="136">
      <c r="A136" t="inlineStr">
        <is>
          <t>135</t>
        </is>
      </c>
      <c r="B136" t="inlineStr">
        <is>
          <t>Augustus Harris</t>
        </is>
      </c>
      <c r="C136" t="inlineStr">
        <is>
          <t>Southborough &amp; District Whls</t>
        </is>
      </c>
      <c r="D136" t="inlineStr">
        <is>
          <t>31</t>
        </is>
      </c>
      <c r="E136">
        <f>HYPERLINK("https://www.britishcycling.org.uk/points?person_id=975935&amp;year=2021&amp;type=national&amp;d=6","Results")</f>
        <v/>
      </c>
    </row>
    <row r="137">
      <c r="A137" t="inlineStr">
        <is>
          <t>136</t>
        </is>
      </c>
      <c r="B137" t="inlineStr">
        <is>
          <t>Trayden Jarrett</t>
        </is>
      </c>
      <c r="C137" t="inlineStr">
        <is>
          <t>Green Jersey CC</t>
        </is>
      </c>
      <c r="D137" t="inlineStr">
        <is>
          <t>31</t>
        </is>
      </c>
      <c r="E137">
        <f>HYPERLINK("https://www.britishcycling.org.uk/points?person_id=182371&amp;year=2021&amp;type=national&amp;d=6","Results")</f>
        <v/>
      </c>
    </row>
    <row r="138">
      <c r="A138" t="inlineStr">
        <is>
          <t>137</t>
        </is>
      </c>
      <c r="B138" t="inlineStr">
        <is>
          <t>Keane Beckham</t>
        </is>
      </c>
      <c r="C138" t="inlineStr">
        <is>
          <t>Diss &amp; District CC</t>
        </is>
      </c>
      <c r="D138" t="inlineStr">
        <is>
          <t>30</t>
        </is>
      </c>
      <c r="E138">
        <f>HYPERLINK("https://www.britishcycling.org.uk/points?person_id=948422&amp;year=2021&amp;type=national&amp;d=6","Results")</f>
        <v/>
      </c>
    </row>
    <row r="139">
      <c r="A139" t="inlineStr">
        <is>
          <t>138</t>
        </is>
      </c>
      <c r="B139" t="inlineStr">
        <is>
          <t>Ethan Campbell</t>
        </is>
      </c>
      <c r="C139" t="inlineStr">
        <is>
          <t>Newport Shropshire CC</t>
        </is>
      </c>
      <c r="D139" t="inlineStr">
        <is>
          <t>29</t>
        </is>
      </c>
      <c r="E139">
        <f>HYPERLINK("https://www.britishcycling.org.uk/points?person_id=918573&amp;year=2021&amp;type=national&amp;d=6","Results")</f>
        <v/>
      </c>
    </row>
    <row r="140">
      <c r="A140" t="inlineStr">
        <is>
          <t>139</t>
        </is>
      </c>
      <c r="B140" t="inlineStr">
        <is>
          <t>Alexander Rabaiotti</t>
        </is>
      </c>
      <c r="C140" t="inlineStr">
        <is>
          <t>Maindy Flyers CC</t>
        </is>
      </c>
      <c r="D140" t="inlineStr">
        <is>
          <t>29</t>
        </is>
      </c>
      <c r="E140">
        <f>HYPERLINK("https://www.britishcycling.org.uk/points?person_id=539946&amp;year=2021&amp;type=national&amp;d=6","Results")</f>
        <v/>
      </c>
    </row>
    <row r="141">
      <c r="A141" t="inlineStr">
        <is>
          <t>140</t>
        </is>
      </c>
      <c r="B141" t="inlineStr">
        <is>
          <t>Sebastian Anderson</t>
        </is>
      </c>
      <c r="C141" t="inlineStr">
        <is>
          <t>Orwell Velo</t>
        </is>
      </c>
      <c r="D141" t="inlineStr">
        <is>
          <t>28</t>
        </is>
      </c>
      <c r="E141">
        <f>HYPERLINK("https://www.britishcycling.org.uk/points?person_id=1001366&amp;year=2021&amp;type=national&amp;d=6","Results")</f>
        <v/>
      </c>
    </row>
    <row r="142">
      <c r="A142" t="inlineStr">
        <is>
          <t>141</t>
        </is>
      </c>
      <c r="B142" t="inlineStr">
        <is>
          <t>Rhys Griffin</t>
        </is>
      </c>
      <c r="C142" t="inlineStr">
        <is>
          <t>Cardiff JIF</t>
        </is>
      </c>
      <c r="D142" t="inlineStr">
        <is>
          <t>28</t>
        </is>
      </c>
      <c r="E142">
        <f>HYPERLINK("https://www.britishcycling.org.uk/points?person_id=237118&amp;year=2021&amp;type=national&amp;d=6","Results")</f>
        <v/>
      </c>
    </row>
    <row r="143">
      <c r="A143" t="inlineStr">
        <is>
          <t>142</t>
        </is>
      </c>
      <c r="B143" t="inlineStr">
        <is>
          <t>Benjamin Massey</t>
        </is>
      </c>
      <c r="C143" t="inlineStr">
        <is>
          <t>West Lothian Clarion CC</t>
        </is>
      </c>
      <c r="D143" t="inlineStr">
        <is>
          <t>28</t>
        </is>
      </c>
      <c r="E143">
        <f>HYPERLINK("https://www.britishcycling.org.uk/points?person_id=314338&amp;year=2021&amp;type=national&amp;d=6","Results")</f>
        <v/>
      </c>
    </row>
    <row r="144">
      <c r="A144" t="inlineStr">
        <is>
          <t>143</t>
        </is>
      </c>
      <c r="B144" t="inlineStr">
        <is>
          <t>Robert Smart</t>
        </is>
      </c>
      <c r="C144" t="inlineStr">
        <is>
          <t>Ythan CC</t>
        </is>
      </c>
      <c r="D144" t="inlineStr">
        <is>
          <t>28</t>
        </is>
      </c>
      <c r="E144">
        <f>HYPERLINK("https://www.britishcycling.org.uk/points?person_id=806276&amp;year=2021&amp;type=national&amp;d=6","Results")</f>
        <v/>
      </c>
    </row>
    <row r="145">
      <c r="A145" t="inlineStr">
        <is>
          <t>144</t>
        </is>
      </c>
      <c r="B145" t="inlineStr">
        <is>
          <t>Nate Corken</t>
        </is>
      </c>
      <c r="C145" t="inlineStr">
        <is>
          <t>Abergavenny Road Club</t>
        </is>
      </c>
      <c r="D145" t="inlineStr">
        <is>
          <t>27</t>
        </is>
      </c>
      <c r="E145">
        <f>HYPERLINK("https://www.britishcycling.org.uk/points?person_id=400989&amp;year=2021&amp;type=national&amp;d=6","Results")</f>
        <v/>
      </c>
    </row>
    <row r="146">
      <c r="A146" t="inlineStr">
        <is>
          <t>145</t>
        </is>
      </c>
      <c r="B146" t="inlineStr">
        <is>
          <t>Ciaran Lally</t>
        </is>
      </c>
      <c r="C146" t="inlineStr">
        <is>
          <t>Racing Metro 15</t>
        </is>
      </c>
      <c r="D146" t="inlineStr">
        <is>
          <t>27</t>
        </is>
      </c>
      <c r="E146">
        <f>HYPERLINK("https://www.britishcycling.org.uk/points?person_id=338418&amp;year=2021&amp;type=national&amp;d=6","Results")</f>
        <v/>
      </c>
    </row>
    <row r="147">
      <c r="A147" t="inlineStr">
        <is>
          <t>146</t>
        </is>
      </c>
      <c r="B147" t="inlineStr">
        <is>
          <t>Luca Bradley</t>
        </is>
      </c>
      <c r="C147" t="inlineStr">
        <is>
          <t>Lichfield City CC</t>
        </is>
      </c>
      <c r="D147" t="inlineStr">
        <is>
          <t>26</t>
        </is>
      </c>
      <c r="E147">
        <f>HYPERLINK("https://www.britishcycling.org.uk/points?person_id=294189&amp;year=2021&amp;type=national&amp;d=6","Results")</f>
        <v/>
      </c>
    </row>
    <row r="148">
      <c r="A148" t="inlineStr">
        <is>
          <t>147</t>
        </is>
      </c>
      <c r="B148" t="inlineStr">
        <is>
          <t>Lawrie Dryden</t>
        </is>
      </c>
      <c r="C148" t="inlineStr">
        <is>
          <t>Cleveland Wheelers CC</t>
        </is>
      </c>
      <c r="D148" t="inlineStr">
        <is>
          <t>26</t>
        </is>
      </c>
      <c r="E148">
        <f>HYPERLINK("https://www.britishcycling.org.uk/points?person_id=987114&amp;year=2021&amp;type=national&amp;d=6","Results")</f>
        <v/>
      </c>
    </row>
    <row r="149">
      <c r="A149" t="inlineStr">
        <is>
          <t>148</t>
        </is>
      </c>
      <c r="B149" t="inlineStr">
        <is>
          <t>John Kitto</t>
        </is>
      </c>
      <c r="C149" t="inlineStr">
        <is>
          <t>Palmer Park Velo RT</t>
        </is>
      </c>
      <c r="D149" t="inlineStr">
        <is>
          <t>26</t>
        </is>
      </c>
      <c r="E149">
        <f>HYPERLINK("https://www.britishcycling.org.uk/points?person_id=749769&amp;year=2021&amp;type=national&amp;d=6","Results")</f>
        <v/>
      </c>
    </row>
    <row r="150">
      <c r="A150" t="inlineStr">
        <is>
          <t>149</t>
        </is>
      </c>
      <c r="B150" t="inlineStr">
        <is>
          <t>Owain Williams</t>
        </is>
      </c>
      <c r="C150" t="inlineStr">
        <is>
          <t>Hillingdon Slipstreamers</t>
        </is>
      </c>
      <c r="D150" t="inlineStr">
        <is>
          <t>26</t>
        </is>
      </c>
      <c r="E150">
        <f>HYPERLINK("https://www.britishcycling.org.uk/points?person_id=311199&amp;year=2021&amp;type=national&amp;d=6","Results")</f>
        <v/>
      </c>
    </row>
    <row r="151">
      <c r="A151" t="inlineStr">
        <is>
          <t>150</t>
        </is>
      </c>
      <c r="B151" t="inlineStr">
        <is>
          <t>Joshua Chamberlain</t>
        </is>
      </c>
      <c r="C151" t="inlineStr">
        <is>
          <t>Velo Club Venta</t>
        </is>
      </c>
      <c r="D151" t="inlineStr">
        <is>
          <t>25</t>
        </is>
      </c>
      <c r="E151">
        <f>HYPERLINK("https://www.britishcycling.org.uk/points?person_id=794332&amp;year=2021&amp;type=national&amp;d=6","Results")</f>
        <v/>
      </c>
    </row>
    <row r="152">
      <c r="A152" t="inlineStr">
        <is>
          <t>151</t>
        </is>
      </c>
      <c r="B152" t="inlineStr">
        <is>
          <t>Kyran Levey</t>
        </is>
      </c>
      <c r="C152" t="inlineStr">
        <is>
          <t>Solent Pirates</t>
        </is>
      </c>
      <c r="D152" t="inlineStr">
        <is>
          <t>25</t>
        </is>
      </c>
      <c r="E152">
        <f>HYPERLINK("https://www.britishcycling.org.uk/points?person_id=655132&amp;year=2021&amp;type=national&amp;d=6","Results")</f>
        <v/>
      </c>
    </row>
    <row r="153">
      <c r="A153" t="inlineStr">
        <is>
          <t>152</t>
        </is>
      </c>
      <c r="B153" t="inlineStr">
        <is>
          <t>Henry Birchall</t>
        </is>
      </c>
      <c r="C153" t="inlineStr">
        <is>
          <t>Mid Devon CC</t>
        </is>
      </c>
      <c r="D153" t="inlineStr">
        <is>
          <t>24</t>
        </is>
      </c>
      <c r="E153">
        <f>HYPERLINK("https://www.britishcycling.org.uk/points?person_id=690394&amp;year=2021&amp;type=national&amp;d=6","Results")</f>
        <v/>
      </c>
    </row>
    <row r="154">
      <c r="A154" t="inlineStr">
        <is>
          <t>153</t>
        </is>
      </c>
      <c r="B154" t="inlineStr">
        <is>
          <t>Rory Gravelle</t>
        </is>
      </c>
      <c r="C154" t="inlineStr">
        <is>
          <t>Velo Myrddin CC powered by Y Beic</t>
        </is>
      </c>
      <c r="D154" t="inlineStr">
        <is>
          <t>24</t>
        </is>
      </c>
      <c r="E154">
        <f>HYPERLINK("https://www.britishcycling.org.uk/points?person_id=227644&amp;year=2021&amp;type=national&amp;d=6","Results")</f>
        <v/>
      </c>
    </row>
    <row r="155">
      <c r="A155" t="inlineStr">
        <is>
          <t>154</t>
        </is>
      </c>
      <c r="B155" t="inlineStr">
        <is>
          <t>Henry O'Brien</t>
        </is>
      </c>
      <c r="C155" t="inlineStr">
        <is>
          <t>Peebles CC</t>
        </is>
      </c>
      <c r="D155" t="inlineStr">
        <is>
          <t>24</t>
        </is>
      </c>
      <c r="E155">
        <f>HYPERLINK("https://www.britishcycling.org.uk/points?person_id=449911&amp;year=2021&amp;type=national&amp;d=6","Results")</f>
        <v/>
      </c>
    </row>
    <row r="156">
      <c r="A156" t="inlineStr">
        <is>
          <t>155</t>
        </is>
      </c>
      <c r="B156" t="inlineStr">
        <is>
          <t>Alfie Toole</t>
        </is>
      </c>
      <c r="C156" t="inlineStr">
        <is>
          <t>Southborough &amp; District Whls</t>
        </is>
      </c>
      <c r="D156" t="inlineStr">
        <is>
          <t>24</t>
        </is>
      </c>
      <c r="E156">
        <f>HYPERLINK("https://www.britishcycling.org.uk/points?person_id=944362&amp;year=2021&amp;type=national&amp;d=6","Results")</f>
        <v/>
      </c>
    </row>
    <row r="157">
      <c r="A157" t="inlineStr">
        <is>
          <t>156</t>
        </is>
      </c>
      <c r="B157" t="inlineStr">
        <is>
          <t>Sam Ferry</t>
        </is>
      </c>
      <c r="C157" t="inlineStr">
        <is>
          <t>Peebles CC</t>
        </is>
      </c>
      <c r="D157" t="inlineStr">
        <is>
          <t>23</t>
        </is>
      </c>
      <c r="E157">
        <f>HYPERLINK("https://www.britishcycling.org.uk/points?person_id=512923&amp;year=2021&amp;type=national&amp;d=6","Results")</f>
        <v/>
      </c>
    </row>
    <row r="158">
      <c r="A158" t="inlineStr">
        <is>
          <t>157</t>
        </is>
      </c>
      <c r="B158" t="inlineStr">
        <is>
          <t>Tom Hyde</t>
        </is>
      </c>
      <c r="C158" t="inlineStr">
        <is>
          <t>Newport Shropshire CC</t>
        </is>
      </c>
      <c r="D158" t="inlineStr">
        <is>
          <t>23</t>
        </is>
      </c>
      <c r="E158">
        <f>HYPERLINK("https://www.britishcycling.org.uk/points?person_id=570842&amp;year=2021&amp;type=national&amp;d=6","Results")</f>
        <v/>
      </c>
    </row>
    <row r="159">
      <c r="A159" t="inlineStr">
        <is>
          <t>158</t>
        </is>
      </c>
      <c r="B159" t="inlineStr">
        <is>
          <t>Jacob Wood</t>
        </is>
      </c>
      <c r="C159" t="inlineStr">
        <is>
          <t>St Ives CC</t>
        </is>
      </c>
      <c r="D159" t="inlineStr">
        <is>
          <t>23</t>
        </is>
      </c>
      <c r="E159">
        <f>HYPERLINK("https://www.britishcycling.org.uk/points?person_id=493399&amp;year=2021&amp;type=national&amp;d=6","Results")</f>
        <v/>
      </c>
    </row>
    <row r="160">
      <c r="A160" t="inlineStr">
        <is>
          <t>159</t>
        </is>
      </c>
      <c r="B160" t="inlineStr">
        <is>
          <t>William Flatau</t>
        </is>
      </c>
      <c r="C160" t="inlineStr">
        <is>
          <t>Team HUP</t>
        </is>
      </c>
      <c r="D160" t="inlineStr">
        <is>
          <t>22</t>
        </is>
      </c>
      <c r="E160">
        <f>HYPERLINK("https://www.britishcycling.org.uk/points?person_id=220101&amp;year=2021&amp;type=national&amp;d=6","Results")</f>
        <v/>
      </c>
    </row>
    <row r="161">
      <c r="A161" t="inlineStr">
        <is>
          <t>160</t>
        </is>
      </c>
      <c r="B161" t="inlineStr">
        <is>
          <t>Finley Macfarlane</t>
        </is>
      </c>
      <c r="C161" t="inlineStr">
        <is>
          <t>Palmer Park Velo RT</t>
        </is>
      </c>
      <c r="D161" t="inlineStr">
        <is>
          <t>22</t>
        </is>
      </c>
      <c r="E161">
        <f>HYPERLINK("https://www.britishcycling.org.uk/points?person_id=407687&amp;year=2021&amp;type=national&amp;d=6","Results")</f>
        <v/>
      </c>
    </row>
    <row r="162">
      <c r="A162" t="inlineStr">
        <is>
          <t>161</t>
        </is>
      </c>
      <c r="B162" t="inlineStr">
        <is>
          <t>Luis Ryder</t>
        </is>
      </c>
      <c r="C162" t="inlineStr">
        <is>
          <t>Deeside Thistle CC</t>
        </is>
      </c>
      <c r="D162" t="inlineStr">
        <is>
          <t>22</t>
        </is>
      </c>
      <c r="E162">
        <f>HYPERLINK("https://www.britishcycling.org.uk/points?person_id=470527&amp;year=2021&amp;type=national&amp;d=6","Results")</f>
        <v/>
      </c>
    </row>
    <row r="163">
      <c r="A163" t="inlineStr">
        <is>
          <t>162</t>
        </is>
      </c>
      <c r="B163" t="inlineStr">
        <is>
          <t>Elliot Fraser</t>
        </is>
      </c>
      <c r="C163" t="inlineStr">
        <is>
          <t>Clifton CC</t>
        </is>
      </c>
      <c r="D163" t="inlineStr">
        <is>
          <t>21</t>
        </is>
      </c>
      <c r="E163">
        <f>HYPERLINK("https://www.britishcycling.org.uk/points?person_id=1015530&amp;year=2021&amp;type=national&amp;d=6","Results")</f>
        <v/>
      </c>
    </row>
    <row r="164">
      <c r="A164" t="inlineStr">
        <is>
          <t>163</t>
        </is>
      </c>
      <c r="B164" t="inlineStr">
        <is>
          <t>Alasdair Ray</t>
        </is>
      </c>
      <c r="C164" t="inlineStr">
        <is>
          <t>West Lothian Clarion CC</t>
        </is>
      </c>
      <c r="D164" t="inlineStr">
        <is>
          <t>21</t>
        </is>
      </c>
      <c r="E164">
        <f>HYPERLINK("https://www.britishcycling.org.uk/points?person_id=948455&amp;year=2021&amp;type=national&amp;d=6","Results")</f>
        <v/>
      </c>
    </row>
    <row r="165">
      <c r="A165" t="inlineStr">
        <is>
          <t>164</t>
        </is>
      </c>
      <c r="B165" t="inlineStr">
        <is>
          <t>Lewis Ridge</t>
        </is>
      </c>
      <c r="C165" t="inlineStr">
        <is>
          <t>Palmer Park Velo RT</t>
        </is>
      </c>
      <c r="D165" t="inlineStr">
        <is>
          <t>21</t>
        </is>
      </c>
      <c r="E165">
        <f>HYPERLINK("https://www.britishcycling.org.uk/points?person_id=137530&amp;year=2021&amp;type=national&amp;d=6","Results")</f>
        <v/>
      </c>
    </row>
    <row r="166">
      <c r="A166" t="inlineStr">
        <is>
          <t>165</t>
        </is>
      </c>
      <c r="B166" t="inlineStr">
        <is>
          <t>Noah Bleteau</t>
        </is>
      </c>
      <c r="C166" t="inlineStr">
        <is>
          <t>West Lothian Clarion CC</t>
        </is>
      </c>
      <c r="D166" t="inlineStr">
        <is>
          <t>20</t>
        </is>
      </c>
      <c r="E166">
        <f>HYPERLINK("https://www.britishcycling.org.uk/points?person_id=668904&amp;year=2021&amp;type=national&amp;d=6","Results")</f>
        <v/>
      </c>
    </row>
    <row r="167">
      <c r="A167" t="inlineStr">
        <is>
          <t>166</t>
        </is>
      </c>
      <c r="B167" t="inlineStr">
        <is>
          <t>Alfred Bunyan</t>
        </is>
      </c>
      <c r="C167" t="inlineStr">
        <is>
          <t>Preston Park Youth CC (PPYCC)</t>
        </is>
      </c>
      <c r="D167" t="inlineStr">
        <is>
          <t>20</t>
        </is>
      </c>
      <c r="E167">
        <f>HYPERLINK("https://www.britishcycling.org.uk/points?person_id=452656&amp;year=2021&amp;type=national&amp;d=6","Results")</f>
        <v/>
      </c>
    </row>
    <row r="168">
      <c r="A168" t="inlineStr">
        <is>
          <t>167</t>
        </is>
      </c>
      <c r="B168" t="inlineStr">
        <is>
          <t>Patrick Neely</t>
        </is>
      </c>
      <c r="C168" t="inlineStr">
        <is>
          <t>Solihull CC</t>
        </is>
      </c>
      <c r="D168" t="inlineStr">
        <is>
          <t>20</t>
        </is>
      </c>
      <c r="E168">
        <f>HYPERLINK("https://www.britishcycling.org.uk/points?person_id=660759&amp;year=2021&amp;type=national&amp;d=6","Results")</f>
        <v/>
      </c>
    </row>
    <row r="169">
      <c r="A169" t="inlineStr">
        <is>
          <t>168</t>
        </is>
      </c>
      <c r="B169" t="inlineStr">
        <is>
          <t>William Best</t>
        </is>
      </c>
      <c r="C169" t="inlineStr">
        <is>
          <t>Derwentside CC</t>
        </is>
      </c>
      <c r="D169" t="inlineStr">
        <is>
          <t>19</t>
        </is>
      </c>
      <c r="E169">
        <f>HYPERLINK("https://www.britishcycling.org.uk/points?person_id=512658&amp;year=2021&amp;type=national&amp;d=6","Results")</f>
        <v/>
      </c>
    </row>
    <row r="170">
      <c r="A170" t="inlineStr">
        <is>
          <t>169</t>
        </is>
      </c>
      <c r="B170" t="inlineStr">
        <is>
          <t>John O'Sullivan</t>
        </is>
      </c>
      <c r="C170" t="inlineStr">
        <is>
          <t>Cycle Club Ashwell (CCA)</t>
        </is>
      </c>
      <c r="D170" t="inlineStr">
        <is>
          <t>19</t>
        </is>
      </c>
      <c r="E170">
        <f>HYPERLINK("https://www.britishcycling.org.uk/points?person_id=891408&amp;year=2021&amp;type=national&amp;d=6","Results")</f>
        <v/>
      </c>
    </row>
    <row r="171">
      <c r="A171" t="inlineStr">
        <is>
          <t>170</t>
        </is>
      </c>
      <c r="B171" t="inlineStr">
        <is>
          <t>Harry Snaith</t>
        </is>
      </c>
      <c r="C171" t="inlineStr">
        <is>
          <t>Derwentside CC</t>
        </is>
      </c>
      <c r="D171" t="inlineStr">
        <is>
          <t>19</t>
        </is>
      </c>
      <c r="E171">
        <f>HYPERLINK("https://www.britishcycling.org.uk/points?person_id=942338&amp;year=2021&amp;type=national&amp;d=6","Results")</f>
        <v/>
      </c>
    </row>
    <row r="172">
      <c r="A172" t="inlineStr">
        <is>
          <t>171</t>
        </is>
      </c>
      <c r="B172" t="inlineStr">
        <is>
          <t>Reuben Wadey</t>
        </is>
      </c>
      <c r="C172" t="inlineStr">
        <is>
          <t>Avid Sport</t>
        </is>
      </c>
      <c r="D172" t="inlineStr">
        <is>
          <t>19</t>
        </is>
      </c>
      <c r="E172">
        <f>HYPERLINK("https://www.britishcycling.org.uk/points?person_id=538934&amp;year=2021&amp;type=national&amp;d=6","Results")</f>
        <v/>
      </c>
    </row>
    <row r="173">
      <c r="A173" t="inlineStr">
        <is>
          <t>172</t>
        </is>
      </c>
      <c r="B173" t="inlineStr">
        <is>
          <t>Joseph Chapman</t>
        </is>
      </c>
      <c r="C173" t="inlineStr">
        <is>
          <t>Bolsover &amp; District Cycling Club</t>
        </is>
      </c>
      <c r="D173" t="inlineStr">
        <is>
          <t>18</t>
        </is>
      </c>
      <c r="E173">
        <f>HYPERLINK("https://www.britishcycling.org.uk/points?person_id=655651&amp;year=2021&amp;type=national&amp;d=6","Results")</f>
        <v/>
      </c>
    </row>
    <row r="174">
      <c r="A174" t="inlineStr">
        <is>
          <t>173</t>
        </is>
      </c>
      <c r="B174" t="inlineStr">
        <is>
          <t>Emil Howell</t>
        </is>
      </c>
      <c r="C174" t="inlineStr">
        <is>
          <t>Matlock CC</t>
        </is>
      </c>
      <c r="D174" t="inlineStr">
        <is>
          <t>18</t>
        </is>
      </c>
      <c r="E174">
        <f>HYPERLINK("https://www.britishcycling.org.uk/points?person_id=951329&amp;year=2021&amp;type=national&amp;d=6","Results")</f>
        <v/>
      </c>
    </row>
    <row r="175">
      <c r="A175" t="inlineStr">
        <is>
          <t>174</t>
        </is>
      </c>
      <c r="B175" t="inlineStr">
        <is>
          <t>Ben Baker</t>
        </is>
      </c>
      <c r="C175" t="inlineStr">
        <is>
          <t>NEL Lindsey Go-Ride</t>
        </is>
      </c>
      <c r="D175" t="inlineStr">
        <is>
          <t>17</t>
        </is>
      </c>
      <c r="E175">
        <f>HYPERLINK("https://www.britishcycling.org.uk/points?person_id=672658&amp;year=2021&amp;type=national&amp;d=6","Results")</f>
        <v/>
      </c>
    </row>
    <row r="176">
      <c r="A176" t="inlineStr">
        <is>
          <t>175</t>
        </is>
      </c>
      <c r="B176" t="inlineStr">
        <is>
          <t>Marc Charton</t>
        </is>
      </c>
      <c r="C176" t="inlineStr">
        <is>
          <t>Solihull CC</t>
        </is>
      </c>
      <c r="D176" t="inlineStr">
        <is>
          <t>17</t>
        </is>
      </c>
      <c r="E176">
        <f>HYPERLINK("https://www.britishcycling.org.uk/points?person_id=768499&amp;year=2021&amp;type=national&amp;d=6","Results")</f>
        <v/>
      </c>
    </row>
    <row r="177">
      <c r="A177" t="inlineStr">
        <is>
          <t>176</t>
        </is>
      </c>
      <c r="B177" t="inlineStr">
        <is>
          <t>Archie Honeysett</t>
        </is>
      </c>
      <c r="C177" t="inlineStr">
        <is>
          <t>Salt Ayre Cog Set</t>
        </is>
      </c>
      <c r="D177" t="inlineStr">
        <is>
          <t>16</t>
        </is>
      </c>
      <c r="E177">
        <f>HYPERLINK("https://www.britishcycling.org.uk/points?person_id=326805&amp;year=2021&amp;type=national&amp;d=6","Results")</f>
        <v/>
      </c>
    </row>
    <row r="178">
      <c r="A178" t="inlineStr">
        <is>
          <t>177</t>
        </is>
      </c>
      <c r="B178" t="inlineStr">
        <is>
          <t>Callum Prior</t>
        </is>
      </c>
      <c r="C178" t="inlineStr">
        <is>
          <t>Team Milton Keynes</t>
        </is>
      </c>
      <c r="D178" t="inlineStr">
        <is>
          <t>16</t>
        </is>
      </c>
      <c r="E178">
        <f>HYPERLINK("https://www.britishcycling.org.uk/points?person_id=818178&amp;year=2021&amp;type=national&amp;d=6","Results")</f>
        <v/>
      </c>
    </row>
    <row r="179">
      <c r="A179" t="inlineStr">
        <is>
          <t>178</t>
        </is>
      </c>
      <c r="B179" t="inlineStr">
        <is>
          <t>Jasper Simpson</t>
        </is>
      </c>
      <c r="C179" t="inlineStr">
        <is>
          <t>Lee Valley Youth Cycling Club</t>
        </is>
      </c>
      <c r="D179" t="inlineStr">
        <is>
          <t>16</t>
        </is>
      </c>
      <c r="E179">
        <f>HYPERLINK("https://www.britishcycling.org.uk/points?person_id=681306&amp;year=2021&amp;type=national&amp;d=6","Results")</f>
        <v/>
      </c>
    </row>
    <row r="180">
      <c r="A180" t="inlineStr">
        <is>
          <t>179</t>
        </is>
      </c>
      <c r="B180" t="inlineStr">
        <is>
          <t>Evan Williams</t>
        </is>
      </c>
      <c r="C180" t="inlineStr">
        <is>
          <t>Solent Pirates</t>
        </is>
      </c>
      <c r="D180" t="inlineStr">
        <is>
          <t>16</t>
        </is>
      </c>
      <c r="E180">
        <f>HYPERLINK("https://www.britishcycling.org.uk/points?person_id=1031267&amp;year=2021&amp;type=national&amp;d=6","Results")</f>
        <v/>
      </c>
    </row>
    <row r="181">
      <c r="A181" t="inlineStr">
        <is>
          <t>180</t>
        </is>
      </c>
      <c r="B181" t="inlineStr">
        <is>
          <t>Francis Caswell</t>
        </is>
      </c>
      <c r="C181" t="inlineStr">
        <is>
          <t>1st Chard Whls</t>
        </is>
      </c>
      <c r="D181" t="inlineStr">
        <is>
          <t>15</t>
        </is>
      </c>
      <c r="E181">
        <f>HYPERLINK("https://www.britishcycling.org.uk/points?person_id=750201&amp;year=2021&amp;type=national&amp;d=6","Results")</f>
        <v/>
      </c>
    </row>
    <row r="182">
      <c r="A182" t="inlineStr">
        <is>
          <t>181</t>
        </is>
      </c>
      <c r="B182" t="inlineStr">
        <is>
          <t>Harris Drackford</t>
        </is>
      </c>
      <c r="C182" t="inlineStr">
        <is>
          <t>Falkirk Junior Bike Club</t>
        </is>
      </c>
      <c r="D182" t="inlineStr">
        <is>
          <t>15</t>
        </is>
      </c>
      <c r="E182">
        <f>HYPERLINK("https://www.britishcycling.org.uk/points?person_id=783839&amp;year=2021&amp;type=national&amp;d=6","Results")</f>
        <v/>
      </c>
    </row>
    <row r="183">
      <c r="A183" t="inlineStr">
        <is>
          <t>182</t>
        </is>
      </c>
      <c r="B183" t="inlineStr">
        <is>
          <t>Thomas Hepton</t>
        </is>
      </c>
      <c r="C183" t="inlineStr">
        <is>
          <t>Paul Milnes - Bradford Olympic RC</t>
        </is>
      </c>
      <c r="D183" t="inlineStr">
        <is>
          <t>15</t>
        </is>
      </c>
      <c r="E183">
        <f>HYPERLINK("https://www.britishcycling.org.uk/points?person_id=453615&amp;year=2021&amp;type=national&amp;d=6","Results")</f>
        <v/>
      </c>
    </row>
    <row r="184">
      <c r="A184" t="inlineStr">
        <is>
          <t>183</t>
        </is>
      </c>
      <c r="B184" t="inlineStr">
        <is>
          <t>Jacob Johnson</t>
        </is>
      </c>
      <c r="C184" t="inlineStr">
        <is>
          <t>Bristol Cycling Development Squad</t>
        </is>
      </c>
      <c r="D184" t="inlineStr">
        <is>
          <t>15</t>
        </is>
      </c>
      <c r="E184">
        <f>HYPERLINK("https://www.britishcycling.org.uk/points?person_id=1019328&amp;year=2021&amp;type=national&amp;d=6","Results")</f>
        <v/>
      </c>
    </row>
    <row r="185">
      <c r="A185" t="inlineStr">
        <is>
          <t>184</t>
        </is>
      </c>
      <c r="B185" t="inlineStr">
        <is>
          <t>Matthew Kent</t>
        </is>
      </c>
      <c r="C185" t="inlineStr">
        <is>
          <t>Beeston Cycling Club</t>
        </is>
      </c>
      <c r="D185" t="inlineStr">
        <is>
          <t>15</t>
        </is>
      </c>
      <c r="E185">
        <f>HYPERLINK("https://www.britishcycling.org.uk/points?person_id=549611&amp;year=2021&amp;type=national&amp;d=6","Results")</f>
        <v/>
      </c>
    </row>
    <row r="186">
      <c r="A186" t="inlineStr">
        <is>
          <t>185</t>
        </is>
      </c>
      <c r="B186" t="inlineStr">
        <is>
          <t>Oscar Pasmore</t>
        </is>
      </c>
      <c r="C186" t="inlineStr">
        <is>
          <t>Welwyn Wheelers CC</t>
        </is>
      </c>
      <c r="D186" t="inlineStr">
        <is>
          <t>15</t>
        </is>
      </c>
      <c r="E186">
        <f>HYPERLINK("https://www.britishcycling.org.uk/points?person_id=533779&amp;year=2021&amp;type=national&amp;d=6","Results")</f>
        <v/>
      </c>
    </row>
    <row r="187">
      <c r="A187" t="inlineStr">
        <is>
          <t>186</t>
        </is>
      </c>
      <c r="B187" t="inlineStr">
        <is>
          <t>William Pearson-Inman</t>
        </is>
      </c>
      <c r="C187" t="inlineStr">
        <is>
          <t>Nottingham Clarion CC</t>
        </is>
      </c>
      <c r="D187" t="inlineStr">
        <is>
          <t>15</t>
        </is>
      </c>
      <c r="E187">
        <f>HYPERLINK("https://www.britishcycling.org.uk/points?person_id=313524&amp;year=2021&amp;type=national&amp;d=6","Results")</f>
        <v/>
      </c>
    </row>
    <row r="188">
      <c r="A188" t="inlineStr">
        <is>
          <t>187</t>
        </is>
      </c>
      <c r="B188" t="inlineStr">
        <is>
          <t>Sam Fisher</t>
        </is>
      </c>
      <c r="C188" t="inlineStr">
        <is>
          <t>Backstedt Bike Performance RC</t>
        </is>
      </c>
      <c r="D188" t="inlineStr">
        <is>
          <t>14</t>
        </is>
      </c>
      <c r="E188">
        <f>HYPERLINK("https://www.britishcycling.org.uk/points?person_id=367369&amp;year=2021&amp;type=national&amp;d=6","Results")</f>
        <v/>
      </c>
    </row>
    <row r="189">
      <c r="A189" t="inlineStr">
        <is>
          <t>188</t>
        </is>
      </c>
      <c r="B189" t="inlineStr">
        <is>
          <t>Nathan Grady</t>
        </is>
      </c>
      <c r="C189" t="inlineStr">
        <is>
          <t>Team Milton Keynes</t>
        </is>
      </c>
      <c r="D189" t="inlineStr">
        <is>
          <t>14</t>
        </is>
      </c>
      <c r="E189">
        <f>HYPERLINK("https://www.britishcycling.org.uk/points?person_id=764977&amp;year=2021&amp;type=national&amp;d=6","Results")</f>
        <v/>
      </c>
    </row>
    <row r="190">
      <c r="A190" t="inlineStr">
        <is>
          <t>189</t>
        </is>
      </c>
      <c r="B190" t="inlineStr">
        <is>
          <t>Gaian Hardiman</t>
        </is>
      </c>
      <c r="C190" t="inlineStr">
        <is>
          <t>The Bulls</t>
        </is>
      </c>
      <c r="D190" t="inlineStr">
        <is>
          <t>14</t>
        </is>
      </c>
      <c r="E190">
        <f>HYPERLINK("https://www.britishcycling.org.uk/points?person_id=538942&amp;year=2021&amp;type=national&amp;d=6","Results")</f>
        <v/>
      </c>
    </row>
    <row r="191">
      <c r="A191" t="inlineStr">
        <is>
          <t>190</t>
        </is>
      </c>
      <c r="B191" t="inlineStr">
        <is>
          <t>Mitchell McCole</t>
        </is>
      </c>
      <c r="C191" t="inlineStr">
        <is>
          <t>Falkirk Junior Bike Club</t>
        </is>
      </c>
      <c r="D191" t="inlineStr">
        <is>
          <t>14</t>
        </is>
      </c>
      <c r="E191">
        <f>HYPERLINK("https://www.britishcycling.org.uk/points?person_id=950909&amp;year=2021&amp;type=national&amp;d=6","Results")</f>
        <v/>
      </c>
    </row>
    <row r="192">
      <c r="A192" t="inlineStr">
        <is>
          <t>191</t>
        </is>
      </c>
      <c r="B192" t="inlineStr">
        <is>
          <t>David Poole</t>
        </is>
      </c>
      <c r="C192" t="inlineStr">
        <is>
          <t>Stratford CC</t>
        </is>
      </c>
      <c r="D192" t="inlineStr">
        <is>
          <t>14</t>
        </is>
      </c>
      <c r="E192">
        <f>HYPERLINK("https://www.britishcycling.org.uk/points?person_id=960595&amp;year=2021&amp;type=national&amp;d=6","Results")</f>
        <v/>
      </c>
    </row>
    <row r="193">
      <c r="A193" t="inlineStr">
        <is>
          <t>192</t>
        </is>
      </c>
      <c r="B193" t="inlineStr">
        <is>
          <t>Max Saunders</t>
        </is>
      </c>
      <c r="C193" t="inlineStr">
        <is>
          <t>Solihull CC</t>
        </is>
      </c>
      <c r="D193" t="inlineStr">
        <is>
          <t>14</t>
        </is>
      </c>
      <c r="E193">
        <f>HYPERLINK("https://www.britishcycling.org.uk/points?person_id=290561&amp;year=2021&amp;type=national&amp;d=6","Results")</f>
        <v/>
      </c>
    </row>
    <row r="194">
      <c r="A194" t="inlineStr">
        <is>
          <t>193</t>
        </is>
      </c>
      <c r="B194" t="inlineStr">
        <is>
          <t>Joshua Tate</t>
        </is>
      </c>
      <c r="C194" t="inlineStr">
        <is>
          <t>Southborough &amp; District Whls</t>
        </is>
      </c>
      <c r="D194" t="inlineStr">
        <is>
          <t>14</t>
        </is>
      </c>
      <c r="E194">
        <f>HYPERLINK("https://www.britishcycling.org.uk/points?person_id=1027264&amp;year=2021&amp;type=national&amp;d=6","Results")</f>
        <v/>
      </c>
    </row>
    <row r="195">
      <c r="A195" t="inlineStr">
        <is>
          <t>194</t>
        </is>
      </c>
      <c r="B195" t="inlineStr">
        <is>
          <t>Lewis Billington</t>
        </is>
      </c>
      <c r="C195" t="inlineStr">
        <is>
          <t>Derby Mercury RC</t>
        </is>
      </c>
      <c r="D195" t="inlineStr">
        <is>
          <t>13</t>
        </is>
      </c>
      <c r="E195">
        <f>HYPERLINK("https://www.britishcycling.org.uk/points?person_id=811051&amp;year=2021&amp;type=national&amp;d=6","Results")</f>
        <v/>
      </c>
    </row>
    <row r="196">
      <c r="A196" t="inlineStr">
        <is>
          <t>195</t>
        </is>
      </c>
      <c r="B196" t="inlineStr">
        <is>
          <t>Benjamin Freeman</t>
        </is>
      </c>
      <c r="C196" t="inlineStr">
        <is>
          <t>Leicester Forest CC</t>
        </is>
      </c>
      <c r="D196" t="inlineStr">
        <is>
          <t>13</t>
        </is>
      </c>
      <c r="E196">
        <f>HYPERLINK("https://www.britishcycling.org.uk/points?person_id=1011853&amp;year=2021&amp;type=national&amp;d=6","Results")</f>
        <v/>
      </c>
    </row>
    <row r="197">
      <c r="A197" t="inlineStr">
        <is>
          <t>196</t>
        </is>
      </c>
      <c r="B197" t="inlineStr">
        <is>
          <t>Thomas Godfrey</t>
        </is>
      </c>
      <c r="C197" t="inlineStr">
        <is>
          <t>Bedfordshire Road Cycling Club</t>
        </is>
      </c>
      <c r="D197" t="inlineStr">
        <is>
          <t>13</t>
        </is>
      </c>
      <c r="E197">
        <f>HYPERLINK("https://www.britishcycling.org.uk/points?person_id=408344&amp;year=2021&amp;type=national&amp;d=6","Results")</f>
        <v/>
      </c>
    </row>
    <row r="198">
      <c r="A198" t="inlineStr">
        <is>
          <t>197</t>
        </is>
      </c>
      <c r="B198" t="inlineStr">
        <is>
          <t>Jacques Goetz</t>
        </is>
      </c>
      <c r="C198" t="inlineStr">
        <is>
          <t>East Bradford Race Team</t>
        </is>
      </c>
      <c r="D198" t="inlineStr">
        <is>
          <t>13</t>
        </is>
      </c>
      <c r="E198">
        <f>HYPERLINK("https://www.britishcycling.org.uk/points?person_id=982194&amp;year=2021&amp;type=national&amp;d=6","Results")</f>
        <v/>
      </c>
    </row>
    <row r="199">
      <c r="A199" t="inlineStr">
        <is>
          <t>198</t>
        </is>
      </c>
      <c r="B199" t="inlineStr">
        <is>
          <t>Liam Ingham</t>
        </is>
      </c>
      <c r="C199" t="inlineStr">
        <is>
          <t>Derwentside CC</t>
        </is>
      </c>
      <c r="D199" t="inlineStr">
        <is>
          <t>13</t>
        </is>
      </c>
      <c r="E199">
        <f>HYPERLINK("https://www.britishcycling.org.uk/points?person_id=845591&amp;year=2021&amp;type=national&amp;d=6","Results")</f>
        <v/>
      </c>
    </row>
    <row r="200">
      <c r="A200" t="inlineStr">
        <is>
          <t>199</t>
        </is>
      </c>
      <c r="B200" t="inlineStr">
        <is>
          <t>Rory Ogilvie</t>
        </is>
      </c>
      <c r="C200" t="inlineStr">
        <is>
          <t>West Lothian Clarion CC</t>
        </is>
      </c>
      <c r="D200" t="inlineStr">
        <is>
          <t>13</t>
        </is>
      </c>
      <c r="E200">
        <f>HYPERLINK("https://www.britishcycling.org.uk/points?person_id=769792&amp;year=2021&amp;type=national&amp;d=6","Results")</f>
        <v/>
      </c>
    </row>
    <row r="201">
      <c r="A201" t="inlineStr">
        <is>
          <t>200</t>
        </is>
      </c>
      <c r="B201" t="inlineStr">
        <is>
          <t>Zac Tait</t>
        </is>
      </c>
      <c r="C201" t="inlineStr">
        <is>
          <t>Hetton Hawks Cycling Club</t>
        </is>
      </c>
      <c r="D201" t="inlineStr">
        <is>
          <t>12</t>
        </is>
      </c>
      <c r="E201">
        <f>HYPERLINK("https://www.britishcycling.org.uk/points?person_id=753593&amp;year=2021&amp;type=national&amp;d=6","Results")</f>
        <v/>
      </c>
    </row>
    <row r="202">
      <c r="A202" t="inlineStr">
        <is>
          <t>201</t>
        </is>
      </c>
      <c r="B202" t="inlineStr">
        <is>
          <t>Tom Davey</t>
        </is>
      </c>
      <c r="C202" t="inlineStr">
        <is>
          <t>Harrogate Nova CC</t>
        </is>
      </c>
      <c r="D202" t="inlineStr">
        <is>
          <t>11</t>
        </is>
      </c>
      <c r="E202">
        <f>HYPERLINK("https://www.britishcycling.org.uk/points?person_id=987104&amp;year=2021&amp;type=national&amp;d=6","Results")</f>
        <v/>
      </c>
    </row>
    <row r="203">
      <c r="A203" t="inlineStr">
        <is>
          <t>202</t>
        </is>
      </c>
      <c r="B203" t="inlineStr">
        <is>
          <t>Chloe Dodsworth</t>
        </is>
      </c>
      <c r="C203" t="inlineStr">
        <is>
          <t>Maldon &amp; District CC</t>
        </is>
      </c>
      <c r="D203" t="inlineStr">
        <is>
          <t>11</t>
        </is>
      </c>
      <c r="E203">
        <f>HYPERLINK("https://www.britishcycling.org.uk/points?person_id=465013&amp;year=2021&amp;type=national&amp;d=6","Results")</f>
        <v/>
      </c>
    </row>
    <row r="204">
      <c r="A204" t="inlineStr">
        <is>
          <t>203</t>
        </is>
      </c>
      <c r="B204" t="inlineStr">
        <is>
          <t>William Horspool</t>
        </is>
      </c>
      <c r="C204" t="inlineStr">
        <is>
          <t>Boston Whls CC</t>
        </is>
      </c>
      <c r="D204" t="inlineStr">
        <is>
          <t>11</t>
        </is>
      </c>
      <c r="E204">
        <f>HYPERLINK("https://www.britishcycling.org.uk/points?person_id=776513&amp;year=2021&amp;type=national&amp;d=6","Results")</f>
        <v/>
      </c>
    </row>
    <row r="205">
      <c r="A205" t="inlineStr">
        <is>
          <t>204</t>
        </is>
      </c>
      <c r="B205" t="inlineStr">
        <is>
          <t>Thomas Woolf</t>
        </is>
      </c>
      <c r="C205" t="inlineStr">
        <is>
          <t>Matlock CC</t>
        </is>
      </c>
      <c r="D205" t="inlineStr">
        <is>
          <t>11</t>
        </is>
      </c>
      <c r="E205">
        <f>HYPERLINK("https://www.britishcycling.org.uk/points?person_id=251886&amp;year=2021&amp;type=national&amp;d=6","Results")</f>
        <v/>
      </c>
    </row>
    <row r="206">
      <c r="A206" t="inlineStr">
        <is>
          <t>205</t>
        </is>
      </c>
      <c r="B206" t="inlineStr">
        <is>
          <t>Aidan Brassil</t>
        </is>
      </c>
      <c r="C206" t="inlineStr">
        <is>
          <t>Hillingdon Slipstreamers</t>
        </is>
      </c>
      <c r="D206" t="inlineStr">
        <is>
          <t>10</t>
        </is>
      </c>
      <c r="E206">
        <f>HYPERLINK("https://www.britishcycling.org.uk/points?person_id=375777&amp;year=2021&amp;type=national&amp;d=6","Results")</f>
        <v/>
      </c>
    </row>
    <row r="207">
      <c r="A207" t="inlineStr">
        <is>
          <t>206</t>
        </is>
      </c>
      <c r="B207" t="inlineStr">
        <is>
          <t>Toby Bush</t>
        </is>
      </c>
      <c r="C207" t="inlineStr">
        <is>
          <t>Beeston Cycling Club</t>
        </is>
      </c>
      <c r="D207" t="inlineStr">
        <is>
          <t>10</t>
        </is>
      </c>
      <c r="E207">
        <f>HYPERLINK("https://www.britishcycling.org.uk/points?person_id=940845&amp;year=2021&amp;type=national&amp;d=6","Results")</f>
        <v/>
      </c>
    </row>
    <row r="208">
      <c r="A208" t="inlineStr">
        <is>
          <t>207</t>
        </is>
      </c>
      <c r="B208" t="inlineStr">
        <is>
          <t>Matthew McCleery</t>
        </is>
      </c>
      <c r="C208" t="inlineStr">
        <is>
          <t>Carnegie Cyclones</t>
        </is>
      </c>
      <c r="D208" t="inlineStr">
        <is>
          <t>10</t>
        </is>
      </c>
      <c r="E208">
        <f>HYPERLINK("https://www.britishcycling.org.uk/points?person_id=443211&amp;year=2021&amp;type=national&amp;d=6","Results")</f>
        <v/>
      </c>
    </row>
    <row r="209">
      <c r="A209" t="inlineStr">
        <is>
          <t>208</t>
        </is>
      </c>
      <c r="B209" t="inlineStr">
        <is>
          <t>Oliver Oldham</t>
        </is>
      </c>
      <c r="C209" t="inlineStr">
        <is>
          <t>Salt Ayre Cog Set</t>
        </is>
      </c>
      <c r="D209" t="inlineStr">
        <is>
          <t>10</t>
        </is>
      </c>
      <c r="E209">
        <f>HYPERLINK("https://www.britishcycling.org.uk/points?person_id=562389&amp;year=2021&amp;type=national&amp;d=6","Results")</f>
        <v/>
      </c>
    </row>
    <row r="210">
      <c r="A210" t="inlineStr">
        <is>
          <t>209</t>
        </is>
      </c>
      <c r="B210" t="inlineStr">
        <is>
          <t>Thomas Gaul</t>
        </is>
      </c>
      <c r="C210" t="inlineStr"/>
      <c r="D210" t="inlineStr">
        <is>
          <t>9</t>
        </is>
      </c>
      <c r="E210">
        <f>HYPERLINK("https://www.britishcycling.org.uk/points?person_id=330152&amp;year=2021&amp;type=national&amp;d=6","Results")</f>
        <v/>
      </c>
    </row>
    <row r="211">
      <c r="A211" t="inlineStr">
        <is>
          <t>210</t>
        </is>
      </c>
      <c r="B211" t="inlineStr">
        <is>
          <t>Harry Gilligan</t>
        </is>
      </c>
      <c r="C211" t="inlineStr">
        <is>
          <t>Shibden Cycling Club</t>
        </is>
      </c>
      <c r="D211" t="inlineStr">
        <is>
          <t>9</t>
        </is>
      </c>
      <c r="E211">
        <f>HYPERLINK("https://www.britishcycling.org.uk/points?person_id=344309&amp;year=2021&amp;type=national&amp;d=6","Results")</f>
        <v/>
      </c>
    </row>
    <row r="212">
      <c r="A212" t="inlineStr">
        <is>
          <t>211</t>
        </is>
      </c>
      <c r="B212" t="inlineStr">
        <is>
          <t>Isaac March</t>
        </is>
      </c>
      <c r="C212" t="inlineStr">
        <is>
          <t>Derwentside CC</t>
        </is>
      </c>
      <c r="D212" t="inlineStr">
        <is>
          <t>9</t>
        </is>
      </c>
      <c r="E212">
        <f>HYPERLINK("https://www.britishcycling.org.uk/points?person_id=1032190&amp;year=2021&amp;type=national&amp;d=6","Results")</f>
        <v/>
      </c>
    </row>
    <row r="213">
      <c r="A213" t="inlineStr">
        <is>
          <t>212</t>
        </is>
      </c>
      <c r="B213" t="inlineStr">
        <is>
          <t>Dillon Barnes</t>
        </is>
      </c>
      <c r="C213" t="inlineStr">
        <is>
          <t>Palmer Park Velo RT</t>
        </is>
      </c>
      <c r="D213" t="inlineStr">
        <is>
          <t>8</t>
        </is>
      </c>
      <c r="E213">
        <f>HYPERLINK("https://www.britishcycling.org.uk/points?person_id=995916&amp;year=2021&amp;type=national&amp;d=6","Results")</f>
        <v/>
      </c>
    </row>
    <row r="214">
      <c r="A214" t="inlineStr">
        <is>
          <t>213</t>
        </is>
      </c>
      <c r="B214" t="inlineStr">
        <is>
          <t>Sebastian Kinsey</t>
        </is>
      </c>
      <c r="C214" t="inlineStr">
        <is>
          <t>Sportcity Velo</t>
        </is>
      </c>
      <c r="D214" t="inlineStr">
        <is>
          <t>8</t>
        </is>
      </c>
      <c r="E214">
        <f>HYPERLINK("https://www.britishcycling.org.uk/points?person_id=216708&amp;year=2021&amp;type=national&amp;d=6","Results")</f>
        <v/>
      </c>
    </row>
    <row r="215">
      <c r="A215" t="inlineStr">
        <is>
          <t>214</t>
        </is>
      </c>
      <c r="B215" t="inlineStr">
        <is>
          <t>Ruben Stacey</t>
        </is>
      </c>
      <c r="C215" t="inlineStr">
        <is>
          <t>North Devon Wheelers</t>
        </is>
      </c>
      <c r="D215" t="inlineStr">
        <is>
          <t>8</t>
        </is>
      </c>
      <c r="E215">
        <f>HYPERLINK("https://www.britishcycling.org.uk/points?person_id=241310&amp;year=2021&amp;type=national&amp;d=6","Results")</f>
        <v/>
      </c>
    </row>
    <row r="216">
      <c r="A216" t="inlineStr">
        <is>
          <t>215</t>
        </is>
      </c>
      <c r="B216" t="inlineStr">
        <is>
          <t>Iestyn Stephens</t>
        </is>
      </c>
      <c r="C216" t="inlineStr">
        <is>
          <t>West Wales Cycle Racing Team</t>
        </is>
      </c>
      <c r="D216" t="inlineStr">
        <is>
          <t>8</t>
        </is>
      </c>
      <c r="E216">
        <f>HYPERLINK("https://www.britishcycling.org.uk/points?person_id=1021349&amp;year=2021&amp;type=national&amp;d=6","Results")</f>
        <v/>
      </c>
    </row>
    <row r="217">
      <c r="A217" t="inlineStr">
        <is>
          <t>216</t>
        </is>
      </c>
      <c r="B217" t="inlineStr">
        <is>
          <t>Ben Tamplin</t>
        </is>
      </c>
      <c r="C217" t="inlineStr">
        <is>
          <t>Preston Park Youth CC (PPYCC)</t>
        </is>
      </c>
      <c r="D217" t="inlineStr">
        <is>
          <t>8</t>
        </is>
      </c>
      <c r="E217">
        <f>HYPERLINK("https://www.britishcycling.org.uk/points?person_id=454898&amp;year=2021&amp;type=national&amp;d=6","Results")</f>
        <v/>
      </c>
    </row>
    <row r="218">
      <c r="A218" t="inlineStr">
        <is>
          <t>217</t>
        </is>
      </c>
      <c r="B218" t="inlineStr">
        <is>
          <t>Aaron Webber</t>
        </is>
      </c>
      <c r="C218" t="inlineStr">
        <is>
          <t>Taw Velo</t>
        </is>
      </c>
      <c r="D218" t="inlineStr">
        <is>
          <t>8</t>
        </is>
      </c>
      <c r="E218">
        <f>HYPERLINK("https://www.britishcycling.org.uk/points?person_id=538530&amp;year=2021&amp;type=national&amp;d=6","Results")</f>
        <v/>
      </c>
    </row>
    <row r="219">
      <c r="A219" t="inlineStr">
        <is>
          <t>218</t>
        </is>
      </c>
      <c r="B219" t="inlineStr">
        <is>
          <t>Freddie Capel</t>
        </is>
      </c>
      <c r="C219" t="inlineStr">
        <is>
          <t>Coalville Wheelers CC</t>
        </is>
      </c>
      <c r="D219" t="inlineStr">
        <is>
          <t>7</t>
        </is>
      </c>
      <c r="E219">
        <f>HYPERLINK("https://www.britishcycling.org.uk/points?person_id=999826&amp;year=2021&amp;type=national&amp;d=6","Results")</f>
        <v/>
      </c>
    </row>
    <row r="220">
      <c r="A220" t="inlineStr">
        <is>
          <t>219</t>
        </is>
      </c>
      <c r="B220" t="inlineStr">
        <is>
          <t>Jamie Coulson</t>
        </is>
      </c>
      <c r="C220" t="inlineStr">
        <is>
          <t>Herne Hill Youth CC</t>
        </is>
      </c>
      <c r="D220" t="inlineStr">
        <is>
          <t>7</t>
        </is>
      </c>
      <c r="E220">
        <f>HYPERLINK("https://www.britishcycling.org.uk/points?person_id=996076&amp;year=2021&amp;type=national&amp;d=6","Results")</f>
        <v/>
      </c>
    </row>
    <row r="221">
      <c r="A221" t="inlineStr">
        <is>
          <t>220</t>
        </is>
      </c>
      <c r="B221" t="inlineStr">
        <is>
          <t>Jack Baldie</t>
        </is>
      </c>
      <c r="C221" t="inlineStr">
        <is>
          <t>Avid Sport</t>
        </is>
      </c>
      <c r="D221" t="inlineStr">
        <is>
          <t>6</t>
        </is>
      </c>
      <c r="E221">
        <f>HYPERLINK("https://www.britishcycling.org.uk/points?person_id=989695&amp;year=2021&amp;type=national&amp;d=6","Results")</f>
        <v/>
      </c>
    </row>
    <row r="222">
      <c r="A222" t="inlineStr">
        <is>
          <t>221</t>
        </is>
      </c>
      <c r="B222" t="inlineStr">
        <is>
          <t>Daniel Lean</t>
        </is>
      </c>
      <c r="C222" t="inlineStr">
        <is>
          <t>Velo Club Venta</t>
        </is>
      </c>
      <c r="D222" t="inlineStr">
        <is>
          <t>6</t>
        </is>
      </c>
      <c r="E222">
        <f>HYPERLINK("https://www.britishcycling.org.uk/points?person_id=957455&amp;year=2021&amp;type=national&amp;d=6","Results")</f>
        <v/>
      </c>
    </row>
    <row r="223">
      <c r="A223" t="inlineStr">
        <is>
          <t>222</t>
        </is>
      </c>
      <c r="B223" t="inlineStr">
        <is>
          <t>Toby Manning</t>
        </is>
      </c>
      <c r="C223" t="inlineStr">
        <is>
          <t>VC Deal</t>
        </is>
      </c>
      <c r="D223" t="inlineStr">
        <is>
          <t>6</t>
        </is>
      </c>
      <c r="E223">
        <f>HYPERLINK("https://www.britishcycling.org.uk/points?person_id=374210&amp;year=2021&amp;type=national&amp;d=6","Results")</f>
        <v/>
      </c>
    </row>
    <row r="224">
      <c r="A224" t="inlineStr">
        <is>
          <t>223</t>
        </is>
      </c>
      <c r="B224" t="inlineStr">
        <is>
          <t>Callum Rushworth</t>
        </is>
      </c>
      <c r="C224" t="inlineStr">
        <is>
          <t>East Bradford Race Team</t>
        </is>
      </c>
      <c r="D224" t="inlineStr">
        <is>
          <t>6</t>
        </is>
      </c>
      <c r="E224">
        <f>HYPERLINK("https://www.britishcycling.org.uk/points?person_id=550311&amp;year=2021&amp;type=national&amp;d=6","Results")</f>
        <v/>
      </c>
    </row>
    <row r="225">
      <c r="A225" t="inlineStr">
        <is>
          <t>224</t>
        </is>
      </c>
      <c r="B225" t="inlineStr">
        <is>
          <t>Thomas Wheaver</t>
        </is>
      </c>
      <c r="C225" t="inlineStr">
        <is>
          <t>Lyme RC</t>
        </is>
      </c>
      <c r="D225" t="inlineStr">
        <is>
          <t>6</t>
        </is>
      </c>
      <c r="E225">
        <f>HYPERLINK("https://www.britishcycling.org.uk/points?person_id=407501&amp;year=2021&amp;type=national&amp;d=6","Results")</f>
        <v/>
      </c>
    </row>
    <row r="226">
      <c r="A226" t="inlineStr">
        <is>
          <t>225</t>
        </is>
      </c>
      <c r="B226" t="inlineStr">
        <is>
          <t>William Barlow</t>
        </is>
      </c>
      <c r="C226" t="inlineStr">
        <is>
          <t>Lee Valley Youth Cycling Club</t>
        </is>
      </c>
      <c r="D226" t="inlineStr">
        <is>
          <t>5</t>
        </is>
      </c>
      <c r="E226">
        <f>HYPERLINK("https://www.britishcycling.org.uk/points?person_id=734479&amp;year=2021&amp;type=national&amp;d=6","Results")</f>
        <v/>
      </c>
    </row>
    <row r="227">
      <c r="A227" t="inlineStr">
        <is>
          <t>226</t>
        </is>
      </c>
      <c r="B227" t="inlineStr">
        <is>
          <t>Joseph Cosgrove</t>
        </is>
      </c>
      <c r="C227" t="inlineStr">
        <is>
          <t>Dolan Ellesse Race Team</t>
        </is>
      </c>
      <c r="D227" t="inlineStr">
        <is>
          <t>5</t>
        </is>
      </c>
      <c r="E227">
        <f>HYPERLINK("https://www.britishcycling.org.uk/points?person_id=378829&amp;year=2021&amp;type=national&amp;d=6","Results")</f>
        <v/>
      </c>
    </row>
    <row r="228">
      <c r="A228" t="inlineStr">
        <is>
          <t>227</t>
        </is>
      </c>
      <c r="B228" t="inlineStr">
        <is>
          <t>Nicolaas Galbreath</t>
        </is>
      </c>
      <c r="C228" t="inlineStr">
        <is>
          <t>Avid Sport</t>
        </is>
      </c>
      <c r="D228" t="inlineStr">
        <is>
          <t>5</t>
        </is>
      </c>
      <c r="E228">
        <f>HYPERLINK("https://www.britishcycling.org.uk/points?person_id=654567&amp;year=2021&amp;type=national&amp;d=6","Results")</f>
        <v/>
      </c>
    </row>
    <row r="229">
      <c r="A229" t="inlineStr">
        <is>
          <t>228</t>
        </is>
      </c>
      <c r="B229" t="inlineStr">
        <is>
          <t>Noah Starbuck</t>
        </is>
      </c>
      <c r="C229" t="inlineStr">
        <is>
          <t>Sleaford Wheelers Cycling Club</t>
        </is>
      </c>
      <c r="D229" t="inlineStr">
        <is>
          <t>5</t>
        </is>
      </c>
      <c r="E229">
        <f>HYPERLINK("https://www.britishcycling.org.uk/points?person_id=449356&amp;year=2021&amp;type=national&amp;d=6","Results")</f>
        <v/>
      </c>
    </row>
    <row r="230">
      <c r="A230" t="inlineStr">
        <is>
          <t>229</t>
        </is>
      </c>
      <c r="B230" t="inlineStr">
        <is>
          <t>Gabriel Estay Clarke</t>
        </is>
      </c>
      <c r="C230" t="inlineStr">
        <is>
          <t>Herne Hill Youth CC</t>
        </is>
      </c>
      <c r="D230" t="inlineStr">
        <is>
          <t>4</t>
        </is>
      </c>
      <c r="E230">
        <f>HYPERLINK("https://www.britishcycling.org.uk/points?person_id=943444&amp;year=2021&amp;type=national&amp;d=6","Results")</f>
        <v/>
      </c>
    </row>
    <row r="231">
      <c r="A231" t="inlineStr">
        <is>
          <t>230</t>
        </is>
      </c>
      <c r="B231" t="inlineStr">
        <is>
          <t>Louie Harris</t>
        </is>
      </c>
      <c r="C231" t="inlineStr">
        <is>
          <t>VC Deal</t>
        </is>
      </c>
      <c r="D231" t="inlineStr">
        <is>
          <t>4</t>
        </is>
      </c>
      <c r="E231">
        <f>HYPERLINK("https://www.britishcycling.org.uk/points?person_id=418535&amp;year=2021&amp;type=national&amp;d=6","Results")</f>
        <v/>
      </c>
    </row>
    <row r="232">
      <c r="A232" t="inlineStr">
        <is>
          <t>231</t>
        </is>
      </c>
      <c r="B232" t="inlineStr">
        <is>
          <t>Cillian Lewis</t>
        </is>
      </c>
      <c r="C232" t="inlineStr">
        <is>
          <t>Stockton Wheelers CC</t>
        </is>
      </c>
      <c r="D232" t="inlineStr">
        <is>
          <t>4</t>
        </is>
      </c>
      <c r="E232">
        <f>HYPERLINK("https://www.britishcycling.org.uk/points?person_id=915384&amp;year=2021&amp;type=national&amp;d=6","Results")</f>
        <v/>
      </c>
    </row>
    <row r="233">
      <c r="A233" t="inlineStr">
        <is>
          <t>232</t>
        </is>
      </c>
      <c r="B233" t="inlineStr">
        <is>
          <t>Jack Livesey</t>
        </is>
      </c>
      <c r="C233" t="inlineStr">
        <is>
          <t>Salt Ayre Cog Set</t>
        </is>
      </c>
      <c r="D233" t="inlineStr">
        <is>
          <t>4</t>
        </is>
      </c>
      <c r="E233">
        <f>HYPERLINK("https://www.britishcycling.org.uk/points?person_id=387308&amp;year=2021&amp;type=national&amp;d=6","Results")</f>
        <v/>
      </c>
    </row>
    <row r="234">
      <c r="A234" t="inlineStr">
        <is>
          <t>233</t>
        </is>
      </c>
      <c r="B234" t="inlineStr">
        <is>
          <t>Luke Mahoney</t>
        </is>
      </c>
      <c r="C234" t="inlineStr">
        <is>
          <t>Taw Velo</t>
        </is>
      </c>
      <c r="D234" t="inlineStr">
        <is>
          <t>4</t>
        </is>
      </c>
      <c r="E234">
        <f>HYPERLINK("https://www.britishcycling.org.uk/points?person_id=621530&amp;year=2021&amp;type=national&amp;d=6","Results")</f>
        <v/>
      </c>
    </row>
    <row r="235">
      <c r="A235" t="inlineStr">
        <is>
          <t>234</t>
        </is>
      </c>
      <c r="B235" t="inlineStr">
        <is>
          <t>Joshua Slade</t>
        </is>
      </c>
      <c r="C235" t="inlineStr">
        <is>
          <t>Clifton CC</t>
        </is>
      </c>
      <c r="D235" t="inlineStr">
        <is>
          <t>4</t>
        </is>
      </c>
      <c r="E235">
        <f>HYPERLINK("https://www.britishcycling.org.uk/points?person_id=671976&amp;year=2021&amp;type=national&amp;d=6","Results")</f>
        <v/>
      </c>
    </row>
    <row r="236">
      <c r="A236" t="inlineStr">
        <is>
          <t>235</t>
        </is>
      </c>
      <c r="B236" t="inlineStr">
        <is>
          <t>Enzo Stewart</t>
        </is>
      </c>
      <c r="C236" t="inlineStr">
        <is>
          <t>Herne Hill Youth CC</t>
        </is>
      </c>
      <c r="D236" t="inlineStr">
        <is>
          <t>4</t>
        </is>
      </c>
      <c r="E236">
        <f>HYPERLINK("https://www.britishcycling.org.uk/points?person_id=794386&amp;year=2021&amp;type=national&amp;d=6","Results")</f>
        <v/>
      </c>
    </row>
    <row r="237">
      <c r="A237" t="inlineStr">
        <is>
          <t>236</t>
        </is>
      </c>
      <c r="B237" t="inlineStr">
        <is>
          <t>Johan Thomsen</t>
        </is>
      </c>
      <c r="C237" t="inlineStr"/>
      <c r="D237" t="inlineStr">
        <is>
          <t>4</t>
        </is>
      </c>
      <c r="E237">
        <f>HYPERLINK("https://www.britishcycling.org.uk/points?person_id=851583&amp;year=2021&amp;type=national&amp;d=6","Results")</f>
        <v/>
      </c>
    </row>
    <row r="238">
      <c r="A238" t="inlineStr">
        <is>
          <t>237</t>
        </is>
      </c>
      <c r="B238" t="inlineStr">
        <is>
          <t>Harry Wardle</t>
        </is>
      </c>
      <c r="C238" t="inlineStr">
        <is>
          <t>Clifton CC</t>
        </is>
      </c>
      <c r="D238" t="inlineStr">
        <is>
          <t>4</t>
        </is>
      </c>
      <c r="E238">
        <f>HYPERLINK("https://www.britishcycling.org.uk/points?person_id=532013&amp;year=2021&amp;type=national&amp;d=6","Results")</f>
        <v/>
      </c>
    </row>
    <row r="239">
      <c r="A239" t="inlineStr">
        <is>
          <t>238</t>
        </is>
      </c>
      <c r="B239" t="inlineStr">
        <is>
          <t>Matthew White</t>
        </is>
      </c>
      <c r="C239" t="inlineStr">
        <is>
          <t>Stockton Wheelers CC</t>
        </is>
      </c>
      <c r="D239" t="inlineStr">
        <is>
          <t>4</t>
        </is>
      </c>
      <c r="E239">
        <f>HYPERLINK("https://www.britishcycling.org.uk/points?person_id=276545&amp;year=2021&amp;type=national&amp;d=6","Results")</f>
        <v/>
      </c>
    </row>
    <row r="240">
      <c r="A240" t="inlineStr">
        <is>
          <t>239</t>
        </is>
      </c>
      <c r="B240" t="inlineStr">
        <is>
          <t>Charlie Yardy</t>
        </is>
      </c>
      <c r="C240" t="inlineStr">
        <is>
          <t>Lee Valley Youth Cycling Club</t>
        </is>
      </c>
      <c r="D240" t="inlineStr">
        <is>
          <t>4</t>
        </is>
      </c>
      <c r="E240">
        <f>HYPERLINK("https://www.britishcycling.org.uk/points?person_id=650922&amp;year=2021&amp;type=national&amp;d=6","Results")</f>
        <v/>
      </c>
    </row>
    <row r="241">
      <c r="A241" t="inlineStr">
        <is>
          <t>240</t>
        </is>
      </c>
      <c r="B241" t="inlineStr">
        <is>
          <t>Lewis Bateman</t>
        </is>
      </c>
      <c r="C241" t="inlineStr">
        <is>
          <t>Avid Sport</t>
        </is>
      </c>
      <c r="D241" t="inlineStr">
        <is>
          <t>3</t>
        </is>
      </c>
      <c r="E241">
        <f>HYPERLINK("https://www.britishcycling.org.uk/points?person_id=550468&amp;year=2021&amp;type=national&amp;d=6","Results")</f>
        <v/>
      </c>
    </row>
    <row r="242">
      <c r="A242" t="inlineStr">
        <is>
          <t>241</t>
        </is>
      </c>
      <c r="B242" t="inlineStr">
        <is>
          <t>Luke Brumpton</t>
        </is>
      </c>
      <c r="C242" t="inlineStr">
        <is>
          <t>NEL Lindsey Go-Ride</t>
        </is>
      </c>
      <c r="D242" t="inlineStr">
        <is>
          <t>3</t>
        </is>
      </c>
      <c r="E242">
        <f>HYPERLINK("https://www.britishcycling.org.uk/points?person_id=359548&amp;year=2021&amp;type=national&amp;d=6","Results")</f>
        <v/>
      </c>
    </row>
    <row r="243">
      <c r="A243" t="inlineStr">
        <is>
          <t>242</t>
        </is>
      </c>
      <c r="B243" t="inlineStr">
        <is>
          <t>James Bushell</t>
        </is>
      </c>
      <c r="C243" t="inlineStr">
        <is>
          <t>Sleaford Wheelers Cycling Club</t>
        </is>
      </c>
      <c r="D243" t="inlineStr">
        <is>
          <t>3</t>
        </is>
      </c>
      <c r="E243">
        <f>HYPERLINK("https://www.britishcycling.org.uk/points?person_id=734745&amp;year=2021&amp;type=national&amp;d=6","Results")</f>
        <v/>
      </c>
    </row>
    <row r="244">
      <c r="A244" t="inlineStr">
        <is>
          <t>243</t>
        </is>
      </c>
      <c r="B244" t="inlineStr">
        <is>
          <t>Matthew Cleves</t>
        </is>
      </c>
      <c r="C244" t="inlineStr">
        <is>
          <t>Cardiff JIF</t>
        </is>
      </c>
      <c r="D244" t="inlineStr">
        <is>
          <t>3</t>
        </is>
      </c>
      <c r="E244">
        <f>HYPERLINK("https://www.britishcycling.org.uk/points?person_id=653983&amp;year=2021&amp;type=national&amp;d=6","Results")</f>
        <v/>
      </c>
    </row>
    <row r="245">
      <c r="A245" t="inlineStr">
        <is>
          <t>244</t>
        </is>
      </c>
      <c r="B245" t="inlineStr">
        <is>
          <t>Euan Cook</t>
        </is>
      </c>
      <c r="C245" t="inlineStr">
        <is>
          <t>Calder Clarion CC</t>
        </is>
      </c>
      <c r="D245" t="inlineStr">
        <is>
          <t>3</t>
        </is>
      </c>
      <c r="E245">
        <f>HYPERLINK("https://www.britishcycling.org.uk/points?person_id=672067&amp;year=2021&amp;type=national&amp;d=6","Results")</f>
        <v/>
      </c>
    </row>
    <row r="246">
      <c r="A246" t="inlineStr">
        <is>
          <t>245</t>
        </is>
      </c>
      <c r="B246" t="inlineStr">
        <is>
          <t>Arthur Gage</t>
        </is>
      </c>
      <c r="C246" t="inlineStr">
        <is>
          <t>Avid Sport</t>
        </is>
      </c>
      <c r="D246" t="inlineStr">
        <is>
          <t>3</t>
        </is>
      </c>
      <c r="E246">
        <f>HYPERLINK("https://www.britishcycling.org.uk/points?person_id=270364&amp;year=2021&amp;type=national&amp;d=6","Results")</f>
        <v/>
      </c>
    </row>
    <row r="247">
      <c r="A247" t="inlineStr">
        <is>
          <t>246</t>
        </is>
      </c>
      <c r="B247" t="inlineStr">
        <is>
          <t>Ted Harvey</t>
        </is>
      </c>
      <c r="C247" t="inlineStr">
        <is>
          <t>Maindy Flyers CC</t>
        </is>
      </c>
      <c r="D247" t="inlineStr">
        <is>
          <t>3</t>
        </is>
      </c>
      <c r="E247">
        <f>HYPERLINK("https://www.britishcycling.org.uk/points?person_id=951325&amp;year=2021&amp;type=national&amp;d=6","Results")</f>
        <v/>
      </c>
    </row>
    <row r="248">
      <c r="A248" t="inlineStr">
        <is>
          <t>247</t>
        </is>
      </c>
      <c r="B248" t="inlineStr">
        <is>
          <t>Ethan Hindmarch</t>
        </is>
      </c>
      <c r="C248" t="inlineStr">
        <is>
          <t>Hetton Hawks Cycling Club</t>
        </is>
      </c>
      <c r="D248" t="inlineStr">
        <is>
          <t>3</t>
        </is>
      </c>
      <c r="E248">
        <f>HYPERLINK("https://www.britishcycling.org.uk/points?person_id=558439&amp;year=2021&amp;type=national&amp;d=6","Results")</f>
        <v/>
      </c>
    </row>
    <row r="249">
      <c r="A249" t="inlineStr">
        <is>
          <t>248</t>
        </is>
      </c>
      <c r="B249" t="inlineStr">
        <is>
          <t>Monty Nelhams</t>
        </is>
      </c>
      <c r="C249" t="inlineStr">
        <is>
          <t>Cog Set Papyrus Racing Club</t>
        </is>
      </c>
      <c r="D249" t="inlineStr">
        <is>
          <t>3</t>
        </is>
      </c>
      <c r="E249">
        <f>HYPERLINK("https://www.britishcycling.org.uk/points?person_id=534120&amp;year=2021&amp;type=national&amp;d=6","Results")</f>
        <v/>
      </c>
    </row>
    <row r="250">
      <c r="A250" t="inlineStr">
        <is>
          <t>249</t>
        </is>
      </c>
      <c r="B250" t="inlineStr">
        <is>
          <t>Matthew Siepen</t>
        </is>
      </c>
      <c r="C250" t="inlineStr">
        <is>
          <t>Seamons CC</t>
        </is>
      </c>
      <c r="D250" t="inlineStr">
        <is>
          <t>3</t>
        </is>
      </c>
      <c r="E250">
        <f>HYPERLINK("https://www.britishcycling.org.uk/points?person_id=999627&amp;year=2021&amp;type=national&amp;d=6","Results")</f>
        <v/>
      </c>
    </row>
    <row r="251">
      <c r="A251" t="inlineStr">
        <is>
          <t>250</t>
        </is>
      </c>
      <c r="B251" t="inlineStr">
        <is>
          <t>Harrison Warner</t>
        </is>
      </c>
      <c r="C251" t="inlineStr">
        <is>
          <t>Velo Club Venta</t>
        </is>
      </c>
      <c r="D251" t="inlineStr">
        <is>
          <t>3</t>
        </is>
      </c>
      <c r="E251">
        <f>HYPERLINK("https://www.britishcycling.org.uk/points?person_id=1028766&amp;year=2021&amp;type=national&amp;d=6","Results")</f>
        <v/>
      </c>
    </row>
    <row r="252">
      <c r="A252" t="inlineStr">
        <is>
          <t>251</t>
        </is>
      </c>
      <c r="B252" t="inlineStr">
        <is>
          <t>Aidan Worden</t>
        </is>
      </c>
      <c r="C252" t="inlineStr">
        <is>
          <t>Red Rose Olympic CC</t>
        </is>
      </c>
      <c r="D252" t="inlineStr">
        <is>
          <t>3</t>
        </is>
      </c>
      <c r="E252">
        <f>HYPERLINK("https://www.britishcycling.org.uk/points?person_id=456930&amp;year=2021&amp;type=national&amp;d=6","Results")</f>
        <v/>
      </c>
    </row>
    <row r="253">
      <c r="A253" t="inlineStr">
        <is>
          <t>252</t>
        </is>
      </c>
      <c r="B253" t="inlineStr">
        <is>
          <t>Rory Youngman</t>
        </is>
      </c>
      <c r="C253" t="inlineStr">
        <is>
          <t>SteppingStanes Youth Cycling Club</t>
        </is>
      </c>
      <c r="D253" t="inlineStr">
        <is>
          <t>3</t>
        </is>
      </c>
      <c r="E253">
        <f>HYPERLINK("https://www.britishcycling.org.uk/points?person_id=749373&amp;year=2021&amp;type=national&amp;d=6","Results")</f>
        <v/>
      </c>
    </row>
    <row r="254">
      <c r="A254" t="inlineStr">
        <is>
          <t>253</t>
        </is>
      </c>
      <c r="B254" t="inlineStr">
        <is>
          <t>James Clinton</t>
        </is>
      </c>
      <c r="C254" t="inlineStr">
        <is>
          <t>Liverpool Braveheart Bicycle Club</t>
        </is>
      </c>
      <c r="D254" t="inlineStr">
        <is>
          <t>2</t>
        </is>
      </c>
      <c r="E254">
        <f>HYPERLINK("https://www.britishcycling.org.uk/points?person_id=739670&amp;year=2021&amp;type=national&amp;d=6","Results")</f>
        <v/>
      </c>
    </row>
    <row r="255">
      <c r="A255" t="inlineStr">
        <is>
          <t>254</t>
        </is>
      </c>
      <c r="B255" t="inlineStr">
        <is>
          <t>James Crossey</t>
        </is>
      </c>
      <c r="C255" t="inlineStr">
        <is>
          <t>Dartmoor Velo–CareControlSystems</t>
        </is>
      </c>
      <c r="D255" t="inlineStr">
        <is>
          <t>2</t>
        </is>
      </c>
      <c r="E255">
        <f>HYPERLINK("https://www.britishcycling.org.uk/points?person_id=601465&amp;year=2021&amp;type=national&amp;d=6","Results")</f>
        <v/>
      </c>
    </row>
    <row r="256">
      <c r="A256" t="inlineStr">
        <is>
          <t>255</t>
        </is>
      </c>
      <c r="B256" t="inlineStr">
        <is>
          <t>Oliver Mayne</t>
        </is>
      </c>
      <c r="C256" t="inlineStr">
        <is>
          <t>Nottingham Clarion CC</t>
        </is>
      </c>
      <c r="D256" t="inlineStr">
        <is>
          <t>2</t>
        </is>
      </c>
      <c r="E256">
        <f>HYPERLINK("https://www.britishcycling.org.uk/points?person_id=951373&amp;year=2021&amp;type=national&amp;d=6","Results")</f>
        <v/>
      </c>
    </row>
    <row r="257">
      <c r="A257" t="inlineStr">
        <is>
          <t>256</t>
        </is>
      </c>
      <c r="B257" t="inlineStr">
        <is>
          <t>Benjamin Myers</t>
        </is>
      </c>
      <c r="C257" t="inlineStr">
        <is>
          <t>Colchester Rovers CC</t>
        </is>
      </c>
      <c r="D257" t="inlineStr">
        <is>
          <t>2</t>
        </is>
      </c>
      <c r="E257">
        <f>HYPERLINK("https://www.britishcycling.org.uk/points?person_id=1005929&amp;year=2021&amp;type=national&amp;d=6","Results")</f>
        <v/>
      </c>
    </row>
    <row r="258">
      <c r="A258" t="inlineStr">
        <is>
          <t>257</t>
        </is>
      </c>
      <c r="B258" t="inlineStr">
        <is>
          <t>Samuel Ridgment</t>
        </is>
      </c>
      <c r="C258" t="inlineStr">
        <is>
          <t>Sotonia CC</t>
        </is>
      </c>
      <c r="D258" t="inlineStr">
        <is>
          <t>2</t>
        </is>
      </c>
      <c r="E258">
        <f>HYPERLINK("https://www.britishcycling.org.uk/points?person_id=566386&amp;year=2021&amp;type=national&amp;d=6","Results")</f>
        <v/>
      </c>
    </row>
    <row r="259">
      <c r="A259" t="inlineStr">
        <is>
          <t>258</t>
        </is>
      </c>
      <c r="B259" t="inlineStr">
        <is>
          <t>Stanley Salter</t>
        </is>
      </c>
      <c r="C259" t="inlineStr">
        <is>
          <t>Cambridge Junior Cycling Club</t>
        </is>
      </c>
      <c r="D259" t="inlineStr">
        <is>
          <t>2</t>
        </is>
      </c>
      <c r="E259">
        <f>HYPERLINK("https://www.britishcycling.org.uk/points?person_id=662013&amp;year=2021&amp;type=national&amp;d=6","Results")</f>
        <v/>
      </c>
    </row>
    <row r="260">
      <c r="A260" t="inlineStr">
        <is>
          <t>259</t>
        </is>
      </c>
      <c r="B260" t="inlineStr">
        <is>
          <t>Edward Selwood</t>
        </is>
      </c>
      <c r="C260" t="inlineStr">
        <is>
          <t>Mid Devon CC</t>
        </is>
      </c>
      <c r="D260" t="inlineStr">
        <is>
          <t>2</t>
        </is>
      </c>
      <c r="E260">
        <f>HYPERLINK("https://www.britishcycling.org.uk/points?person_id=183050&amp;year=2021&amp;type=national&amp;d=6","Results")</f>
        <v/>
      </c>
    </row>
    <row r="261">
      <c r="A261" t="inlineStr">
        <is>
          <t>260</t>
        </is>
      </c>
      <c r="B261" t="inlineStr">
        <is>
          <t>Tom Smart</t>
        </is>
      </c>
      <c r="C261" t="inlineStr">
        <is>
          <t>Cotswold Cycles RT</t>
        </is>
      </c>
      <c r="D261" t="inlineStr">
        <is>
          <t>2</t>
        </is>
      </c>
      <c r="E261">
        <f>HYPERLINK("https://www.britishcycling.org.uk/points?person_id=791467&amp;year=2021&amp;type=national&amp;d=6","Results")</f>
        <v/>
      </c>
    </row>
    <row r="262">
      <c r="A262" t="inlineStr">
        <is>
          <t>261</t>
        </is>
      </c>
      <c r="B262" t="inlineStr">
        <is>
          <t>Lewis Underwood</t>
        </is>
      </c>
      <c r="C262" t="inlineStr">
        <is>
          <t>4T+ Cyclopark</t>
        </is>
      </c>
      <c r="D262" t="inlineStr">
        <is>
          <t>2</t>
        </is>
      </c>
      <c r="E262">
        <f>HYPERLINK("https://www.britishcycling.org.uk/points?person_id=989971&amp;year=2021&amp;type=national&amp;d=6","Results")</f>
        <v/>
      </c>
    </row>
    <row r="263">
      <c r="A263" t="inlineStr">
        <is>
          <t>262</t>
        </is>
      </c>
      <c r="B263" t="inlineStr">
        <is>
          <t>Barnaby Wallwork</t>
        </is>
      </c>
      <c r="C263" t="inlineStr">
        <is>
          <t>Club Corley Cycles RC</t>
        </is>
      </c>
      <c r="D263" t="inlineStr">
        <is>
          <t>2</t>
        </is>
      </c>
      <c r="E263">
        <f>HYPERLINK("https://www.britishcycling.org.uk/points?person_id=842565&amp;year=2021&amp;type=national&amp;d=6","Results")</f>
        <v/>
      </c>
    </row>
    <row r="264">
      <c r="A264" t="inlineStr">
        <is>
          <t>263</t>
        </is>
      </c>
      <c r="B264" t="inlineStr">
        <is>
          <t>Monty Wyatt</t>
        </is>
      </c>
      <c r="C264" t="inlineStr">
        <is>
          <t>Velo Club Venta</t>
        </is>
      </c>
      <c r="D264" t="inlineStr">
        <is>
          <t>2</t>
        </is>
      </c>
      <c r="E264">
        <f>HYPERLINK("https://www.britishcycling.org.uk/points?person_id=139886&amp;year=2021&amp;type=national&amp;d=6","Results")</f>
        <v/>
      </c>
    </row>
    <row r="265">
      <c r="A265" t="inlineStr">
        <is>
          <t>264</t>
        </is>
      </c>
      <c r="B265" t="inlineStr">
        <is>
          <t>Matthew Batson</t>
        </is>
      </c>
      <c r="C265" t="inlineStr">
        <is>
          <t>Tyneside Vagabonds CC</t>
        </is>
      </c>
      <c r="D265" t="inlineStr">
        <is>
          <t>1</t>
        </is>
      </c>
      <c r="E265">
        <f>HYPERLINK("https://www.britishcycling.org.uk/points?person_id=579665&amp;year=2021&amp;type=national&amp;d=6","Results")</f>
        <v/>
      </c>
    </row>
    <row r="266">
      <c r="A266" t="inlineStr">
        <is>
          <t>265</t>
        </is>
      </c>
      <c r="B266" t="inlineStr">
        <is>
          <t>George Bendle</t>
        </is>
      </c>
      <c r="C266" t="inlineStr">
        <is>
          <t>Halesowen A &amp; CC</t>
        </is>
      </c>
      <c r="D266" t="inlineStr">
        <is>
          <t>1</t>
        </is>
      </c>
      <c r="E266">
        <f>HYPERLINK("https://www.britishcycling.org.uk/points?person_id=891914&amp;year=2021&amp;type=national&amp;d=6","Results")</f>
        <v/>
      </c>
    </row>
    <row r="267">
      <c r="A267" t="inlineStr">
        <is>
          <t>266</t>
        </is>
      </c>
      <c r="B267" t="inlineStr">
        <is>
          <t>Jude Du Toit</t>
        </is>
      </c>
      <c r="C267" t="inlineStr">
        <is>
          <t>Beeston Cycling Club</t>
        </is>
      </c>
      <c r="D267" t="inlineStr">
        <is>
          <t>1</t>
        </is>
      </c>
      <c r="E267">
        <f>HYPERLINK("https://www.britishcycling.org.uk/points?person_id=402261&amp;year=2021&amp;type=national&amp;d=6","Results")</f>
        <v/>
      </c>
    </row>
    <row r="268">
      <c r="A268" t="inlineStr">
        <is>
          <t>267</t>
        </is>
      </c>
      <c r="B268" t="inlineStr">
        <is>
          <t>Isaac Dutton</t>
        </is>
      </c>
      <c r="C268" t="inlineStr">
        <is>
          <t>VC Londres</t>
        </is>
      </c>
      <c r="D268" t="inlineStr">
        <is>
          <t>1</t>
        </is>
      </c>
      <c r="E268">
        <f>HYPERLINK("https://www.britishcycling.org.uk/points?person_id=953326&amp;year=2021&amp;type=national&amp;d=6","Results")</f>
        <v/>
      </c>
    </row>
    <row r="269">
      <c r="A269" t="inlineStr">
        <is>
          <t>268</t>
        </is>
      </c>
      <c r="B269" t="inlineStr">
        <is>
          <t>Oscar Farrow</t>
        </is>
      </c>
      <c r="C269" t="inlineStr">
        <is>
          <t>Sleaford Wheelers Cycling Club</t>
        </is>
      </c>
      <c r="D269" t="inlineStr">
        <is>
          <t>1</t>
        </is>
      </c>
      <c r="E269">
        <f>HYPERLINK("https://www.britishcycling.org.uk/points?person_id=440059&amp;year=2021&amp;type=national&amp;d=6","Results")</f>
        <v/>
      </c>
    </row>
    <row r="270">
      <c r="A270" t="inlineStr">
        <is>
          <t>269</t>
        </is>
      </c>
      <c r="B270" t="inlineStr">
        <is>
          <t>Isaak Herbert</t>
        </is>
      </c>
      <c r="C270" t="inlineStr">
        <is>
          <t>Wyre Forest CRC</t>
        </is>
      </c>
      <c r="D270" t="inlineStr">
        <is>
          <t>1</t>
        </is>
      </c>
      <c r="E270">
        <f>HYPERLINK("https://www.britishcycling.org.uk/points?person_id=978413&amp;year=2021&amp;type=national&amp;d=6","Results")</f>
        <v/>
      </c>
    </row>
    <row r="271">
      <c r="A271" t="inlineStr">
        <is>
          <t>270</t>
        </is>
      </c>
      <c r="B271" t="inlineStr">
        <is>
          <t>Theo Hester</t>
        </is>
      </c>
      <c r="C271" t="inlineStr">
        <is>
          <t>Bristol Cycling Development Squad</t>
        </is>
      </c>
      <c r="D271" t="inlineStr">
        <is>
          <t>1</t>
        </is>
      </c>
      <c r="E271">
        <f>HYPERLINK("https://www.britishcycling.org.uk/points?person_id=1009533&amp;year=2021&amp;type=national&amp;d=6","Results")</f>
        <v/>
      </c>
    </row>
    <row r="272">
      <c r="A272" t="inlineStr">
        <is>
          <t>271</t>
        </is>
      </c>
      <c r="B272" t="inlineStr">
        <is>
          <t>Oli Lawrence</t>
        </is>
      </c>
      <c r="C272" t="inlineStr"/>
      <c r="D272" t="inlineStr">
        <is>
          <t>1</t>
        </is>
      </c>
      <c r="E272">
        <f>HYPERLINK("https://www.britishcycling.org.uk/points?person_id=949049&amp;year=2021&amp;type=national&amp;d=6","Results")</f>
        <v/>
      </c>
    </row>
    <row r="273">
      <c r="A273" t="inlineStr">
        <is>
          <t>272</t>
        </is>
      </c>
      <c r="B273" t="inlineStr">
        <is>
          <t>George Pugh-Jones</t>
        </is>
      </c>
      <c r="C273" t="inlineStr">
        <is>
          <t>73Degrees CC</t>
        </is>
      </c>
      <c r="D273" t="inlineStr">
        <is>
          <t>1</t>
        </is>
      </c>
      <c r="E273">
        <f>HYPERLINK("https://www.britishcycling.org.uk/points?person_id=1034716&amp;year=2021&amp;type=national&amp;d=6","Results")</f>
        <v/>
      </c>
    </row>
    <row r="274">
      <c r="A274" t="inlineStr">
        <is>
          <t>273</t>
        </is>
      </c>
      <c r="B274" t="inlineStr">
        <is>
          <t>Euan Ramsay</t>
        </is>
      </c>
      <c r="C274" t="inlineStr">
        <is>
          <t>Deeside Thistle CC</t>
        </is>
      </c>
      <c r="D274" t="inlineStr">
        <is>
          <t>1</t>
        </is>
      </c>
      <c r="E274">
        <f>HYPERLINK("https://www.britishcycling.org.uk/points?person_id=983851&amp;year=2021&amp;type=national&amp;d=6","Results")</f>
        <v/>
      </c>
    </row>
    <row r="275">
      <c r="A275" t="inlineStr">
        <is>
          <t>274</t>
        </is>
      </c>
      <c r="B275" t="inlineStr">
        <is>
          <t>Arthur Yates</t>
        </is>
      </c>
      <c r="C275" t="inlineStr">
        <is>
          <t>Dolan Ellesse Race Team</t>
        </is>
      </c>
      <c r="D275" t="inlineStr">
        <is>
          <t>1</t>
        </is>
      </c>
      <c r="E275">
        <f>HYPERLINK("https://www.britishcycling.org.uk/points?person_id=810244&amp;year=2021&amp;type=national&amp;d=6","Results")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99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Nathan Smith</t>
        </is>
      </c>
      <c r="C2" t="inlineStr">
        <is>
          <t>Garden Shed UK-Ribble-Verge Sport</t>
        </is>
      </c>
      <c r="D2" t="inlineStr">
        <is>
          <t>912</t>
        </is>
      </c>
      <c r="E2">
        <f>HYPERLINK("https://www.britishcycling.org.uk/points?person_id=262296&amp;year=2021&amp;type=national&amp;d=6","Results")</f>
        <v/>
      </c>
    </row>
    <row r="3">
      <c r="A3" t="inlineStr">
        <is>
          <t>2</t>
        </is>
      </c>
      <c r="B3" t="inlineStr">
        <is>
          <t>Ben Askey</t>
        </is>
      </c>
      <c r="C3" t="inlineStr">
        <is>
          <t>Backstedt Bike Performance RC</t>
        </is>
      </c>
      <c r="D3" t="inlineStr">
        <is>
          <t>745</t>
        </is>
      </c>
      <c r="E3">
        <f>HYPERLINK("https://www.britishcycling.org.uk/points?person_id=47284&amp;year=2021&amp;type=national&amp;d=6","Results")</f>
        <v/>
      </c>
    </row>
    <row r="4">
      <c r="A4" t="inlineStr">
        <is>
          <t>3</t>
        </is>
      </c>
      <c r="B4" t="inlineStr">
        <is>
          <t>Bjoern Koerdt</t>
        </is>
      </c>
      <c r="C4" t="inlineStr">
        <is>
          <t>Shibden Cycling Club</t>
        </is>
      </c>
      <c r="D4" t="inlineStr">
        <is>
          <t>618</t>
        </is>
      </c>
      <c r="E4">
        <f>HYPERLINK("https://www.britishcycling.org.uk/points?person_id=169273&amp;year=2021&amp;type=national&amp;d=6","Results")</f>
        <v/>
      </c>
    </row>
    <row r="5">
      <c r="A5" t="inlineStr">
        <is>
          <t>4</t>
        </is>
      </c>
      <c r="B5" t="inlineStr">
        <is>
          <t>Joseph Smith</t>
        </is>
      </c>
      <c r="C5" t="inlineStr">
        <is>
          <t>Tofauti Everyone Active</t>
        </is>
      </c>
      <c r="D5" t="inlineStr">
        <is>
          <t>559</t>
        </is>
      </c>
      <c r="E5">
        <f>HYPERLINK("https://www.britishcycling.org.uk/points?person_id=494777&amp;year=2021&amp;type=national&amp;d=6","Results")</f>
        <v/>
      </c>
    </row>
    <row r="6">
      <c r="A6" t="inlineStr">
        <is>
          <t>5</t>
        </is>
      </c>
      <c r="B6" t="inlineStr">
        <is>
          <t>Oliver Akers</t>
        </is>
      </c>
      <c r="C6" t="inlineStr">
        <is>
          <t>Garden Shed UK-Ribble-Verge Sport</t>
        </is>
      </c>
      <c r="D6" t="inlineStr">
        <is>
          <t>514</t>
        </is>
      </c>
      <c r="E6">
        <f>HYPERLINK("https://www.britishcycling.org.uk/points?person_id=216333&amp;year=2021&amp;type=national&amp;d=6","Results")</f>
        <v/>
      </c>
    </row>
    <row r="7">
      <c r="A7" t="inlineStr">
        <is>
          <t>6</t>
        </is>
      </c>
      <c r="B7" t="inlineStr">
        <is>
          <t>Max Greensill</t>
        </is>
      </c>
      <c r="C7" t="inlineStr">
        <is>
          <t>Hope Factory Racing</t>
        </is>
      </c>
      <c r="D7" t="inlineStr">
        <is>
          <t>476</t>
        </is>
      </c>
      <c r="E7">
        <f>HYPERLINK("https://www.britishcycling.org.uk/points?person_id=468266&amp;year=2021&amp;type=national&amp;d=6","Results")</f>
        <v/>
      </c>
    </row>
    <row r="8">
      <c r="A8" t="inlineStr">
        <is>
          <t>7</t>
        </is>
      </c>
      <c r="B8" t="inlineStr">
        <is>
          <t>Callum Laborde</t>
        </is>
      </c>
      <c r="C8" t="inlineStr">
        <is>
          <t>Tofauti Everyone Active</t>
        </is>
      </c>
      <c r="D8" t="inlineStr">
        <is>
          <t>437</t>
        </is>
      </c>
      <c r="E8">
        <f>HYPERLINK("https://www.britishcycling.org.uk/points?person_id=278810&amp;year=2021&amp;type=national&amp;d=6","Results")</f>
        <v/>
      </c>
    </row>
    <row r="9">
      <c r="A9" t="inlineStr">
        <is>
          <t>8</t>
        </is>
      </c>
      <c r="B9" t="inlineStr">
        <is>
          <t>Jamie Gostick</t>
        </is>
      </c>
      <c r="C9" t="inlineStr">
        <is>
          <t>Banjo Cycles - Raceware - Specialized</t>
        </is>
      </c>
      <c r="D9" t="inlineStr">
        <is>
          <t>303</t>
        </is>
      </c>
      <c r="E9">
        <f>HYPERLINK("https://www.britishcycling.org.uk/points?person_id=135529&amp;year=2021&amp;type=national&amp;d=6","Results")</f>
        <v/>
      </c>
    </row>
    <row r="10">
      <c r="A10" t="inlineStr">
        <is>
          <t>9</t>
        </is>
      </c>
      <c r="B10" t="inlineStr">
        <is>
          <t>Oliver Peace</t>
        </is>
      </c>
      <c r="C10" t="inlineStr">
        <is>
          <t>PH-MAS - Paul Milnes Cycles</t>
        </is>
      </c>
      <c r="D10" t="inlineStr">
        <is>
          <t>282</t>
        </is>
      </c>
      <c r="E10">
        <f>HYPERLINK("https://www.britishcycling.org.uk/points?person_id=538163&amp;year=2021&amp;type=national&amp;d=6","Results")</f>
        <v/>
      </c>
    </row>
    <row r="11">
      <c r="A11" t="inlineStr">
        <is>
          <t>10</t>
        </is>
      </c>
      <c r="B11" t="inlineStr">
        <is>
          <t>Tom Scott</t>
        </is>
      </c>
      <c r="C11" t="inlineStr">
        <is>
          <t>Trek Sheffield Fox Valley</t>
        </is>
      </c>
      <c r="D11" t="inlineStr">
        <is>
          <t>273</t>
        </is>
      </c>
      <c r="E11">
        <f>HYPERLINK("https://www.britishcycling.org.uk/points?person_id=102829&amp;year=2021&amp;type=national&amp;d=6","Results")</f>
        <v/>
      </c>
    </row>
    <row r="12">
      <c r="A12" t="inlineStr">
        <is>
          <t>11</t>
        </is>
      </c>
      <c r="B12" t="inlineStr">
        <is>
          <t>Ben Ramsden</t>
        </is>
      </c>
      <c r="C12" t="inlineStr">
        <is>
          <t>Shibden Cycling Club</t>
        </is>
      </c>
      <c r="D12" t="inlineStr">
        <is>
          <t>240</t>
        </is>
      </c>
      <c r="E12">
        <f>HYPERLINK("https://www.britishcycling.org.uk/points?person_id=298270&amp;year=2021&amp;type=national&amp;d=6","Results")</f>
        <v/>
      </c>
    </row>
    <row r="13">
      <c r="A13" t="inlineStr">
        <is>
          <t>12</t>
        </is>
      </c>
      <c r="B13" t="inlineStr">
        <is>
          <t>Christopher Hilbert</t>
        </is>
      </c>
      <c r="C13" t="inlineStr">
        <is>
          <t>Clancy Briggs Cycling Academy</t>
        </is>
      </c>
      <c r="D13" t="inlineStr">
        <is>
          <t>211</t>
        </is>
      </c>
      <c r="E13">
        <f>HYPERLINK("https://www.britishcycling.org.uk/points?person_id=198100&amp;year=2021&amp;type=national&amp;d=6","Results")</f>
        <v/>
      </c>
    </row>
    <row r="14">
      <c r="A14" t="inlineStr">
        <is>
          <t>13</t>
        </is>
      </c>
      <c r="B14" t="inlineStr">
        <is>
          <t>Jude Chamberlain</t>
        </is>
      </c>
      <c r="C14" t="inlineStr">
        <is>
          <t>Team Jewson-M.I.Racing</t>
        </is>
      </c>
      <c r="D14" t="inlineStr">
        <is>
          <t>209</t>
        </is>
      </c>
      <c r="E14">
        <f>HYPERLINK("https://www.britishcycling.org.uk/points?person_id=269542&amp;year=2021&amp;type=national&amp;d=6","Results")</f>
        <v/>
      </c>
    </row>
    <row r="15">
      <c r="A15" t="inlineStr">
        <is>
          <t>14</t>
        </is>
      </c>
      <c r="B15" t="inlineStr">
        <is>
          <t>Huw Buck Jones</t>
        </is>
      </c>
      <c r="C15" t="inlineStr">
        <is>
          <t>Marsh Tracks Racing - Trek</t>
        </is>
      </c>
      <c r="D15" t="inlineStr">
        <is>
          <t>188</t>
        </is>
      </c>
      <c r="E15">
        <f>HYPERLINK("https://www.britishcycling.org.uk/points?person_id=177429&amp;year=2021&amp;type=national&amp;d=6","Results")</f>
        <v/>
      </c>
    </row>
    <row r="16">
      <c r="A16" t="inlineStr">
        <is>
          <t>15</t>
        </is>
      </c>
      <c r="B16" t="inlineStr">
        <is>
          <t>Piers Higginson</t>
        </is>
      </c>
      <c r="C16" t="inlineStr">
        <is>
          <t>VC Londres</t>
        </is>
      </c>
      <c r="D16" t="inlineStr">
        <is>
          <t>183</t>
        </is>
      </c>
      <c r="E16">
        <f>HYPERLINK("https://www.britishcycling.org.uk/points?person_id=351505&amp;year=2021&amp;type=national&amp;d=6","Results")</f>
        <v/>
      </c>
    </row>
    <row r="17">
      <c r="A17" t="inlineStr">
        <is>
          <t>16</t>
        </is>
      </c>
      <c r="B17" t="inlineStr">
        <is>
          <t>Yani Angelo Djelil</t>
        </is>
      </c>
      <c r="C17" t="inlineStr">
        <is>
          <t>Una Forza Racing</t>
        </is>
      </c>
      <c r="D17" t="inlineStr">
        <is>
          <t>182</t>
        </is>
      </c>
      <c r="E17">
        <f>HYPERLINK("https://www.britishcycling.org.uk/points?person_id=176985&amp;year=2021&amp;type=national&amp;d=6","Results")</f>
        <v/>
      </c>
    </row>
    <row r="18">
      <c r="A18" t="inlineStr">
        <is>
          <t>17</t>
        </is>
      </c>
      <c r="B18" t="inlineStr">
        <is>
          <t>Jacob Bush</t>
        </is>
      </c>
      <c r="C18" t="inlineStr">
        <is>
          <t>Fensham Howes - MAS Design</t>
        </is>
      </c>
      <c r="D18" t="inlineStr">
        <is>
          <t>148</t>
        </is>
      </c>
      <c r="E18">
        <f>HYPERLINK("https://www.britishcycling.org.uk/points?person_id=688933&amp;year=2021&amp;type=national&amp;d=6","Results")</f>
        <v/>
      </c>
    </row>
    <row r="19">
      <c r="A19" t="inlineStr">
        <is>
          <t>18</t>
        </is>
      </c>
      <c r="B19" t="inlineStr">
        <is>
          <t>Oliver Halliday</t>
        </is>
      </c>
      <c r="C19" t="inlineStr"/>
      <c r="D19" t="inlineStr">
        <is>
          <t>130</t>
        </is>
      </c>
      <c r="E19">
        <f>HYPERLINK("https://www.britishcycling.org.uk/points?person_id=652763&amp;year=2021&amp;type=national&amp;d=6","Results")</f>
        <v/>
      </c>
    </row>
    <row r="20">
      <c r="A20" t="inlineStr">
        <is>
          <t>19</t>
        </is>
      </c>
      <c r="B20" t="inlineStr">
        <is>
          <t>Mark Lightfoot</t>
        </is>
      </c>
      <c r="C20" t="inlineStr">
        <is>
          <t>Welwyn Wheelers CC</t>
        </is>
      </c>
      <c r="D20" t="inlineStr">
        <is>
          <t>124</t>
        </is>
      </c>
      <c r="E20">
        <f>HYPERLINK("https://www.britishcycling.org.uk/points?person_id=242567&amp;year=2021&amp;type=national&amp;d=6","Results")</f>
        <v/>
      </c>
    </row>
    <row r="21">
      <c r="A21" t="inlineStr">
        <is>
          <t>20</t>
        </is>
      </c>
      <c r="B21" t="inlineStr">
        <is>
          <t>Harry Ellison</t>
        </is>
      </c>
      <c r="C21" t="inlineStr">
        <is>
          <t>Shibden Cycling Club</t>
        </is>
      </c>
      <c r="D21" t="inlineStr">
        <is>
          <t>123</t>
        </is>
      </c>
      <c r="E21">
        <f>HYPERLINK("https://www.britishcycling.org.uk/points?person_id=546296&amp;year=2021&amp;type=national&amp;d=6","Results")</f>
        <v/>
      </c>
    </row>
    <row r="22">
      <c r="A22" t="inlineStr">
        <is>
          <t>21</t>
        </is>
      </c>
      <c r="B22" t="inlineStr">
        <is>
          <t>Sullivan Berry</t>
        </is>
      </c>
      <c r="C22" t="inlineStr">
        <is>
          <t>ROTOR Race Team</t>
        </is>
      </c>
      <c r="D22" t="inlineStr">
        <is>
          <t>120</t>
        </is>
      </c>
      <c r="E22">
        <f>HYPERLINK("https://www.britishcycling.org.uk/points?person_id=106094&amp;year=2021&amp;type=national&amp;d=6","Results")</f>
        <v/>
      </c>
    </row>
    <row r="23">
      <c r="A23" t="inlineStr">
        <is>
          <t>22</t>
        </is>
      </c>
      <c r="B23" t="inlineStr">
        <is>
          <t>Alex Harvey</t>
        </is>
      </c>
      <c r="C23" t="inlineStr">
        <is>
          <t>VC Jubilee</t>
        </is>
      </c>
      <c r="D23" t="inlineStr">
        <is>
          <t>112</t>
        </is>
      </c>
      <c r="E23">
        <f>HYPERLINK("https://www.britishcycling.org.uk/points?person_id=125495&amp;year=2021&amp;type=national&amp;d=6","Results")</f>
        <v/>
      </c>
    </row>
    <row r="24">
      <c r="A24" t="inlineStr">
        <is>
          <t>23</t>
        </is>
      </c>
      <c r="B24" t="inlineStr">
        <is>
          <t>Nathan Cracknell</t>
        </is>
      </c>
      <c r="C24" t="inlineStr">
        <is>
          <t>Pedalon.co.uk</t>
        </is>
      </c>
      <c r="D24" t="inlineStr">
        <is>
          <t>110</t>
        </is>
      </c>
      <c r="E24">
        <f>HYPERLINK("https://www.britishcycling.org.uk/points?person_id=440323&amp;year=2021&amp;type=national&amp;d=6","Results")</f>
        <v/>
      </c>
    </row>
    <row r="25">
      <c r="A25" t="inlineStr">
        <is>
          <t>24</t>
        </is>
      </c>
      <c r="B25" t="inlineStr">
        <is>
          <t>Ethan Grimshaw</t>
        </is>
      </c>
      <c r="C25" t="inlineStr">
        <is>
          <t>Cookson Cycles</t>
        </is>
      </c>
      <c r="D25" t="inlineStr">
        <is>
          <t>108</t>
        </is>
      </c>
      <c r="E25">
        <f>HYPERLINK("https://www.britishcycling.org.uk/points?person_id=215903&amp;year=2021&amp;type=national&amp;d=6","Results")</f>
        <v/>
      </c>
    </row>
    <row r="26">
      <c r="A26" t="inlineStr">
        <is>
          <t>25</t>
        </is>
      </c>
      <c r="B26" t="inlineStr">
        <is>
          <t>Harry Howlett</t>
        </is>
      </c>
      <c r="C26" t="inlineStr">
        <is>
          <t>Origin Race Team</t>
        </is>
      </c>
      <c r="D26" t="inlineStr">
        <is>
          <t>107</t>
        </is>
      </c>
      <c r="E26">
        <f>HYPERLINK("https://www.britishcycling.org.uk/points?person_id=688897&amp;year=2021&amp;type=national&amp;d=6","Results")</f>
        <v/>
      </c>
    </row>
    <row r="27">
      <c r="A27" t="inlineStr">
        <is>
          <t>26</t>
        </is>
      </c>
      <c r="B27" t="inlineStr">
        <is>
          <t>Caelan Miller</t>
        </is>
      </c>
      <c r="C27" t="inlineStr">
        <is>
          <t>Welwyn Wheelers CC</t>
        </is>
      </c>
      <c r="D27" t="inlineStr">
        <is>
          <t>104</t>
        </is>
      </c>
      <c r="E27">
        <f>HYPERLINK("https://www.britishcycling.org.uk/points?person_id=181802&amp;year=2021&amp;type=national&amp;d=6","Results")</f>
        <v/>
      </c>
    </row>
    <row r="28">
      <c r="A28" t="inlineStr">
        <is>
          <t>27</t>
        </is>
      </c>
      <c r="B28" t="inlineStr">
        <is>
          <t>Matthew Wilson</t>
        </is>
      </c>
      <c r="C28" t="inlineStr">
        <is>
          <t>Team Milton Keynes</t>
        </is>
      </c>
      <c r="D28" t="inlineStr">
        <is>
          <t>103</t>
        </is>
      </c>
      <c r="E28">
        <f>HYPERLINK("https://www.britishcycling.org.uk/points?person_id=735485&amp;year=2021&amp;type=national&amp;d=6","Results")</f>
        <v/>
      </c>
    </row>
    <row r="29">
      <c r="A29" t="inlineStr">
        <is>
          <t>28</t>
        </is>
      </c>
      <c r="B29" t="inlineStr">
        <is>
          <t>Leo White</t>
        </is>
      </c>
      <c r="C29" t="inlineStr">
        <is>
          <t>Origin Race Team</t>
        </is>
      </c>
      <c r="D29" t="inlineStr">
        <is>
          <t>102</t>
        </is>
      </c>
      <c r="E29">
        <f>HYPERLINK("https://www.britishcycling.org.uk/points?person_id=575007&amp;year=2021&amp;type=national&amp;d=6","Results")</f>
        <v/>
      </c>
    </row>
    <row r="30">
      <c r="A30" t="inlineStr">
        <is>
          <t>29</t>
        </is>
      </c>
      <c r="B30" t="inlineStr">
        <is>
          <t>Joe Brookes</t>
        </is>
      </c>
      <c r="C30" t="inlineStr">
        <is>
          <t>Halesowen A &amp; CC</t>
        </is>
      </c>
      <c r="D30" t="inlineStr">
        <is>
          <t>98</t>
        </is>
      </c>
      <c r="E30">
        <f>HYPERLINK("https://www.britishcycling.org.uk/points?person_id=193447&amp;year=2021&amp;type=national&amp;d=6","Results")</f>
        <v/>
      </c>
    </row>
    <row r="31">
      <c r="A31" t="inlineStr">
        <is>
          <t>30</t>
        </is>
      </c>
      <c r="B31" t="inlineStr">
        <is>
          <t>Benjamin Flatau</t>
        </is>
      </c>
      <c r="C31" t="inlineStr">
        <is>
          <t>Elitecycling Junior Team</t>
        </is>
      </c>
      <c r="D31" t="inlineStr">
        <is>
          <t>94</t>
        </is>
      </c>
      <c r="E31">
        <f>HYPERLINK("https://www.britishcycling.org.uk/points?person_id=220100&amp;year=2021&amp;type=national&amp;d=6","Results")</f>
        <v/>
      </c>
    </row>
    <row r="32">
      <c r="A32" t="inlineStr">
        <is>
          <t>31</t>
        </is>
      </c>
      <c r="B32" t="inlineStr">
        <is>
          <t>Reuben Oakley</t>
        </is>
      </c>
      <c r="C32" t="inlineStr">
        <is>
          <t>ROTOR Race Team</t>
        </is>
      </c>
      <c r="D32" t="inlineStr">
        <is>
          <t>94</t>
        </is>
      </c>
      <c r="E32">
        <f>HYPERLINK("https://www.britishcycling.org.uk/points?person_id=289132&amp;year=2021&amp;type=national&amp;d=6","Results")</f>
        <v/>
      </c>
    </row>
    <row r="33">
      <c r="A33" t="inlineStr">
        <is>
          <t>32</t>
        </is>
      </c>
      <c r="B33" t="inlineStr">
        <is>
          <t>Scott Fisher</t>
        </is>
      </c>
      <c r="C33" t="inlineStr">
        <is>
          <t>Una Forza Racing</t>
        </is>
      </c>
      <c r="D33" t="inlineStr">
        <is>
          <t>89</t>
        </is>
      </c>
      <c r="E33">
        <f>HYPERLINK("https://www.britishcycling.org.uk/points?person_id=262830&amp;year=2021&amp;type=national&amp;d=6","Results")</f>
        <v/>
      </c>
    </row>
    <row r="34">
      <c r="A34" t="inlineStr">
        <is>
          <t>33</t>
        </is>
      </c>
      <c r="B34" t="inlineStr">
        <is>
          <t>Leon Dawes</t>
        </is>
      </c>
      <c r="C34" t="inlineStr">
        <is>
          <t>Origin Race Team</t>
        </is>
      </c>
      <c r="D34" t="inlineStr">
        <is>
          <t>85</t>
        </is>
      </c>
      <c r="E34">
        <f>HYPERLINK("https://www.britishcycling.org.uk/points?person_id=401297&amp;year=2021&amp;type=national&amp;d=6","Results")</f>
        <v/>
      </c>
    </row>
    <row r="35">
      <c r="A35" t="inlineStr">
        <is>
          <t>34</t>
        </is>
      </c>
      <c r="B35" t="inlineStr">
        <is>
          <t>Dominic Bell</t>
        </is>
      </c>
      <c r="C35" t="inlineStr">
        <is>
          <t>C and N Cycles RT</t>
        </is>
      </c>
      <c r="D35" t="inlineStr">
        <is>
          <t>83</t>
        </is>
      </c>
      <c r="E35">
        <f>HYPERLINK("https://www.britishcycling.org.uk/points?person_id=404502&amp;year=2021&amp;type=national&amp;d=6","Results")</f>
        <v/>
      </c>
    </row>
    <row r="36">
      <c r="A36" t="inlineStr">
        <is>
          <t>35</t>
        </is>
      </c>
      <c r="B36" t="inlineStr">
        <is>
          <t>Kieron Heuberger</t>
        </is>
      </c>
      <c r="C36" t="inlineStr">
        <is>
          <t>Backstedt Bike Performance RC</t>
        </is>
      </c>
      <c r="D36" t="inlineStr">
        <is>
          <t>83</t>
        </is>
      </c>
      <c r="E36">
        <f>HYPERLINK("https://www.britishcycling.org.uk/points?person_id=509672&amp;year=2021&amp;type=national&amp;d=6","Results")</f>
        <v/>
      </c>
    </row>
    <row r="37">
      <c r="A37" t="inlineStr">
        <is>
          <t>36</t>
        </is>
      </c>
      <c r="B37" t="inlineStr">
        <is>
          <t>Max Avery</t>
        </is>
      </c>
      <c r="C37" t="inlineStr">
        <is>
          <t>Colchester Rovers CC</t>
        </is>
      </c>
      <c r="D37" t="inlineStr">
        <is>
          <t>82</t>
        </is>
      </c>
      <c r="E37">
        <f>HYPERLINK("https://www.britishcycling.org.uk/points?person_id=677435&amp;year=2021&amp;type=national&amp;d=6","Results")</f>
        <v/>
      </c>
    </row>
    <row r="38">
      <c r="A38" t="inlineStr">
        <is>
          <t>37</t>
        </is>
      </c>
      <c r="B38" t="inlineStr">
        <is>
          <t>Tomos Pattinson</t>
        </is>
      </c>
      <c r="C38" t="inlineStr">
        <is>
          <t>Halesowen A &amp; CC</t>
        </is>
      </c>
      <c r="D38" t="inlineStr">
        <is>
          <t>82</t>
        </is>
      </c>
      <c r="E38">
        <f>HYPERLINK("https://www.britishcycling.org.uk/points?person_id=335419&amp;year=2021&amp;type=national&amp;d=6","Results")</f>
        <v/>
      </c>
    </row>
    <row r="39">
      <c r="A39" t="inlineStr">
        <is>
          <t>38</t>
        </is>
      </c>
      <c r="B39" t="inlineStr">
        <is>
          <t>Daniel Porter</t>
        </is>
      </c>
      <c r="C39" t="inlineStr">
        <is>
          <t>Horwich CC</t>
        </is>
      </c>
      <c r="D39" t="inlineStr">
        <is>
          <t>82</t>
        </is>
      </c>
      <c r="E39">
        <f>HYPERLINK("https://www.britishcycling.org.uk/points?person_id=292345&amp;year=2021&amp;type=national&amp;d=6","Results")</f>
        <v/>
      </c>
    </row>
    <row r="40">
      <c r="A40" t="inlineStr">
        <is>
          <t>39</t>
        </is>
      </c>
      <c r="B40" t="inlineStr">
        <is>
          <t>Daniel Lloyd</t>
        </is>
      </c>
      <c r="C40" t="inlineStr">
        <is>
          <t>VC Londres</t>
        </is>
      </c>
      <c r="D40" t="inlineStr">
        <is>
          <t>80</t>
        </is>
      </c>
      <c r="E40">
        <f>HYPERLINK("https://www.britishcycling.org.uk/points?person_id=181151&amp;year=2021&amp;type=national&amp;d=6","Results")</f>
        <v/>
      </c>
    </row>
    <row r="41">
      <c r="A41" t="inlineStr">
        <is>
          <t>40</t>
        </is>
      </c>
      <c r="B41" t="inlineStr">
        <is>
          <t>Dominic Switzer</t>
        </is>
      </c>
      <c r="C41" t="inlineStr">
        <is>
          <t>Welland Valley CC</t>
        </is>
      </c>
      <c r="D41" t="inlineStr">
        <is>
          <t>79</t>
        </is>
      </c>
      <c r="E41">
        <f>HYPERLINK("https://www.britishcycling.org.uk/points?person_id=180600&amp;year=2021&amp;type=national&amp;d=6","Results")</f>
        <v/>
      </c>
    </row>
    <row r="42">
      <c r="A42" t="inlineStr">
        <is>
          <t>41</t>
        </is>
      </c>
      <c r="B42" t="inlineStr">
        <is>
          <t>Dan Eastham</t>
        </is>
      </c>
      <c r="C42" t="inlineStr">
        <is>
          <t>Cog Set Papyrus Racing Club</t>
        </is>
      </c>
      <c r="D42" t="inlineStr">
        <is>
          <t>68</t>
        </is>
      </c>
      <c r="E42">
        <f>HYPERLINK("https://www.britishcycling.org.uk/points?person_id=169719&amp;year=2021&amp;type=national&amp;d=6","Results")</f>
        <v/>
      </c>
    </row>
    <row r="43">
      <c r="A43" t="inlineStr">
        <is>
          <t>42</t>
        </is>
      </c>
      <c r="B43" t="inlineStr">
        <is>
          <t>Jack Hastings</t>
        </is>
      </c>
      <c r="C43" t="inlineStr">
        <is>
          <t>Cardiff JIF</t>
        </is>
      </c>
      <c r="D43" t="inlineStr">
        <is>
          <t>62</t>
        </is>
      </c>
      <c r="E43">
        <f>HYPERLINK("https://www.britishcycling.org.uk/points?person_id=251328&amp;year=2021&amp;type=national&amp;d=6","Results")</f>
        <v/>
      </c>
    </row>
    <row r="44">
      <c r="A44" t="inlineStr">
        <is>
          <t>43</t>
        </is>
      </c>
      <c r="B44" t="inlineStr">
        <is>
          <t>Arlo Carey</t>
        </is>
      </c>
      <c r="C44" t="inlineStr">
        <is>
          <t>Pedalon.co.uk</t>
        </is>
      </c>
      <c r="D44" t="inlineStr">
        <is>
          <t>60</t>
        </is>
      </c>
      <c r="E44">
        <f>HYPERLINK("https://www.britishcycling.org.uk/points?person_id=173174&amp;year=2021&amp;type=national&amp;d=6","Results")</f>
        <v/>
      </c>
    </row>
    <row r="45">
      <c r="A45" t="inlineStr">
        <is>
          <t>44</t>
        </is>
      </c>
      <c r="B45" t="inlineStr">
        <is>
          <t>Oscar Pratt</t>
        </is>
      </c>
      <c r="C45" t="inlineStr">
        <is>
          <t>Velo Club Venta</t>
        </is>
      </c>
      <c r="D45" t="inlineStr">
        <is>
          <t>60</t>
        </is>
      </c>
      <c r="E45">
        <f>HYPERLINK("https://www.britishcycling.org.uk/points?person_id=356139&amp;year=2021&amp;type=national&amp;d=6","Results")</f>
        <v/>
      </c>
    </row>
    <row r="46">
      <c r="A46" t="inlineStr">
        <is>
          <t>45</t>
        </is>
      </c>
      <c r="B46" t="inlineStr">
        <is>
          <t>Robin Steer</t>
        </is>
      </c>
      <c r="C46" t="inlineStr">
        <is>
          <t>Welwyn Wheelers CC</t>
        </is>
      </c>
      <c r="D46" t="inlineStr">
        <is>
          <t>58</t>
        </is>
      </c>
      <c r="E46">
        <f>HYPERLINK("https://www.britishcycling.org.uk/points?person_id=351157&amp;year=2021&amp;type=national&amp;d=6","Results")</f>
        <v/>
      </c>
    </row>
    <row r="47">
      <c r="A47" t="inlineStr">
        <is>
          <t>46</t>
        </is>
      </c>
      <c r="B47" t="inlineStr">
        <is>
          <t>Oscar Taylor</t>
        </is>
      </c>
      <c r="C47" t="inlineStr">
        <is>
          <t>Clifton CC</t>
        </is>
      </c>
      <c r="D47" t="inlineStr">
        <is>
          <t>57</t>
        </is>
      </c>
      <c r="E47">
        <f>HYPERLINK("https://www.britishcycling.org.uk/points?person_id=271238&amp;year=2021&amp;type=national&amp;d=6","Results")</f>
        <v/>
      </c>
    </row>
    <row r="48">
      <c r="A48" t="inlineStr">
        <is>
          <t>47</t>
        </is>
      </c>
      <c r="B48" t="inlineStr">
        <is>
          <t>Alessandro Sella</t>
        </is>
      </c>
      <c r="C48" t="inlineStr">
        <is>
          <t>Lee Valley Youth Cycling Club</t>
        </is>
      </c>
      <c r="D48" t="inlineStr">
        <is>
          <t>56</t>
        </is>
      </c>
      <c r="E48">
        <f>HYPERLINK("https://www.britishcycling.org.uk/points?person_id=224105&amp;year=2021&amp;type=national&amp;d=6","Results")</f>
        <v/>
      </c>
    </row>
    <row r="49">
      <c r="A49" t="inlineStr">
        <is>
          <t>48</t>
        </is>
      </c>
      <c r="B49" t="inlineStr">
        <is>
          <t>Calum Moir</t>
        </is>
      </c>
      <c r="C49" t="inlineStr">
        <is>
          <t>Welwyn Wheelers CC</t>
        </is>
      </c>
      <c r="D49" t="inlineStr">
        <is>
          <t>54</t>
        </is>
      </c>
      <c r="E49">
        <f>HYPERLINK("https://www.britishcycling.org.uk/points?person_id=255500&amp;year=2021&amp;type=national&amp;d=6","Results")</f>
        <v/>
      </c>
    </row>
    <row r="50">
      <c r="A50" t="inlineStr">
        <is>
          <t>49</t>
        </is>
      </c>
      <c r="B50" t="inlineStr">
        <is>
          <t>Oliver Harris</t>
        </is>
      </c>
      <c r="C50" t="inlineStr">
        <is>
          <t>VC Deal</t>
        </is>
      </c>
      <c r="D50" t="inlineStr">
        <is>
          <t>50</t>
        </is>
      </c>
      <c r="E50">
        <f>HYPERLINK("https://www.britishcycling.org.uk/points?person_id=418534&amp;year=2021&amp;type=national&amp;d=6","Results")</f>
        <v/>
      </c>
    </row>
    <row r="51">
      <c r="A51" t="inlineStr">
        <is>
          <t>50</t>
        </is>
      </c>
      <c r="B51" t="inlineStr">
        <is>
          <t>Jim Vernon</t>
        </is>
      </c>
      <c r="C51" t="inlineStr">
        <is>
          <t>Welland Valley CC</t>
        </is>
      </c>
      <c r="D51" t="inlineStr">
        <is>
          <t>50</t>
        </is>
      </c>
      <c r="E51">
        <f>HYPERLINK("https://www.britishcycling.org.uk/points?person_id=837962&amp;year=2021&amp;type=national&amp;d=6","Results")</f>
        <v/>
      </c>
    </row>
    <row r="52">
      <c r="A52" t="inlineStr">
        <is>
          <t>51</t>
        </is>
      </c>
      <c r="B52" t="inlineStr">
        <is>
          <t>Fred Meredith</t>
        </is>
      </c>
      <c r="C52" t="inlineStr">
        <is>
          <t>Backstedt Bike Performance RC</t>
        </is>
      </c>
      <c r="D52" t="inlineStr">
        <is>
          <t>49</t>
        </is>
      </c>
      <c r="E52">
        <f>HYPERLINK("https://www.britishcycling.org.uk/points?person_id=419773&amp;year=2021&amp;type=national&amp;d=6","Results")</f>
        <v/>
      </c>
    </row>
    <row r="53">
      <c r="A53" t="inlineStr">
        <is>
          <t>52</t>
        </is>
      </c>
      <c r="B53" t="inlineStr">
        <is>
          <t>Pedro Hutchinson</t>
        </is>
      </c>
      <c r="C53" t="inlineStr">
        <is>
          <t>Velo Club Venta</t>
        </is>
      </c>
      <c r="D53" t="inlineStr">
        <is>
          <t>48</t>
        </is>
      </c>
      <c r="E53">
        <f>HYPERLINK("https://www.britishcycling.org.uk/points?person_id=1001672&amp;year=2021&amp;type=national&amp;d=6","Results")</f>
        <v/>
      </c>
    </row>
    <row r="54">
      <c r="A54" t="inlineStr">
        <is>
          <t>53</t>
        </is>
      </c>
      <c r="B54" t="inlineStr">
        <is>
          <t>Raphael Tabiner</t>
        </is>
      </c>
      <c r="C54" t="inlineStr">
        <is>
          <t>Tofauti Everyone Active</t>
        </is>
      </c>
      <c r="D54" t="inlineStr">
        <is>
          <t>48</t>
        </is>
      </c>
      <c r="E54">
        <f>HYPERLINK("https://www.britishcycling.org.uk/points?person_id=524253&amp;year=2021&amp;type=national&amp;d=6","Results")</f>
        <v/>
      </c>
    </row>
    <row r="55">
      <c r="A55" t="inlineStr">
        <is>
          <t>54</t>
        </is>
      </c>
      <c r="B55" t="inlineStr">
        <is>
          <t>John Cull</t>
        </is>
      </c>
      <c r="C55" t="inlineStr">
        <is>
          <t>Cog Set Papyrus Racing Club</t>
        </is>
      </c>
      <c r="D55" t="inlineStr">
        <is>
          <t>47</t>
        </is>
      </c>
      <c r="E55">
        <f>HYPERLINK("https://www.britishcycling.org.uk/points?person_id=733166&amp;year=2021&amp;type=national&amp;d=6","Results")</f>
        <v/>
      </c>
    </row>
    <row r="56">
      <c r="A56" t="inlineStr">
        <is>
          <t>55</t>
        </is>
      </c>
      <c r="B56" t="inlineStr">
        <is>
          <t>Deetray Jarrett</t>
        </is>
      </c>
      <c r="C56" t="inlineStr">
        <is>
          <t>Green Jersey CC</t>
        </is>
      </c>
      <c r="D56" t="inlineStr">
        <is>
          <t>47</t>
        </is>
      </c>
      <c r="E56">
        <f>HYPERLINK("https://www.britishcycling.org.uk/points?person_id=182375&amp;year=2021&amp;type=national&amp;d=6","Results")</f>
        <v/>
      </c>
    </row>
    <row r="57">
      <c r="A57" t="inlineStr">
        <is>
          <t>56</t>
        </is>
      </c>
      <c r="B57" t="inlineStr">
        <is>
          <t>Ferdie Parsons</t>
        </is>
      </c>
      <c r="C57" t="inlineStr">
        <is>
          <t>VC Jubilee</t>
        </is>
      </c>
      <c r="D57" t="inlineStr">
        <is>
          <t>45</t>
        </is>
      </c>
      <c r="E57">
        <f>HYPERLINK("https://www.britishcycling.org.uk/points?person_id=177099&amp;year=2021&amp;type=national&amp;d=6","Results")</f>
        <v/>
      </c>
    </row>
    <row r="58">
      <c r="A58" t="inlineStr">
        <is>
          <t>57</t>
        </is>
      </c>
      <c r="B58" t="inlineStr">
        <is>
          <t>Otto Chilton</t>
        </is>
      </c>
      <c r="C58" t="inlineStr">
        <is>
          <t>Derby Mercury RC</t>
        </is>
      </c>
      <c r="D58" t="inlineStr">
        <is>
          <t>44</t>
        </is>
      </c>
      <c r="E58">
        <f>HYPERLINK("https://www.britishcycling.org.uk/points?person_id=194740&amp;year=2021&amp;type=national&amp;d=6","Results")</f>
        <v/>
      </c>
    </row>
    <row r="59">
      <c r="A59" t="inlineStr">
        <is>
          <t>58</t>
        </is>
      </c>
      <c r="B59" t="inlineStr">
        <is>
          <t>Harry Owen</t>
        </is>
      </c>
      <c r="C59" t="inlineStr">
        <is>
          <t>Herne Hill Youth CC</t>
        </is>
      </c>
      <c r="D59" t="inlineStr">
        <is>
          <t>44</t>
        </is>
      </c>
      <c r="E59">
        <f>HYPERLINK("https://www.britishcycling.org.uk/points?person_id=283313&amp;year=2021&amp;type=national&amp;d=6","Results")</f>
        <v/>
      </c>
    </row>
    <row r="60">
      <c r="A60" t="inlineStr">
        <is>
          <t>59</t>
        </is>
      </c>
      <c r="B60" t="inlineStr">
        <is>
          <t>Owen Thompson</t>
        </is>
      </c>
      <c r="C60" t="inlineStr">
        <is>
          <t>Paul Milnes - Bradford Olympic RC</t>
        </is>
      </c>
      <c r="D60" t="inlineStr">
        <is>
          <t>43</t>
        </is>
      </c>
      <c r="E60">
        <f>HYPERLINK("https://www.britishcycling.org.uk/points?person_id=379108&amp;year=2021&amp;type=national&amp;d=6","Results")</f>
        <v/>
      </c>
    </row>
    <row r="61">
      <c r="A61" t="inlineStr">
        <is>
          <t>60</t>
        </is>
      </c>
      <c r="B61" t="inlineStr">
        <is>
          <t>Alex Galpin</t>
        </is>
      </c>
      <c r="C61" t="inlineStr">
        <is>
          <t>Bourne Whls CC</t>
        </is>
      </c>
      <c r="D61" t="inlineStr">
        <is>
          <t>42</t>
        </is>
      </c>
      <c r="E61">
        <f>HYPERLINK("https://www.britishcycling.org.uk/points?person_id=181416&amp;year=2021&amp;type=national&amp;d=6","Results")</f>
        <v/>
      </c>
    </row>
    <row r="62">
      <c r="A62" t="inlineStr">
        <is>
          <t>61</t>
        </is>
      </c>
      <c r="B62" t="inlineStr">
        <is>
          <t>Joe Homer</t>
        </is>
      </c>
      <c r="C62" t="inlineStr">
        <is>
          <t>Halesowen A &amp; CC</t>
        </is>
      </c>
      <c r="D62" t="inlineStr">
        <is>
          <t>42</t>
        </is>
      </c>
      <c r="E62">
        <f>HYPERLINK("https://www.britishcycling.org.uk/points?person_id=346297&amp;year=2021&amp;type=national&amp;d=6","Results")</f>
        <v/>
      </c>
    </row>
    <row r="63">
      <c r="A63" t="inlineStr">
        <is>
          <t>62</t>
        </is>
      </c>
      <c r="B63" t="inlineStr">
        <is>
          <t>Douglas Main</t>
        </is>
      </c>
      <c r="C63" t="inlineStr">
        <is>
          <t>Derby Mercury RC</t>
        </is>
      </c>
      <c r="D63" t="inlineStr">
        <is>
          <t>42</t>
        </is>
      </c>
      <c r="E63">
        <f>HYPERLINK("https://www.britishcycling.org.uk/points?person_id=263419&amp;year=2021&amp;type=national&amp;d=6","Results")</f>
        <v/>
      </c>
    </row>
    <row r="64">
      <c r="A64" t="inlineStr">
        <is>
          <t>63</t>
        </is>
      </c>
      <c r="B64" t="inlineStr">
        <is>
          <t>Cormac Nisbet</t>
        </is>
      </c>
      <c r="C64" t="inlineStr">
        <is>
          <t>High Wycombe Cycling Club</t>
        </is>
      </c>
      <c r="D64" t="inlineStr">
        <is>
          <t>41</t>
        </is>
      </c>
      <c r="E64">
        <f>HYPERLINK("https://www.britishcycling.org.uk/points?person_id=377987&amp;year=2021&amp;type=national&amp;d=6","Results")</f>
        <v/>
      </c>
    </row>
    <row r="65">
      <c r="A65" t="inlineStr">
        <is>
          <t>64</t>
        </is>
      </c>
      <c r="B65" t="inlineStr">
        <is>
          <t>James Pearcy</t>
        </is>
      </c>
      <c r="C65" t="inlineStr">
        <is>
          <t>Mid Devon CC</t>
        </is>
      </c>
      <c r="D65" t="inlineStr">
        <is>
          <t>40</t>
        </is>
      </c>
      <c r="E65">
        <f>HYPERLINK("https://www.britishcycling.org.uk/points?person_id=543240&amp;year=2021&amp;type=national&amp;d=6","Results")</f>
        <v/>
      </c>
    </row>
    <row r="66">
      <c r="A66" t="inlineStr">
        <is>
          <t>65</t>
        </is>
      </c>
      <c r="B66" t="inlineStr">
        <is>
          <t>Felix Whetter</t>
        </is>
      </c>
      <c r="C66" t="inlineStr">
        <is>
          <t>Wheal Velocity</t>
        </is>
      </c>
      <c r="D66" t="inlineStr">
        <is>
          <t>40</t>
        </is>
      </c>
      <c r="E66">
        <f>HYPERLINK("https://www.britishcycling.org.uk/points?person_id=960523&amp;year=2021&amp;type=national&amp;d=6","Results")</f>
        <v/>
      </c>
    </row>
    <row r="67">
      <c r="A67" t="inlineStr">
        <is>
          <t>66</t>
        </is>
      </c>
      <c r="B67" t="inlineStr">
        <is>
          <t>Max Darnton</t>
        </is>
      </c>
      <c r="C67" t="inlineStr">
        <is>
          <t>Sotonia CC</t>
        </is>
      </c>
      <c r="D67" t="inlineStr">
        <is>
          <t>38</t>
        </is>
      </c>
      <c r="E67">
        <f>HYPERLINK("https://www.britishcycling.org.uk/points?person_id=752858&amp;year=2021&amp;type=national&amp;d=6","Results")</f>
        <v/>
      </c>
    </row>
    <row r="68">
      <c r="A68" t="inlineStr">
        <is>
          <t>67</t>
        </is>
      </c>
      <c r="B68" t="inlineStr">
        <is>
          <t>Josh Palfreyman</t>
        </is>
      </c>
      <c r="C68" t="inlineStr">
        <is>
          <t>Cambridge Junior Cycling Club</t>
        </is>
      </c>
      <c r="D68" t="inlineStr">
        <is>
          <t>38</t>
        </is>
      </c>
      <c r="E68">
        <f>HYPERLINK("https://www.britishcycling.org.uk/points?person_id=516188&amp;year=2021&amp;type=national&amp;d=6","Results")</f>
        <v/>
      </c>
    </row>
    <row r="69">
      <c r="A69" t="inlineStr">
        <is>
          <t>68</t>
        </is>
      </c>
      <c r="B69" t="inlineStr">
        <is>
          <t>Ethan Pratten</t>
        </is>
      </c>
      <c r="C69" t="inlineStr">
        <is>
          <t>Cardiff JIF</t>
        </is>
      </c>
      <c r="D69" t="inlineStr">
        <is>
          <t>38</t>
        </is>
      </c>
      <c r="E69">
        <f>HYPERLINK("https://www.britishcycling.org.uk/points?person_id=240756&amp;year=2021&amp;type=national&amp;d=6","Results")</f>
        <v/>
      </c>
    </row>
    <row r="70">
      <c r="A70" t="inlineStr">
        <is>
          <t>69</t>
        </is>
      </c>
      <c r="B70" t="inlineStr">
        <is>
          <t>Jed Smithson</t>
        </is>
      </c>
      <c r="C70" t="inlineStr">
        <is>
          <t>WORX Factory Racing</t>
        </is>
      </c>
      <c r="D70" t="inlineStr">
        <is>
          <t>38</t>
        </is>
      </c>
      <c r="E70">
        <f>HYPERLINK("https://www.britishcycling.org.uk/points?person_id=255200&amp;year=2021&amp;type=national&amp;d=6","Results")</f>
        <v/>
      </c>
    </row>
    <row r="71">
      <c r="A71" t="inlineStr">
        <is>
          <t>70</t>
        </is>
      </c>
      <c r="B71" t="inlineStr">
        <is>
          <t>Oscar Heslop</t>
        </is>
      </c>
      <c r="C71" t="inlineStr">
        <is>
          <t>Team Milton Keynes</t>
        </is>
      </c>
      <c r="D71" t="inlineStr">
        <is>
          <t>37</t>
        </is>
      </c>
      <c r="E71">
        <f>HYPERLINK("https://www.britishcycling.org.uk/points?person_id=841031&amp;year=2021&amp;type=national&amp;d=6","Results")</f>
        <v/>
      </c>
    </row>
    <row r="72">
      <c r="A72" t="inlineStr">
        <is>
          <t>71</t>
        </is>
      </c>
      <c r="B72" t="inlineStr">
        <is>
          <t>Harry Weedon</t>
        </is>
      </c>
      <c r="C72" t="inlineStr">
        <is>
          <t>Team Milton Keynes</t>
        </is>
      </c>
      <c r="D72" t="inlineStr">
        <is>
          <t>36</t>
        </is>
      </c>
      <c r="E72">
        <f>HYPERLINK("https://www.britishcycling.org.uk/points?person_id=888914&amp;year=2021&amp;type=national&amp;d=6","Results")</f>
        <v/>
      </c>
    </row>
    <row r="73">
      <c r="A73" t="inlineStr">
        <is>
          <t>72</t>
        </is>
      </c>
      <c r="B73" t="inlineStr">
        <is>
          <t>Benjamin Livesey</t>
        </is>
      </c>
      <c r="C73" t="inlineStr">
        <is>
          <t>Cog Set Papyrus Racing Club</t>
        </is>
      </c>
      <c r="D73" t="inlineStr">
        <is>
          <t>35</t>
        </is>
      </c>
      <c r="E73">
        <f>HYPERLINK("https://www.britishcycling.org.uk/points?person_id=387309&amp;year=2021&amp;type=national&amp;d=6","Results")</f>
        <v/>
      </c>
    </row>
    <row r="74">
      <c r="A74" t="inlineStr">
        <is>
          <t>73</t>
        </is>
      </c>
      <c r="B74" t="inlineStr">
        <is>
          <t>Sam Chisholm</t>
        </is>
      </c>
      <c r="C74" t="inlineStr">
        <is>
          <t>West Lothian Clarion CC</t>
        </is>
      </c>
      <c r="D74" t="inlineStr">
        <is>
          <t>34</t>
        </is>
      </c>
      <c r="E74">
        <f>HYPERLINK("https://www.britishcycling.org.uk/points?person_id=171146&amp;year=2021&amp;type=national&amp;d=6","Results")</f>
        <v/>
      </c>
    </row>
    <row r="75">
      <c r="A75" t="inlineStr">
        <is>
          <t>74</t>
        </is>
      </c>
      <c r="B75" t="inlineStr">
        <is>
          <t>William Piccin-White</t>
        </is>
      </c>
      <c r="C75" t="inlineStr">
        <is>
          <t>JRC-INTERFLON Race Team</t>
        </is>
      </c>
      <c r="D75" t="inlineStr">
        <is>
          <t>33</t>
        </is>
      </c>
      <c r="E75">
        <f>HYPERLINK("https://www.britishcycling.org.uk/points?person_id=522894&amp;year=2021&amp;type=national&amp;d=6","Results")</f>
        <v/>
      </c>
    </row>
    <row r="76">
      <c r="A76" t="inlineStr">
        <is>
          <t>75</t>
        </is>
      </c>
      <c r="B76" t="inlineStr">
        <is>
          <t>Joshua Brown</t>
        </is>
      </c>
      <c r="C76" t="inlineStr">
        <is>
          <t>Cambridge Junior Cycling Club</t>
        </is>
      </c>
      <c r="D76" t="inlineStr">
        <is>
          <t>32</t>
        </is>
      </c>
      <c r="E76">
        <f>HYPERLINK("https://www.britishcycling.org.uk/points?person_id=495985&amp;year=2021&amp;type=national&amp;d=6","Results")</f>
        <v/>
      </c>
    </row>
    <row r="77">
      <c r="A77" t="inlineStr">
        <is>
          <t>76</t>
        </is>
      </c>
      <c r="B77" t="inlineStr">
        <is>
          <t>Finlay Taylor</t>
        </is>
      </c>
      <c r="C77" t="inlineStr">
        <is>
          <t>Royal Albert CC</t>
        </is>
      </c>
      <c r="D77" t="inlineStr">
        <is>
          <t>32</t>
        </is>
      </c>
      <c r="E77">
        <f>HYPERLINK("https://www.britishcycling.org.uk/points?person_id=297675&amp;year=2021&amp;type=national&amp;d=6","Results")</f>
        <v/>
      </c>
    </row>
    <row r="78">
      <c r="A78" t="inlineStr">
        <is>
          <t>77</t>
        </is>
      </c>
      <c r="B78" t="inlineStr">
        <is>
          <t>Dan Levine</t>
        </is>
      </c>
      <c r="C78" t="inlineStr">
        <is>
          <t>VC Jubilee</t>
        </is>
      </c>
      <c r="D78" t="inlineStr">
        <is>
          <t>31</t>
        </is>
      </c>
      <c r="E78">
        <f>HYPERLINK("https://www.britishcycling.org.uk/points?person_id=401000&amp;year=2021&amp;type=national&amp;d=6","Results")</f>
        <v/>
      </c>
    </row>
    <row r="79">
      <c r="A79" t="inlineStr">
        <is>
          <t>78</t>
        </is>
      </c>
      <c r="B79" t="inlineStr">
        <is>
          <t>George Eames</t>
        </is>
      </c>
      <c r="C79" t="inlineStr">
        <is>
          <t>North Devon Wheelers</t>
        </is>
      </c>
      <c r="D79" t="inlineStr">
        <is>
          <t>30</t>
        </is>
      </c>
      <c r="E79">
        <f>HYPERLINK("https://www.britishcycling.org.uk/points?person_id=264386&amp;year=2021&amp;type=national&amp;d=6","Results")</f>
        <v/>
      </c>
    </row>
    <row r="80">
      <c r="A80" t="inlineStr">
        <is>
          <t>79</t>
        </is>
      </c>
      <c r="B80" t="inlineStr">
        <is>
          <t>Alfie Speck</t>
        </is>
      </c>
      <c r="C80" t="inlineStr">
        <is>
          <t>Ellmore Factory Racing</t>
        </is>
      </c>
      <c r="D80" t="inlineStr">
        <is>
          <t>30</t>
        </is>
      </c>
      <c r="E80">
        <f>HYPERLINK("https://www.britishcycling.org.uk/points?person_id=688886&amp;year=2021&amp;type=national&amp;d=6","Results")</f>
        <v/>
      </c>
    </row>
    <row r="81">
      <c r="A81" t="inlineStr">
        <is>
          <t>80</t>
        </is>
      </c>
      <c r="B81" t="inlineStr">
        <is>
          <t>Rhys Thomas</t>
        </is>
      </c>
      <c r="C81" t="inlineStr">
        <is>
          <t>Maindy Flyers CC</t>
        </is>
      </c>
      <c r="D81" t="inlineStr">
        <is>
          <t>29</t>
        </is>
      </c>
      <c r="E81">
        <f>HYPERLINK("https://www.britishcycling.org.uk/points?person_id=374390&amp;year=2021&amp;type=national&amp;d=6","Results")</f>
        <v/>
      </c>
    </row>
    <row r="82">
      <c r="A82" t="inlineStr">
        <is>
          <t>81</t>
        </is>
      </c>
      <c r="B82" t="inlineStr">
        <is>
          <t>Noah Breslin</t>
        </is>
      </c>
      <c r="C82" t="inlineStr">
        <is>
          <t>Dartmoor Velo–CareControlSystems</t>
        </is>
      </c>
      <c r="D82" t="inlineStr">
        <is>
          <t>28</t>
        </is>
      </c>
      <c r="E82">
        <f>HYPERLINK("https://www.britishcycling.org.uk/points?person_id=830772&amp;year=2021&amp;type=national&amp;d=6","Results")</f>
        <v/>
      </c>
    </row>
    <row r="83">
      <c r="A83" t="inlineStr">
        <is>
          <t>82</t>
        </is>
      </c>
      <c r="B83" t="inlineStr">
        <is>
          <t>James Elves</t>
        </is>
      </c>
      <c r="C83" t="inlineStr">
        <is>
          <t>Hetton Hawks Cycling Club</t>
        </is>
      </c>
      <c r="D83" t="inlineStr">
        <is>
          <t>27</t>
        </is>
      </c>
      <c r="E83">
        <f>HYPERLINK("https://www.britishcycling.org.uk/points?person_id=880319&amp;year=2021&amp;type=national&amp;d=6","Results")</f>
        <v/>
      </c>
    </row>
    <row r="84">
      <c r="A84" t="inlineStr">
        <is>
          <t>83</t>
        </is>
      </c>
      <c r="B84" t="inlineStr">
        <is>
          <t>Arran Robinson</t>
        </is>
      </c>
      <c r="C84" t="inlineStr">
        <is>
          <t>Hetton Hawks Cycling Club</t>
        </is>
      </c>
      <c r="D84" t="inlineStr">
        <is>
          <t>27</t>
        </is>
      </c>
      <c r="E84">
        <f>HYPERLINK("https://www.britishcycling.org.uk/points?person_id=402641&amp;year=2021&amp;type=national&amp;d=6","Results")</f>
        <v/>
      </c>
    </row>
    <row r="85">
      <c r="A85" t="inlineStr">
        <is>
          <t>84</t>
        </is>
      </c>
      <c r="B85" t="inlineStr">
        <is>
          <t>Aaron Mansell</t>
        </is>
      </c>
      <c r="C85" t="inlineStr">
        <is>
          <t>Halesowen A &amp; CC</t>
        </is>
      </c>
      <c r="D85" t="inlineStr">
        <is>
          <t>26</t>
        </is>
      </c>
      <c r="E85">
        <f>HYPERLINK("https://www.britishcycling.org.uk/points?person_id=193843&amp;year=2021&amp;type=national&amp;d=6","Results")</f>
        <v/>
      </c>
    </row>
    <row r="86">
      <c r="A86" t="inlineStr">
        <is>
          <t>85</t>
        </is>
      </c>
      <c r="B86" t="inlineStr">
        <is>
          <t>Jack Shanley</t>
        </is>
      </c>
      <c r="C86" t="inlineStr">
        <is>
          <t>Cog Set Papyrus Racing Club</t>
        </is>
      </c>
      <c r="D86" t="inlineStr">
        <is>
          <t>26</t>
        </is>
      </c>
      <c r="E86">
        <f>HYPERLINK("https://www.britishcycling.org.uk/points?person_id=199546&amp;year=2021&amp;type=national&amp;d=6","Results")</f>
        <v/>
      </c>
    </row>
    <row r="87">
      <c r="A87" t="inlineStr">
        <is>
          <t>86</t>
        </is>
      </c>
      <c r="B87" t="inlineStr">
        <is>
          <t>Oliver Griggs</t>
        </is>
      </c>
      <c r="C87" t="inlineStr">
        <is>
          <t>Hub Vélo</t>
        </is>
      </c>
      <c r="D87" t="inlineStr">
        <is>
          <t>25</t>
        </is>
      </c>
      <c r="E87">
        <f>HYPERLINK("https://www.britishcycling.org.uk/points?person_id=245244&amp;year=2021&amp;type=national&amp;d=6","Results")</f>
        <v/>
      </c>
    </row>
    <row r="88">
      <c r="A88" t="inlineStr">
        <is>
          <t>87</t>
        </is>
      </c>
      <c r="B88" t="inlineStr">
        <is>
          <t>Thomas Collins</t>
        </is>
      </c>
      <c r="C88" t="inlineStr">
        <is>
          <t>Pedal Power Loughborough</t>
        </is>
      </c>
      <c r="D88" t="inlineStr">
        <is>
          <t>24</t>
        </is>
      </c>
      <c r="E88">
        <f>HYPERLINK("https://www.britishcycling.org.uk/points?person_id=894544&amp;year=2021&amp;type=national&amp;d=6","Results")</f>
        <v/>
      </c>
    </row>
    <row r="89">
      <c r="A89" t="inlineStr">
        <is>
          <t>88</t>
        </is>
      </c>
      <c r="B89" t="inlineStr">
        <is>
          <t>Jenson Harris</t>
        </is>
      </c>
      <c r="C89" t="inlineStr">
        <is>
          <t>Avid Sport</t>
        </is>
      </c>
      <c r="D89" t="inlineStr">
        <is>
          <t>24</t>
        </is>
      </c>
      <c r="E89">
        <f>HYPERLINK("https://www.britishcycling.org.uk/points?person_id=403618&amp;year=2021&amp;type=national&amp;d=6","Results")</f>
        <v/>
      </c>
    </row>
    <row r="90">
      <c r="A90" t="inlineStr">
        <is>
          <t>89</t>
        </is>
      </c>
      <c r="B90" t="inlineStr">
        <is>
          <t>Finn Mason</t>
        </is>
      </c>
      <c r="C90" t="inlineStr">
        <is>
          <t>West Lothian Clarion CC</t>
        </is>
      </c>
      <c r="D90" t="inlineStr">
        <is>
          <t>24</t>
        </is>
      </c>
      <c r="E90">
        <f>HYPERLINK("https://www.britishcycling.org.uk/points?person_id=177268&amp;year=2021&amp;type=national&amp;d=6","Results")</f>
        <v/>
      </c>
    </row>
    <row r="91">
      <c r="A91" t="inlineStr">
        <is>
          <t>90</t>
        </is>
      </c>
      <c r="B91" t="inlineStr">
        <is>
          <t>Angus Stoneham</t>
        </is>
      </c>
      <c r="C91" t="inlineStr">
        <is>
          <t>Beaconsfield Cycling Club</t>
        </is>
      </c>
      <c r="D91" t="inlineStr">
        <is>
          <t>24</t>
        </is>
      </c>
      <c r="E91">
        <f>HYPERLINK("https://www.britishcycling.org.uk/points?person_id=883496&amp;year=2021&amp;type=national&amp;d=6","Results")</f>
        <v/>
      </c>
    </row>
    <row r="92">
      <c r="A92" t="inlineStr">
        <is>
          <t>91</t>
        </is>
      </c>
      <c r="B92" t="inlineStr">
        <is>
          <t>Jack Horsfall</t>
        </is>
      </c>
      <c r="C92" t="inlineStr">
        <is>
          <t>Cog Set Papyrus Racing Club</t>
        </is>
      </c>
      <c r="D92" t="inlineStr">
        <is>
          <t>23</t>
        </is>
      </c>
      <c r="E92">
        <f>HYPERLINK("https://www.britishcycling.org.uk/points?person_id=1010995&amp;year=2021&amp;type=national&amp;d=6","Results")</f>
        <v/>
      </c>
    </row>
    <row r="93">
      <c r="A93" t="inlineStr">
        <is>
          <t>92</t>
        </is>
      </c>
      <c r="B93" t="inlineStr">
        <is>
          <t>Maurice Tate</t>
        </is>
      </c>
      <c r="C93" t="inlineStr">
        <is>
          <t>Southborough &amp; District Whls</t>
        </is>
      </c>
      <c r="D93" t="inlineStr">
        <is>
          <t>22</t>
        </is>
      </c>
      <c r="E93">
        <f>HYPERLINK("https://www.britishcycling.org.uk/points?person_id=589183&amp;year=2021&amp;type=national&amp;d=6","Results")</f>
        <v/>
      </c>
    </row>
    <row r="94">
      <c r="A94" t="inlineStr">
        <is>
          <t>93</t>
        </is>
      </c>
      <c r="B94" t="inlineStr">
        <is>
          <t>Oliver Coughlan</t>
        </is>
      </c>
      <c r="C94" t="inlineStr">
        <is>
          <t>Shibden Cycling Club</t>
        </is>
      </c>
      <c r="D94" t="inlineStr">
        <is>
          <t>20</t>
        </is>
      </c>
      <c r="E94">
        <f>HYPERLINK("https://www.britishcycling.org.uk/points?person_id=443104&amp;year=2021&amp;type=national&amp;d=6","Results")</f>
        <v/>
      </c>
    </row>
    <row r="95">
      <c r="A95" t="inlineStr">
        <is>
          <t>94</t>
        </is>
      </c>
      <c r="B95" t="inlineStr">
        <is>
          <t>William Ryan</t>
        </is>
      </c>
      <c r="C95" t="inlineStr">
        <is>
          <t>Solihull CC</t>
        </is>
      </c>
      <c r="D95" t="inlineStr">
        <is>
          <t>20</t>
        </is>
      </c>
      <c r="E95">
        <f>HYPERLINK("https://www.britishcycling.org.uk/points?person_id=295034&amp;year=2021&amp;type=national&amp;d=6","Results")</f>
        <v/>
      </c>
    </row>
    <row r="96">
      <c r="A96" t="inlineStr">
        <is>
          <t>95</t>
        </is>
      </c>
      <c r="B96" t="inlineStr">
        <is>
          <t>Huw Wilson</t>
        </is>
      </c>
      <c r="C96" t="inlineStr">
        <is>
          <t>Welland Valley CC</t>
        </is>
      </c>
      <c r="D96" t="inlineStr">
        <is>
          <t>20</t>
        </is>
      </c>
      <c r="E96">
        <f>HYPERLINK("https://www.britishcycling.org.uk/points?person_id=180217&amp;year=2021&amp;type=national&amp;d=6","Results")</f>
        <v/>
      </c>
    </row>
    <row r="97">
      <c r="A97" t="inlineStr">
        <is>
          <t>96</t>
        </is>
      </c>
      <c r="B97" t="inlineStr">
        <is>
          <t>Luke Goodwill</t>
        </is>
      </c>
      <c r="C97" t="inlineStr">
        <is>
          <t>Preston Park Youth CC (PPYCC)</t>
        </is>
      </c>
      <c r="D97" t="inlineStr">
        <is>
          <t>19</t>
        </is>
      </c>
      <c r="E97">
        <f>HYPERLINK("https://www.britishcycling.org.uk/points?person_id=297438&amp;year=2021&amp;type=national&amp;d=6","Results")</f>
        <v/>
      </c>
    </row>
    <row r="98">
      <c r="A98" t="inlineStr">
        <is>
          <t>97</t>
        </is>
      </c>
      <c r="B98" t="inlineStr">
        <is>
          <t>Jack Parnaby</t>
        </is>
      </c>
      <c r="C98" t="inlineStr">
        <is>
          <t>Shibden Cycling Club</t>
        </is>
      </c>
      <c r="D98" t="inlineStr">
        <is>
          <t>19</t>
        </is>
      </c>
      <c r="E98">
        <f>HYPERLINK("https://www.britishcycling.org.uk/points?person_id=870368&amp;year=2021&amp;type=national&amp;d=6","Results")</f>
        <v/>
      </c>
    </row>
    <row r="99">
      <c r="A99" t="inlineStr">
        <is>
          <t>98</t>
        </is>
      </c>
      <c r="B99" t="inlineStr">
        <is>
          <t>Cameron Archibald</t>
        </is>
      </c>
      <c r="C99" t="inlineStr">
        <is>
          <t>Falkirk Junior Bike Club</t>
        </is>
      </c>
      <c r="D99" t="inlineStr">
        <is>
          <t>18</t>
        </is>
      </c>
      <c r="E99">
        <f>HYPERLINK("https://www.britishcycling.org.uk/points?person_id=772296&amp;year=2021&amp;type=national&amp;d=6","Results")</f>
        <v/>
      </c>
    </row>
    <row r="100">
      <c r="A100" t="inlineStr">
        <is>
          <t>99</t>
        </is>
      </c>
      <c r="B100" t="inlineStr">
        <is>
          <t>Max Francis</t>
        </is>
      </c>
      <c r="C100" t="inlineStr">
        <is>
          <t>Salisbury Road and Mountain CC</t>
        </is>
      </c>
      <c r="D100" t="inlineStr">
        <is>
          <t>18</t>
        </is>
      </c>
      <c r="E100">
        <f>HYPERLINK("https://www.britishcycling.org.uk/points?person_id=233626&amp;year=2021&amp;type=national&amp;d=6","Results")</f>
        <v/>
      </c>
    </row>
    <row r="101">
      <c r="A101" t="inlineStr">
        <is>
          <t>100</t>
        </is>
      </c>
      <c r="B101" t="inlineStr">
        <is>
          <t>Nathan Hardy</t>
        </is>
      </c>
      <c r="C101" t="inlineStr">
        <is>
          <t>Tofauti Everyone Active</t>
        </is>
      </c>
      <c r="D101" t="inlineStr">
        <is>
          <t>18</t>
        </is>
      </c>
      <c r="E101">
        <f>HYPERLINK("https://www.britishcycling.org.uk/points?person_id=293404&amp;year=2021&amp;type=national&amp;d=6","Results")</f>
        <v/>
      </c>
    </row>
    <row r="102">
      <c r="A102" t="inlineStr">
        <is>
          <t>101</t>
        </is>
      </c>
      <c r="B102" t="inlineStr">
        <is>
          <t>Finlay Webb</t>
        </is>
      </c>
      <c r="C102" t="inlineStr">
        <is>
          <t>Exeter Wheelers</t>
        </is>
      </c>
      <c r="D102" t="inlineStr">
        <is>
          <t>18</t>
        </is>
      </c>
      <c r="E102">
        <f>HYPERLINK("https://www.britishcycling.org.uk/points?person_id=272392&amp;year=2021&amp;type=national&amp;d=6","Results")</f>
        <v/>
      </c>
    </row>
    <row r="103">
      <c r="A103" t="inlineStr">
        <is>
          <t>102</t>
        </is>
      </c>
      <c r="B103" t="inlineStr">
        <is>
          <t>Michael Wright</t>
        </is>
      </c>
      <c r="C103" t="inlineStr">
        <is>
          <t>Abergavenny Road Club</t>
        </is>
      </c>
      <c r="D103" t="inlineStr">
        <is>
          <t>18</t>
        </is>
      </c>
      <c r="E103">
        <f>HYPERLINK("https://www.britishcycling.org.uk/points?person_id=623795&amp;year=2021&amp;type=national&amp;d=6","Results")</f>
        <v/>
      </c>
    </row>
    <row r="104">
      <c r="A104" t="inlineStr">
        <is>
          <t>103</t>
        </is>
      </c>
      <c r="B104" t="inlineStr">
        <is>
          <t>Jasper Dilks</t>
        </is>
      </c>
      <c r="C104" t="inlineStr">
        <is>
          <t>Cycle Derby CC</t>
        </is>
      </c>
      <c r="D104" t="inlineStr">
        <is>
          <t>17</t>
        </is>
      </c>
      <c r="E104">
        <f>HYPERLINK("https://www.britishcycling.org.uk/points?person_id=378832&amp;year=2021&amp;type=national&amp;d=6","Results")</f>
        <v/>
      </c>
    </row>
    <row r="105">
      <c r="A105" t="inlineStr">
        <is>
          <t>104</t>
        </is>
      </c>
      <c r="B105" t="inlineStr">
        <is>
          <t>John Appleby</t>
        </is>
      </c>
      <c r="C105" t="inlineStr">
        <is>
          <t>Pro Vision</t>
        </is>
      </c>
      <c r="D105" t="inlineStr">
        <is>
          <t>16</t>
        </is>
      </c>
      <c r="E105">
        <f>HYPERLINK("https://www.britishcycling.org.uk/points?person_id=382573&amp;year=2021&amp;type=national&amp;d=6","Results")</f>
        <v/>
      </c>
    </row>
    <row r="106">
      <c r="A106" t="inlineStr">
        <is>
          <t>105</t>
        </is>
      </c>
      <c r="B106" t="inlineStr">
        <is>
          <t>Dan Galpin</t>
        </is>
      </c>
      <c r="C106" t="inlineStr">
        <is>
          <t>Bourne Whls CC</t>
        </is>
      </c>
      <c r="D106" t="inlineStr">
        <is>
          <t>16</t>
        </is>
      </c>
      <c r="E106">
        <f>HYPERLINK("https://www.britishcycling.org.uk/points?person_id=181414&amp;year=2021&amp;type=national&amp;d=6","Results")</f>
        <v/>
      </c>
    </row>
    <row r="107">
      <c r="A107" t="inlineStr">
        <is>
          <t>106</t>
        </is>
      </c>
      <c r="B107" t="inlineStr">
        <is>
          <t>Callum Start</t>
        </is>
      </c>
      <c r="C107" t="inlineStr">
        <is>
          <t>Mid Devon CC</t>
        </is>
      </c>
      <c r="D107" t="inlineStr">
        <is>
          <t>16</t>
        </is>
      </c>
      <c r="E107">
        <f>HYPERLINK("https://www.britishcycling.org.uk/points?person_id=251441&amp;year=2021&amp;type=national&amp;d=6","Results")</f>
        <v/>
      </c>
    </row>
    <row r="108">
      <c r="A108" t="inlineStr">
        <is>
          <t>107</t>
        </is>
      </c>
      <c r="B108" t="inlineStr">
        <is>
          <t>Conor Williams</t>
        </is>
      </c>
      <c r="C108" t="inlineStr">
        <is>
          <t>VC Londres</t>
        </is>
      </c>
      <c r="D108" t="inlineStr">
        <is>
          <t>16</t>
        </is>
      </c>
      <c r="E108">
        <f>HYPERLINK("https://www.britishcycling.org.uk/points?person_id=757463&amp;year=2021&amp;type=national&amp;d=6","Results")</f>
        <v/>
      </c>
    </row>
    <row r="109">
      <c r="A109" t="inlineStr">
        <is>
          <t>108</t>
        </is>
      </c>
      <c r="B109" t="inlineStr">
        <is>
          <t>Frederick Barlow</t>
        </is>
      </c>
      <c r="C109" t="inlineStr">
        <is>
          <t>Lee Valley Youth Cycling Club</t>
        </is>
      </c>
      <c r="D109" t="inlineStr">
        <is>
          <t>15</t>
        </is>
      </c>
      <c r="E109">
        <f>HYPERLINK("https://www.britishcycling.org.uk/points?person_id=616875&amp;year=2021&amp;type=national&amp;d=6","Results")</f>
        <v/>
      </c>
    </row>
    <row r="110">
      <c r="A110" t="inlineStr">
        <is>
          <t>109</t>
        </is>
      </c>
      <c r="B110" t="inlineStr">
        <is>
          <t>Cody Lee</t>
        </is>
      </c>
      <c r="C110" t="inlineStr">
        <is>
          <t>Hetton Hawks Cycling Club</t>
        </is>
      </c>
      <c r="D110" t="inlineStr">
        <is>
          <t>15</t>
        </is>
      </c>
      <c r="E110">
        <f>HYPERLINK("https://www.britishcycling.org.uk/points?person_id=320148&amp;year=2021&amp;type=national&amp;d=6","Results")</f>
        <v/>
      </c>
    </row>
    <row r="111">
      <c r="A111" t="inlineStr">
        <is>
          <t>110</t>
        </is>
      </c>
      <c r="B111" t="inlineStr">
        <is>
          <t>Benjamin Tuchner</t>
        </is>
      </c>
      <c r="C111" t="inlineStr">
        <is>
          <t>TEKKERZ CC</t>
        </is>
      </c>
      <c r="D111" t="inlineStr">
        <is>
          <t>15</t>
        </is>
      </c>
      <c r="E111">
        <f>HYPERLINK("https://www.britishcycling.org.uk/points?person_id=381657&amp;year=2021&amp;type=national&amp;d=6","Results")</f>
        <v/>
      </c>
    </row>
    <row r="112">
      <c r="A112" t="inlineStr">
        <is>
          <t>111</t>
        </is>
      </c>
      <c r="B112" t="inlineStr">
        <is>
          <t>Matthew Jordan</t>
        </is>
      </c>
      <c r="C112" t="inlineStr">
        <is>
          <t>Solihull CC</t>
        </is>
      </c>
      <c r="D112" t="inlineStr">
        <is>
          <t>14</t>
        </is>
      </c>
      <c r="E112">
        <f>HYPERLINK("https://www.britishcycling.org.uk/points?person_id=520346&amp;year=2021&amp;type=national&amp;d=6","Results")</f>
        <v/>
      </c>
    </row>
    <row r="113">
      <c r="A113" t="inlineStr">
        <is>
          <t>112</t>
        </is>
      </c>
      <c r="B113" t="inlineStr">
        <is>
          <t>Michael Carter</t>
        </is>
      </c>
      <c r="C113" t="inlineStr">
        <is>
          <t>Rockingham Forest Whls</t>
        </is>
      </c>
      <c r="D113" t="inlineStr">
        <is>
          <t>13</t>
        </is>
      </c>
      <c r="E113">
        <f>HYPERLINK("https://www.britishcycling.org.uk/points?person_id=602411&amp;year=2021&amp;type=national&amp;d=6","Results")</f>
        <v/>
      </c>
    </row>
    <row r="114">
      <c r="A114" t="inlineStr">
        <is>
          <t>113</t>
        </is>
      </c>
      <c r="B114" t="inlineStr">
        <is>
          <t>Thomas Prince</t>
        </is>
      </c>
      <c r="C114" t="inlineStr">
        <is>
          <t>Ilkeston Cycle Club</t>
        </is>
      </c>
      <c r="D114" t="inlineStr">
        <is>
          <t>13</t>
        </is>
      </c>
      <c r="E114">
        <f>HYPERLINK("https://www.britishcycling.org.uk/points?person_id=276793&amp;year=2021&amp;type=national&amp;d=6","Results")</f>
        <v/>
      </c>
    </row>
    <row r="115">
      <c r="A115" t="inlineStr">
        <is>
          <t>114</t>
        </is>
      </c>
      <c r="B115" t="inlineStr">
        <is>
          <t>William Simons</t>
        </is>
      </c>
      <c r="C115" t="inlineStr">
        <is>
          <t>Halesowen A &amp; CC</t>
        </is>
      </c>
      <c r="D115" t="inlineStr">
        <is>
          <t>13</t>
        </is>
      </c>
      <c r="E115">
        <f>HYPERLINK("https://www.britishcycling.org.uk/points?person_id=549000&amp;year=2021&amp;type=national&amp;d=6","Results")</f>
        <v/>
      </c>
    </row>
    <row r="116">
      <c r="A116" t="inlineStr">
        <is>
          <t>115</t>
        </is>
      </c>
      <c r="B116" t="inlineStr">
        <is>
          <t>Daniel Bentley</t>
        </is>
      </c>
      <c r="C116" t="inlineStr">
        <is>
          <t>East Bradford CC</t>
        </is>
      </c>
      <c r="D116" t="inlineStr">
        <is>
          <t>12</t>
        </is>
      </c>
      <c r="E116">
        <f>HYPERLINK("https://www.britishcycling.org.uk/points?person_id=177662&amp;year=2021&amp;type=national&amp;d=6","Results")</f>
        <v/>
      </c>
    </row>
    <row r="117">
      <c r="A117" t="inlineStr">
        <is>
          <t>116</t>
        </is>
      </c>
      <c r="B117" t="inlineStr">
        <is>
          <t>Ethan Griffiths</t>
        </is>
      </c>
      <c r="C117" t="inlineStr">
        <is>
          <t>Red Rose Olympic CC</t>
        </is>
      </c>
      <c r="D117" t="inlineStr">
        <is>
          <t>12</t>
        </is>
      </c>
      <c r="E117">
        <f>HYPERLINK("https://www.britishcycling.org.uk/points?person_id=467460&amp;year=2021&amp;type=national&amp;d=6","Results")</f>
        <v/>
      </c>
    </row>
    <row r="118">
      <c r="A118" t="inlineStr">
        <is>
          <t>117</t>
        </is>
      </c>
      <c r="B118" t="inlineStr">
        <is>
          <t>Benjamin Kerry</t>
        </is>
      </c>
      <c r="C118" t="inlineStr">
        <is>
          <t>Fossa Racing</t>
        </is>
      </c>
      <c r="D118" t="inlineStr">
        <is>
          <t>12</t>
        </is>
      </c>
      <c r="E118">
        <f>HYPERLINK("https://www.britishcycling.org.uk/points?person_id=525934&amp;year=2021&amp;type=national&amp;d=6","Results")</f>
        <v/>
      </c>
    </row>
    <row r="119">
      <c r="A119" t="inlineStr">
        <is>
          <t>118</t>
        </is>
      </c>
      <c r="B119" t="inlineStr">
        <is>
          <t>Akhil Kolnaty</t>
        </is>
      </c>
      <c r="C119" t="inlineStr">
        <is>
          <t>Solihull CC</t>
        </is>
      </c>
      <c r="D119" t="inlineStr">
        <is>
          <t>12</t>
        </is>
      </c>
      <c r="E119">
        <f>HYPERLINK("https://www.britishcycling.org.uk/points?person_id=473924&amp;year=2021&amp;type=national&amp;d=6","Results")</f>
        <v/>
      </c>
    </row>
    <row r="120">
      <c r="A120" t="inlineStr">
        <is>
          <t>119</t>
        </is>
      </c>
      <c r="B120" t="inlineStr">
        <is>
          <t>Connor Wilkinson</t>
        </is>
      </c>
      <c r="C120" t="inlineStr">
        <is>
          <t>Boston Whls CC</t>
        </is>
      </c>
      <c r="D120" t="inlineStr">
        <is>
          <t>12</t>
        </is>
      </c>
      <c r="E120">
        <f>HYPERLINK("https://www.britishcycling.org.uk/points?person_id=318352&amp;year=2021&amp;type=national&amp;d=6","Results")</f>
        <v/>
      </c>
    </row>
    <row r="121">
      <c r="A121" t="inlineStr">
        <is>
          <t>120</t>
        </is>
      </c>
      <c r="B121" t="inlineStr">
        <is>
          <t>Lewis Dey</t>
        </is>
      </c>
      <c r="C121" t="inlineStr">
        <is>
          <t>Forres CC</t>
        </is>
      </c>
      <c r="D121" t="inlineStr">
        <is>
          <t>11</t>
        </is>
      </c>
      <c r="E121">
        <f>HYPERLINK("https://www.britishcycling.org.uk/points?person_id=756132&amp;year=2021&amp;type=national&amp;d=6","Results")</f>
        <v/>
      </c>
    </row>
    <row r="122">
      <c r="A122" t="inlineStr">
        <is>
          <t>121</t>
        </is>
      </c>
      <c r="B122" t="inlineStr">
        <is>
          <t>Gil Grayson</t>
        </is>
      </c>
      <c r="C122" t="inlineStr">
        <is>
          <t>Tuxford Clarion CC</t>
        </is>
      </c>
      <c r="D122" t="inlineStr">
        <is>
          <t>11</t>
        </is>
      </c>
      <c r="E122">
        <f>HYPERLINK("https://www.britishcycling.org.uk/points?person_id=991981&amp;year=2021&amp;type=national&amp;d=6","Results")</f>
        <v/>
      </c>
    </row>
    <row r="123">
      <c r="A123" t="inlineStr">
        <is>
          <t>122</t>
        </is>
      </c>
      <c r="B123" t="inlineStr">
        <is>
          <t>Joshua Williams</t>
        </is>
      </c>
      <c r="C123" t="inlineStr">
        <is>
          <t>Peak Rides C.C</t>
        </is>
      </c>
      <c r="D123" t="inlineStr">
        <is>
          <t>11</t>
        </is>
      </c>
      <c r="E123">
        <f>HYPERLINK("https://www.britishcycling.org.uk/points?person_id=572130&amp;year=2021&amp;type=national&amp;d=6","Results")</f>
        <v/>
      </c>
    </row>
    <row r="124">
      <c r="A124" t="inlineStr">
        <is>
          <t>123</t>
        </is>
      </c>
      <c r="B124" t="inlineStr">
        <is>
          <t>Louis Boulton</t>
        </is>
      </c>
      <c r="C124" t="inlineStr">
        <is>
          <t>VC Jubilee</t>
        </is>
      </c>
      <c r="D124" t="inlineStr">
        <is>
          <t>10</t>
        </is>
      </c>
      <c r="E124">
        <f>HYPERLINK("https://www.britishcycling.org.uk/points?person_id=427670&amp;year=2021&amp;type=national&amp;d=6","Results")</f>
        <v/>
      </c>
    </row>
    <row r="125">
      <c r="A125" t="inlineStr">
        <is>
          <t>124</t>
        </is>
      </c>
      <c r="B125" t="inlineStr">
        <is>
          <t>Matthew Calvert</t>
        </is>
      </c>
      <c r="C125" t="inlineStr">
        <is>
          <t>Matlock CC</t>
        </is>
      </c>
      <c r="D125" t="inlineStr">
        <is>
          <t>10</t>
        </is>
      </c>
      <c r="E125">
        <f>HYPERLINK("https://www.britishcycling.org.uk/points?person_id=842384&amp;year=2021&amp;type=national&amp;d=6","Results")</f>
        <v/>
      </c>
    </row>
    <row r="126">
      <c r="A126" t="inlineStr">
        <is>
          <t>125</t>
        </is>
      </c>
      <c r="B126" t="inlineStr">
        <is>
          <t>Ryan Downes</t>
        </is>
      </c>
      <c r="C126" t="inlineStr">
        <is>
          <t>Ribble Valley Juniors CC</t>
        </is>
      </c>
      <c r="D126" t="inlineStr">
        <is>
          <t>10</t>
        </is>
      </c>
      <c r="E126">
        <f>HYPERLINK("https://www.britishcycling.org.uk/points?person_id=652969&amp;year=2021&amp;type=national&amp;d=6","Results")</f>
        <v/>
      </c>
    </row>
    <row r="127">
      <c r="A127" t="inlineStr">
        <is>
          <t>126</t>
        </is>
      </c>
      <c r="B127" t="inlineStr">
        <is>
          <t>Archie Ellen</t>
        </is>
      </c>
      <c r="C127" t="inlineStr">
        <is>
          <t>The Cycling Academy</t>
        </is>
      </c>
      <c r="D127" t="inlineStr">
        <is>
          <t>10</t>
        </is>
      </c>
      <c r="E127">
        <f>HYPERLINK("https://www.britishcycling.org.uk/points?person_id=234721&amp;year=2021&amp;type=national&amp;d=6","Results")</f>
        <v/>
      </c>
    </row>
    <row r="128">
      <c r="A128" t="inlineStr">
        <is>
          <t>127</t>
        </is>
      </c>
      <c r="B128" t="inlineStr">
        <is>
          <t>Robert Henry</t>
        </is>
      </c>
      <c r="C128" t="inlineStr">
        <is>
          <t>Strada 2020</t>
        </is>
      </c>
      <c r="D128" t="inlineStr">
        <is>
          <t>10</t>
        </is>
      </c>
      <c r="E128">
        <f>HYPERLINK("https://www.britishcycling.org.uk/points?person_id=981204&amp;year=2021&amp;type=national&amp;d=6","Results")</f>
        <v/>
      </c>
    </row>
    <row r="129">
      <c r="A129" t="inlineStr">
        <is>
          <t>128</t>
        </is>
      </c>
      <c r="B129" t="inlineStr">
        <is>
          <t>Oscar Hoult</t>
        </is>
      </c>
      <c r="C129" t="inlineStr">
        <is>
          <t>Velo Club Venta</t>
        </is>
      </c>
      <c r="D129" t="inlineStr">
        <is>
          <t>10</t>
        </is>
      </c>
      <c r="E129">
        <f>HYPERLINK("https://www.britishcycling.org.uk/points?person_id=1003145&amp;year=2021&amp;type=national&amp;d=6","Results")</f>
        <v/>
      </c>
    </row>
    <row r="130">
      <c r="A130" t="inlineStr">
        <is>
          <t>129</t>
        </is>
      </c>
      <c r="B130" t="inlineStr">
        <is>
          <t>Dylan Humber-Kelly</t>
        </is>
      </c>
      <c r="C130" t="inlineStr">
        <is>
          <t>VC Deal</t>
        </is>
      </c>
      <c r="D130" t="inlineStr">
        <is>
          <t>10</t>
        </is>
      </c>
      <c r="E130">
        <f>HYPERLINK("https://www.britishcycling.org.uk/points?person_id=750300&amp;year=2021&amp;type=national&amp;d=6","Results")</f>
        <v/>
      </c>
    </row>
    <row r="131">
      <c r="A131" t="inlineStr">
        <is>
          <t>130</t>
        </is>
      </c>
      <c r="B131" t="inlineStr">
        <is>
          <t>Ben McMullen</t>
        </is>
      </c>
      <c r="C131" t="inlineStr">
        <is>
          <t>The Cycling Academy</t>
        </is>
      </c>
      <c r="D131" t="inlineStr">
        <is>
          <t>10</t>
        </is>
      </c>
      <c r="E131">
        <f>HYPERLINK("https://www.britishcycling.org.uk/points?person_id=299512&amp;year=2021&amp;type=national&amp;d=6","Results")</f>
        <v/>
      </c>
    </row>
    <row r="132">
      <c r="A132" t="inlineStr">
        <is>
          <t>131</t>
        </is>
      </c>
      <c r="B132" t="inlineStr">
        <is>
          <t>Jake Manning</t>
        </is>
      </c>
      <c r="C132" t="inlineStr">
        <is>
          <t>Welwyn Wheelers CC</t>
        </is>
      </c>
      <c r="D132" t="inlineStr">
        <is>
          <t>9</t>
        </is>
      </c>
      <c r="E132">
        <f>HYPERLINK("https://www.britishcycling.org.uk/points?person_id=302272&amp;year=2021&amp;type=national&amp;d=6","Results")</f>
        <v/>
      </c>
    </row>
    <row r="133">
      <c r="A133" t="inlineStr">
        <is>
          <t>132</t>
        </is>
      </c>
      <c r="B133" t="inlineStr">
        <is>
          <t>Billy Reed</t>
        </is>
      </c>
      <c r="C133" t="inlineStr">
        <is>
          <t>Origin Race Team</t>
        </is>
      </c>
      <c r="D133" t="inlineStr">
        <is>
          <t>9</t>
        </is>
      </c>
      <c r="E133">
        <f>HYPERLINK("https://www.britishcycling.org.uk/points?person_id=403973&amp;year=2021&amp;type=national&amp;d=6","Results")</f>
        <v/>
      </c>
    </row>
    <row r="134">
      <c r="A134" t="inlineStr">
        <is>
          <t>133</t>
        </is>
      </c>
      <c r="B134" t="inlineStr">
        <is>
          <t>Ethan Stevenson</t>
        </is>
      </c>
      <c r="C134" t="inlineStr">
        <is>
          <t>Team Milton Keynes</t>
        </is>
      </c>
      <c r="D134" t="inlineStr">
        <is>
          <t>9</t>
        </is>
      </c>
      <c r="E134">
        <f>HYPERLINK("https://www.britishcycling.org.uk/points?person_id=252748&amp;year=2021&amp;type=national&amp;d=6","Results")</f>
        <v/>
      </c>
    </row>
    <row r="135">
      <c r="A135" t="inlineStr">
        <is>
          <t>134</t>
        </is>
      </c>
      <c r="B135" t="inlineStr">
        <is>
          <t>Thomas Taylor</t>
        </is>
      </c>
      <c r="C135" t="inlineStr">
        <is>
          <t>Avid Sport</t>
        </is>
      </c>
      <c r="D135" t="inlineStr">
        <is>
          <t>9</t>
        </is>
      </c>
      <c r="E135">
        <f>HYPERLINK("https://www.britishcycling.org.uk/points?person_id=185962&amp;year=2021&amp;type=national&amp;d=6","Results")</f>
        <v/>
      </c>
    </row>
    <row r="136">
      <c r="A136" t="inlineStr">
        <is>
          <t>135</t>
        </is>
      </c>
      <c r="B136" t="inlineStr">
        <is>
          <t>Thomas Williams</t>
        </is>
      </c>
      <c r="C136" t="inlineStr">
        <is>
          <t>Lincoln Wheelers CC</t>
        </is>
      </c>
      <c r="D136" t="inlineStr">
        <is>
          <t>9</t>
        </is>
      </c>
      <c r="E136">
        <f>HYPERLINK("https://www.britishcycling.org.uk/points?person_id=630212&amp;year=2021&amp;type=national&amp;d=6","Results")</f>
        <v/>
      </c>
    </row>
    <row r="137">
      <c r="A137" t="inlineStr">
        <is>
          <t>136</t>
        </is>
      </c>
      <c r="B137" t="inlineStr">
        <is>
          <t>Iago Williams</t>
        </is>
      </c>
      <c r="C137" t="inlineStr">
        <is>
          <t>Towy Riders</t>
        </is>
      </c>
      <c r="D137" t="inlineStr">
        <is>
          <t>9</t>
        </is>
      </c>
      <c r="E137">
        <f>HYPERLINK("https://www.britishcycling.org.uk/points?person_id=650342&amp;year=2021&amp;type=national&amp;d=6","Results")</f>
        <v/>
      </c>
    </row>
    <row r="138">
      <c r="A138" t="inlineStr">
        <is>
          <t>137</t>
        </is>
      </c>
      <c r="B138" t="inlineStr">
        <is>
          <t>Harvey Young</t>
        </is>
      </c>
      <c r="C138" t="inlineStr">
        <is>
          <t>Orwell Velo</t>
        </is>
      </c>
      <c r="D138" t="inlineStr">
        <is>
          <t>9</t>
        </is>
      </c>
      <c r="E138">
        <f>HYPERLINK("https://www.britishcycling.org.uk/points?person_id=688349&amp;year=2021&amp;type=national&amp;d=6","Results")</f>
        <v/>
      </c>
    </row>
    <row r="139">
      <c r="A139" t="inlineStr">
        <is>
          <t>138</t>
        </is>
      </c>
      <c r="B139" t="inlineStr">
        <is>
          <t>Cameron Hansell</t>
        </is>
      </c>
      <c r="C139" t="inlineStr">
        <is>
          <t>Strada 2020</t>
        </is>
      </c>
      <c r="D139" t="inlineStr">
        <is>
          <t>8</t>
        </is>
      </c>
      <c r="E139">
        <f>HYPERLINK("https://www.britishcycling.org.uk/points?person_id=564919&amp;year=2021&amp;type=national&amp;d=6","Results")</f>
        <v/>
      </c>
    </row>
    <row r="140">
      <c r="A140" t="inlineStr">
        <is>
          <t>139</t>
        </is>
      </c>
      <c r="B140" t="inlineStr">
        <is>
          <t>Campbell Mackintosh</t>
        </is>
      </c>
      <c r="C140" t="inlineStr">
        <is>
          <t>Nevis Cycles Racing Team</t>
        </is>
      </c>
      <c r="D140" t="inlineStr">
        <is>
          <t>8</t>
        </is>
      </c>
      <c r="E140">
        <f>HYPERLINK("https://www.britishcycling.org.uk/points?person_id=669702&amp;year=2021&amp;type=national&amp;d=6","Results")</f>
        <v/>
      </c>
    </row>
    <row r="141">
      <c r="A141" t="inlineStr">
        <is>
          <t>140</t>
        </is>
      </c>
      <c r="B141" t="inlineStr">
        <is>
          <t>Gregor Mcphaden</t>
        </is>
      </c>
      <c r="C141" t="inlineStr">
        <is>
          <t>West Lothian Clarion CC</t>
        </is>
      </c>
      <c r="D141" t="inlineStr">
        <is>
          <t>8</t>
        </is>
      </c>
      <c r="E141">
        <f>HYPERLINK("https://www.britishcycling.org.uk/points?person_id=770427&amp;year=2021&amp;type=national&amp;d=6","Results")</f>
        <v/>
      </c>
    </row>
    <row r="142">
      <c r="A142" t="inlineStr">
        <is>
          <t>141</t>
        </is>
      </c>
      <c r="B142" t="inlineStr">
        <is>
          <t>Daniel Armstrong</t>
        </is>
      </c>
      <c r="C142" t="inlineStr">
        <is>
          <t>JRC-INTERFLON Race Team</t>
        </is>
      </c>
      <c r="D142" t="inlineStr">
        <is>
          <t>7</t>
        </is>
      </c>
      <c r="E142">
        <f>HYPERLINK("https://www.britishcycling.org.uk/points?person_id=730644&amp;year=2021&amp;type=national&amp;d=6","Results")</f>
        <v/>
      </c>
    </row>
    <row r="143">
      <c r="A143" t="inlineStr">
        <is>
          <t>142</t>
        </is>
      </c>
      <c r="B143" t="inlineStr">
        <is>
          <t>Cai Curtis-Roberts</t>
        </is>
      </c>
      <c r="C143" t="inlineStr">
        <is>
          <t>Rhyl Cycling Club</t>
        </is>
      </c>
      <c r="D143" t="inlineStr">
        <is>
          <t>7</t>
        </is>
      </c>
      <c r="E143">
        <f>HYPERLINK("https://www.britishcycling.org.uk/points?person_id=775131&amp;year=2021&amp;type=national&amp;d=6","Results")</f>
        <v/>
      </c>
    </row>
    <row r="144">
      <c r="A144" t="inlineStr">
        <is>
          <t>143</t>
        </is>
      </c>
      <c r="B144" t="inlineStr">
        <is>
          <t>Thomas Dixon</t>
        </is>
      </c>
      <c r="C144" t="inlineStr">
        <is>
          <t>Welland Valley CC</t>
        </is>
      </c>
      <c r="D144" t="inlineStr">
        <is>
          <t>7</t>
        </is>
      </c>
      <c r="E144">
        <f>HYPERLINK("https://www.britishcycling.org.uk/points?person_id=116914&amp;year=2021&amp;type=national&amp;d=6","Results")</f>
        <v/>
      </c>
    </row>
    <row r="145">
      <c r="A145" t="inlineStr">
        <is>
          <t>144</t>
        </is>
      </c>
      <c r="B145" t="inlineStr">
        <is>
          <t>Harry Garfield</t>
        </is>
      </c>
      <c r="C145" t="inlineStr">
        <is>
          <t>Peterborough Cycling Club</t>
        </is>
      </c>
      <c r="D145" t="inlineStr">
        <is>
          <t>7</t>
        </is>
      </c>
      <c r="E145">
        <f>HYPERLINK("https://www.britishcycling.org.uk/points?person_id=197905&amp;year=2021&amp;type=national&amp;d=6","Results")</f>
        <v/>
      </c>
    </row>
    <row r="146">
      <c r="A146" t="inlineStr">
        <is>
          <t>145</t>
        </is>
      </c>
      <c r="B146" t="inlineStr">
        <is>
          <t>Christos Tzelis</t>
        </is>
      </c>
      <c r="C146" t="inlineStr">
        <is>
          <t>Ilkley Cycling Club</t>
        </is>
      </c>
      <c r="D146" t="inlineStr">
        <is>
          <t>7</t>
        </is>
      </c>
      <c r="E146">
        <f>HYPERLINK("https://www.britishcycling.org.uk/points?person_id=1016234&amp;year=2021&amp;type=national&amp;d=6","Results")</f>
        <v/>
      </c>
    </row>
    <row r="147">
      <c r="A147" t="inlineStr">
        <is>
          <t>146</t>
        </is>
      </c>
      <c r="B147" t="inlineStr">
        <is>
          <t>Henry Weaver</t>
        </is>
      </c>
      <c r="C147" t="inlineStr">
        <is>
          <t>Southborough &amp; District Whls</t>
        </is>
      </c>
      <c r="D147" t="inlineStr">
        <is>
          <t>7</t>
        </is>
      </c>
      <c r="E147">
        <f>HYPERLINK("https://www.britishcycling.org.uk/points?person_id=1003674&amp;year=2021&amp;type=national&amp;d=6","Results")</f>
        <v/>
      </c>
    </row>
    <row r="148">
      <c r="A148" t="inlineStr">
        <is>
          <t>147</t>
        </is>
      </c>
      <c r="B148" t="inlineStr">
        <is>
          <t>Alex Austin</t>
        </is>
      </c>
      <c r="C148" t="inlineStr">
        <is>
          <t>VC Deal</t>
        </is>
      </c>
      <c r="D148" t="inlineStr">
        <is>
          <t>6</t>
        </is>
      </c>
      <c r="E148">
        <f>HYPERLINK("https://www.britishcycling.org.uk/points?person_id=632651&amp;year=2021&amp;type=national&amp;d=6","Results")</f>
        <v/>
      </c>
    </row>
    <row r="149">
      <c r="A149" t="inlineStr">
        <is>
          <t>148</t>
        </is>
      </c>
      <c r="B149" t="inlineStr">
        <is>
          <t>Oliver Cassidy</t>
        </is>
      </c>
      <c r="C149" t="inlineStr">
        <is>
          <t>JRC-INTERFLON Race Team</t>
        </is>
      </c>
      <c r="D149" t="inlineStr">
        <is>
          <t>6</t>
        </is>
      </c>
      <c r="E149">
        <f>HYPERLINK("https://www.britishcycling.org.uk/points?person_id=705948&amp;year=2021&amp;type=national&amp;d=6","Results")</f>
        <v/>
      </c>
    </row>
    <row r="150">
      <c r="A150" t="inlineStr">
        <is>
          <t>149</t>
        </is>
      </c>
      <c r="B150" t="inlineStr">
        <is>
          <t>Zak Machin</t>
        </is>
      </c>
      <c r="C150" t="inlineStr">
        <is>
          <t>Cero - Cycle Division Racing Team</t>
        </is>
      </c>
      <c r="D150" t="inlineStr">
        <is>
          <t>6</t>
        </is>
      </c>
      <c r="E150">
        <f>HYPERLINK("https://www.britishcycling.org.uk/points?person_id=575012&amp;year=2021&amp;type=national&amp;d=6","Results")</f>
        <v/>
      </c>
    </row>
    <row r="151">
      <c r="A151" t="inlineStr">
        <is>
          <t>150</t>
        </is>
      </c>
      <c r="B151" t="inlineStr">
        <is>
          <t>Oscar Williams</t>
        </is>
      </c>
      <c r="C151" t="inlineStr"/>
      <c r="D151" t="inlineStr">
        <is>
          <t>6</t>
        </is>
      </c>
      <c r="E151">
        <f>HYPERLINK("https://www.britishcycling.org.uk/points?person_id=416842&amp;year=2021&amp;type=national&amp;d=6","Results")</f>
        <v/>
      </c>
    </row>
    <row r="152">
      <c r="A152" t="inlineStr">
        <is>
          <t>151</t>
        </is>
      </c>
      <c r="B152" t="inlineStr">
        <is>
          <t>Shrish Bakrania</t>
        </is>
      </c>
      <c r="C152" t="inlineStr">
        <is>
          <t>VC Londres</t>
        </is>
      </c>
      <c r="D152" t="inlineStr">
        <is>
          <t>5</t>
        </is>
      </c>
      <c r="E152">
        <f>HYPERLINK("https://www.britishcycling.org.uk/points?person_id=199063&amp;year=2021&amp;type=national&amp;d=6","Results")</f>
        <v/>
      </c>
    </row>
    <row r="153">
      <c r="A153" t="inlineStr">
        <is>
          <t>152</t>
        </is>
      </c>
      <c r="B153" t="inlineStr">
        <is>
          <t>Isaac Barton</t>
        </is>
      </c>
      <c r="C153" t="inlineStr">
        <is>
          <t>Ely &amp; District CC</t>
        </is>
      </c>
      <c r="D153" t="inlineStr">
        <is>
          <t>5</t>
        </is>
      </c>
      <c r="E153">
        <f>HYPERLINK("https://www.britishcycling.org.uk/points?person_id=538172&amp;year=2021&amp;type=national&amp;d=6","Results")</f>
        <v/>
      </c>
    </row>
    <row r="154">
      <c r="A154" t="inlineStr">
        <is>
          <t>153</t>
        </is>
      </c>
      <c r="B154" t="inlineStr">
        <is>
          <t>Pierre Botha</t>
        </is>
      </c>
      <c r="C154" t="inlineStr">
        <is>
          <t>Team Milton Keynes</t>
        </is>
      </c>
      <c r="D154" t="inlineStr">
        <is>
          <t>5</t>
        </is>
      </c>
      <c r="E154">
        <f>HYPERLINK("https://www.britishcycling.org.uk/points?person_id=331289&amp;year=2021&amp;type=national&amp;d=6","Results")</f>
        <v/>
      </c>
    </row>
    <row r="155">
      <c r="A155" t="inlineStr">
        <is>
          <t>154</t>
        </is>
      </c>
      <c r="B155" t="inlineStr">
        <is>
          <t>Shaun Duffield</t>
        </is>
      </c>
      <c r="C155" t="inlineStr">
        <is>
          <t>Mid Devon CC</t>
        </is>
      </c>
      <c r="D155" t="inlineStr">
        <is>
          <t>5</t>
        </is>
      </c>
      <c r="E155">
        <f>HYPERLINK("https://www.britishcycling.org.uk/points?person_id=217747&amp;year=2021&amp;type=national&amp;d=6","Results")</f>
        <v/>
      </c>
    </row>
    <row r="156">
      <c r="A156" t="inlineStr">
        <is>
          <t>155</t>
        </is>
      </c>
      <c r="B156" t="inlineStr">
        <is>
          <t>Ethan Rowell</t>
        </is>
      </c>
      <c r="C156" t="inlineStr">
        <is>
          <t>Foremost</t>
        </is>
      </c>
      <c r="D156" t="inlineStr">
        <is>
          <t>5</t>
        </is>
      </c>
      <c r="E156">
        <f>HYPERLINK("https://www.britishcycling.org.uk/points?person_id=685289&amp;year=2021&amp;type=national&amp;d=6","Results")</f>
        <v/>
      </c>
    </row>
    <row r="157">
      <c r="A157" t="inlineStr">
        <is>
          <t>156</t>
        </is>
      </c>
      <c r="B157" t="inlineStr">
        <is>
          <t>Sacha White</t>
        </is>
      </c>
      <c r="C157" t="inlineStr">
        <is>
          <t>WORX Factory Racing</t>
        </is>
      </c>
      <c r="D157" t="inlineStr">
        <is>
          <t>5</t>
        </is>
      </c>
      <c r="E157">
        <f>HYPERLINK("https://www.britishcycling.org.uk/points?person_id=629525&amp;year=2021&amp;type=national&amp;d=6","Results")</f>
        <v/>
      </c>
    </row>
    <row r="158">
      <c r="A158" t="inlineStr">
        <is>
          <t>157</t>
        </is>
      </c>
      <c r="B158" t="inlineStr">
        <is>
          <t>Ryan Williams</t>
        </is>
      </c>
      <c r="C158" t="inlineStr">
        <is>
          <t>Beeston Cycling Club</t>
        </is>
      </c>
      <c r="D158" t="inlineStr">
        <is>
          <t>5</t>
        </is>
      </c>
      <c r="E158">
        <f>HYPERLINK("https://www.britishcycling.org.uk/points?person_id=311554&amp;year=2021&amp;type=national&amp;d=6","Results")</f>
        <v/>
      </c>
    </row>
    <row r="159">
      <c r="A159" t="inlineStr">
        <is>
          <t>158</t>
        </is>
      </c>
      <c r="B159" t="inlineStr">
        <is>
          <t>Thomas Bardill</t>
        </is>
      </c>
      <c r="C159" t="inlineStr">
        <is>
          <t>Cycling Club Hackney</t>
        </is>
      </c>
      <c r="D159" t="inlineStr">
        <is>
          <t>4</t>
        </is>
      </c>
      <c r="E159">
        <f>HYPERLINK("https://www.britishcycling.org.uk/points?person_id=321242&amp;year=2021&amp;type=national&amp;d=6","Results")</f>
        <v/>
      </c>
    </row>
    <row r="160">
      <c r="A160" t="inlineStr">
        <is>
          <t>159</t>
        </is>
      </c>
      <c r="B160" t="inlineStr">
        <is>
          <t>Alexander Chastney</t>
        </is>
      </c>
      <c r="C160" t="inlineStr">
        <is>
          <t>North Walsham Velo</t>
        </is>
      </c>
      <c r="D160" t="inlineStr">
        <is>
          <t>4</t>
        </is>
      </c>
      <c r="E160">
        <f>HYPERLINK("https://www.britishcycling.org.uk/points?person_id=981980&amp;year=2021&amp;type=national&amp;d=6","Results")</f>
        <v/>
      </c>
    </row>
    <row r="161">
      <c r="A161" t="inlineStr">
        <is>
          <t>160</t>
        </is>
      </c>
      <c r="B161" t="inlineStr">
        <is>
          <t>Gruff Davies</t>
        </is>
      </c>
      <c r="C161" t="inlineStr"/>
      <c r="D161" t="inlineStr">
        <is>
          <t>4</t>
        </is>
      </c>
      <c r="E161">
        <f>HYPERLINK("https://www.britishcycling.org.uk/points?person_id=689241&amp;year=2021&amp;type=national&amp;d=6","Results")</f>
        <v/>
      </c>
    </row>
    <row r="162">
      <c r="A162" t="inlineStr">
        <is>
          <t>161</t>
        </is>
      </c>
      <c r="B162" t="inlineStr">
        <is>
          <t>Charlie Davis</t>
        </is>
      </c>
      <c r="C162" t="inlineStr">
        <is>
          <t>North Devon Wheelers</t>
        </is>
      </c>
      <c r="D162" t="inlineStr">
        <is>
          <t>4</t>
        </is>
      </c>
      <c r="E162">
        <f>HYPERLINK("https://www.britishcycling.org.uk/points?person_id=290686&amp;year=2021&amp;type=national&amp;d=6","Results")</f>
        <v/>
      </c>
    </row>
    <row r="163">
      <c r="A163" t="inlineStr">
        <is>
          <t>162</t>
        </is>
      </c>
      <c r="B163" t="inlineStr">
        <is>
          <t>Eben Haskel Hulley</t>
        </is>
      </c>
      <c r="C163" t="inlineStr">
        <is>
          <t>VC Londres</t>
        </is>
      </c>
      <c r="D163" t="inlineStr">
        <is>
          <t>4</t>
        </is>
      </c>
      <c r="E163">
        <f>HYPERLINK("https://www.britishcycling.org.uk/points?person_id=614607&amp;year=2021&amp;type=national&amp;d=6","Results")</f>
        <v/>
      </c>
    </row>
    <row r="164">
      <c r="A164" t="inlineStr">
        <is>
          <t>163</t>
        </is>
      </c>
      <c r="B164" t="inlineStr">
        <is>
          <t>Patrick Kilcullen</t>
        </is>
      </c>
      <c r="C164" t="inlineStr">
        <is>
          <t>Manilla Cycling</t>
        </is>
      </c>
      <c r="D164" t="inlineStr">
        <is>
          <t>4</t>
        </is>
      </c>
      <c r="E164">
        <f>HYPERLINK("https://www.britishcycling.org.uk/points?person_id=11604&amp;year=2021&amp;type=national&amp;d=6","Results")</f>
        <v/>
      </c>
    </row>
    <row r="165">
      <c r="A165" t="inlineStr">
        <is>
          <t>164</t>
        </is>
      </c>
      <c r="B165" t="inlineStr">
        <is>
          <t>Joel Maclean-Howell</t>
        </is>
      </c>
      <c r="C165" t="inlineStr"/>
      <c r="D165" t="inlineStr">
        <is>
          <t>4</t>
        </is>
      </c>
      <c r="E165">
        <f>HYPERLINK("https://www.britishcycling.org.uk/points?person_id=233844&amp;year=2021&amp;type=national&amp;d=6","Results")</f>
        <v/>
      </c>
    </row>
    <row r="166">
      <c r="A166" t="inlineStr">
        <is>
          <t>165</t>
        </is>
      </c>
      <c r="B166" t="inlineStr">
        <is>
          <t>Jake Rowell</t>
        </is>
      </c>
      <c r="C166" t="inlineStr">
        <is>
          <t>Wheal Velocity</t>
        </is>
      </c>
      <c r="D166" t="inlineStr">
        <is>
          <t>4</t>
        </is>
      </c>
      <c r="E166">
        <f>HYPERLINK("https://www.britishcycling.org.uk/points?person_id=565582&amp;year=2021&amp;type=national&amp;d=6","Results")</f>
        <v/>
      </c>
    </row>
    <row r="167">
      <c r="A167" t="inlineStr">
        <is>
          <t>166</t>
        </is>
      </c>
      <c r="B167" t="inlineStr">
        <is>
          <t>Oliver Tandy</t>
        </is>
      </c>
      <c r="C167" t="inlineStr">
        <is>
          <t>Solihull CC</t>
        </is>
      </c>
      <c r="D167" t="inlineStr">
        <is>
          <t>4</t>
        </is>
      </c>
      <c r="E167">
        <f>HYPERLINK("https://www.britishcycling.org.uk/points?person_id=222960&amp;year=2021&amp;type=national&amp;d=6","Results")</f>
        <v/>
      </c>
    </row>
    <row r="168">
      <c r="A168" t="inlineStr">
        <is>
          <t>167</t>
        </is>
      </c>
      <c r="B168" t="inlineStr">
        <is>
          <t>Toby Clayson</t>
        </is>
      </c>
      <c r="C168" t="inlineStr">
        <is>
          <t>VC Deal</t>
        </is>
      </c>
      <c r="D168" t="inlineStr">
        <is>
          <t>3</t>
        </is>
      </c>
      <c r="E168">
        <f>HYPERLINK("https://www.britishcycling.org.uk/points?person_id=431068&amp;year=2021&amp;type=national&amp;d=6","Results")</f>
        <v/>
      </c>
    </row>
    <row r="169">
      <c r="A169" t="inlineStr">
        <is>
          <t>168</t>
        </is>
      </c>
      <c r="B169" t="inlineStr">
        <is>
          <t>Antonio Conradie</t>
        </is>
      </c>
      <c r="C169" t="inlineStr">
        <is>
          <t>CC London</t>
        </is>
      </c>
      <c r="D169" t="inlineStr">
        <is>
          <t>3</t>
        </is>
      </c>
      <c r="E169">
        <f>HYPERLINK("https://www.britishcycling.org.uk/points?person_id=1026273&amp;year=2021&amp;type=national&amp;d=6","Results")</f>
        <v/>
      </c>
    </row>
    <row r="170">
      <c r="A170" t="inlineStr">
        <is>
          <t>169</t>
        </is>
      </c>
      <c r="B170" t="inlineStr">
        <is>
          <t>Mattie Dodd</t>
        </is>
      </c>
      <c r="C170" t="inlineStr">
        <is>
          <t>Backstedt Bike Performance RC</t>
        </is>
      </c>
      <c r="D170" t="inlineStr">
        <is>
          <t>3</t>
        </is>
      </c>
      <c r="E170">
        <f>HYPERLINK("https://www.britishcycling.org.uk/points?person_id=235768&amp;year=2021&amp;type=national&amp;d=6","Results")</f>
        <v/>
      </c>
    </row>
    <row r="171">
      <c r="A171" t="inlineStr">
        <is>
          <t>170</t>
        </is>
      </c>
      <c r="B171" t="inlineStr">
        <is>
          <t>Joshua Hemmings</t>
        </is>
      </c>
      <c r="C171" t="inlineStr">
        <is>
          <t>Verulam - reallymoving.com</t>
        </is>
      </c>
      <c r="D171" t="inlineStr">
        <is>
          <t>3</t>
        </is>
      </c>
      <c r="E171">
        <f>HYPERLINK("https://www.britishcycling.org.uk/points?person_id=948151&amp;year=2021&amp;type=national&amp;d=6","Results")</f>
        <v/>
      </c>
    </row>
    <row r="172">
      <c r="A172" t="inlineStr">
        <is>
          <t>171</t>
        </is>
      </c>
      <c r="B172" t="inlineStr">
        <is>
          <t>Daniel Holmes</t>
        </is>
      </c>
      <c r="C172" t="inlineStr">
        <is>
          <t>Derwentside CC</t>
        </is>
      </c>
      <c r="D172" t="inlineStr">
        <is>
          <t>3</t>
        </is>
      </c>
      <c r="E172">
        <f>HYPERLINK("https://www.britishcycling.org.uk/points?person_id=118024&amp;year=2021&amp;type=national&amp;d=6","Results")</f>
        <v/>
      </c>
    </row>
    <row r="173">
      <c r="A173" t="inlineStr">
        <is>
          <t>172</t>
        </is>
      </c>
      <c r="B173" t="inlineStr">
        <is>
          <t>Harry Jordan</t>
        </is>
      </c>
      <c r="C173" t="inlineStr">
        <is>
          <t>Otley CC</t>
        </is>
      </c>
      <c r="D173" t="inlineStr">
        <is>
          <t>3</t>
        </is>
      </c>
      <c r="E173">
        <f>HYPERLINK("https://www.britishcycling.org.uk/points?person_id=376344&amp;year=2021&amp;type=national&amp;d=6","Results")</f>
        <v/>
      </c>
    </row>
    <row r="174">
      <c r="A174" t="inlineStr">
        <is>
          <t>173</t>
        </is>
      </c>
      <c r="B174" t="inlineStr">
        <is>
          <t>Oliver Lyons</t>
        </is>
      </c>
      <c r="C174" t="inlineStr">
        <is>
          <t>Cycle Derby CC</t>
        </is>
      </c>
      <c r="D174" t="inlineStr">
        <is>
          <t>3</t>
        </is>
      </c>
      <c r="E174">
        <f>HYPERLINK("https://www.britishcycling.org.uk/points?person_id=466478&amp;year=2021&amp;type=national&amp;d=6","Results")</f>
        <v/>
      </c>
    </row>
    <row r="175">
      <c r="A175" t="inlineStr">
        <is>
          <t>174</t>
        </is>
      </c>
      <c r="B175" t="inlineStr">
        <is>
          <t>Archie McGrath</t>
        </is>
      </c>
      <c r="C175" t="inlineStr">
        <is>
          <t>Mid Devon CC</t>
        </is>
      </c>
      <c r="D175" t="inlineStr">
        <is>
          <t>3</t>
        </is>
      </c>
      <c r="E175">
        <f>HYPERLINK("https://www.britishcycling.org.uk/points?person_id=999884&amp;year=2021&amp;type=national&amp;d=6","Results")</f>
        <v/>
      </c>
    </row>
    <row r="176">
      <c r="A176" t="inlineStr">
        <is>
          <t>175</t>
        </is>
      </c>
      <c r="B176" t="inlineStr">
        <is>
          <t>Alexander Montero</t>
        </is>
      </c>
      <c r="C176" t="inlineStr">
        <is>
          <t>Lee Velo (South East London)</t>
        </is>
      </c>
      <c r="D176" t="inlineStr">
        <is>
          <t>3</t>
        </is>
      </c>
      <c r="E176">
        <f>HYPERLINK("https://www.britishcycling.org.uk/points?person_id=1011945&amp;year=2021&amp;type=national&amp;d=6","Results")</f>
        <v/>
      </c>
    </row>
    <row r="177">
      <c r="A177" t="inlineStr">
        <is>
          <t>176</t>
        </is>
      </c>
      <c r="B177" t="inlineStr">
        <is>
          <t>Adam Potter</t>
        </is>
      </c>
      <c r="C177" t="inlineStr">
        <is>
          <t>Pine Sport</t>
        </is>
      </c>
      <c r="D177" t="inlineStr">
        <is>
          <t>3</t>
        </is>
      </c>
      <c r="E177">
        <f>HYPERLINK("https://www.britishcycling.org.uk/points?person_id=206546&amp;year=2021&amp;type=national&amp;d=6","Results")</f>
        <v/>
      </c>
    </row>
    <row r="178">
      <c r="A178" t="inlineStr">
        <is>
          <t>177</t>
        </is>
      </c>
      <c r="B178" t="inlineStr">
        <is>
          <t>Elliot Roberts</t>
        </is>
      </c>
      <c r="C178" t="inlineStr">
        <is>
          <t>Malvern Cycle Sport</t>
        </is>
      </c>
      <c r="D178" t="inlineStr">
        <is>
          <t>3</t>
        </is>
      </c>
      <c r="E178">
        <f>HYPERLINK("https://www.britishcycling.org.uk/points?person_id=534618&amp;year=2021&amp;type=national&amp;d=6","Results")</f>
        <v/>
      </c>
    </row>
    <row r="179">
      <c r="A179" t="inlineStr">
        <is>
          <t>178</t>
        </is>
      </c>
      <c r="B179" t="inlineStr">
        <is>
          <t>Lewis Smith</t>
        </is>
      </c>
      <c r="C179" t="inlineStr">
        <is>
          <t>Calder Clarion CC</t>
        </is>
      </c>
      <c r="D179" t="inlineStr">
        <is>
          <t>3</t>
        </is>
      </c>
      <c r="E179">
        <f>HYPERLINK("https://www.britishcycling.org.uk/points?person_id=376296&amp;year=2021&amp;type=national&amp;d=6","Results")</f>
        <v/>
      </c>
    </row>
    <row r="180">
      <c r="A180" t="inlineStr">
        <is>
          <t>179</t>
        </is>
      </c>
      <c r="B180" t="inlineStr">
        <is>
          <t>Harry Akiens</t>
        </is>
      </c>
      <c r="C180" t="inlineStr">
        <is>
          <t>Hetton Hawks Cycling Club</t>
        </is>
      </c>
      <c r="D180" t="inlineStr">
        <is>
          <t>2</t>
        </is>
      </c>
      <c r="E180">
        <f>HYPERLINK("https://www.britishcycling.org.uk/points?person_id=566082&amp;year=2021&amp;type=national&amp;d=6","Results")</f>
        <v/>
      </c>
    </row>
    <row r="181">
      <c r="A181" t="inlineStr">
        <is>
          <t>180</t>
        </is>
      </c>
      <c r="B181" t="inlineStr">
        <is>
          <t>Charlie Boddice</t>
        </is>
      </c>
      <c r="C181" t="inlineStr">
        <is>
          <t>Success Cycling</t>
        </is>
      </c>
      <c r="D181" t="inlineStr">
        <is>
          <t>2</t>
        </is>
      </c>
      <c r="E181">
        <f>HYPERLINK("https://www.britishcycling.org.uk/points?person_id=404340&amp;year=2021&amp;type=national&amp;d=6","Results")</f>
        <v/>
      </c>
    </row>
    <row r="182">
      <c r="A182" t="inlineStr">
        <is>
          <t>181</t>
        </is>
      </c>
      <c r="B182" t="inlineStr">
        <is>
          <t>Archie Bracewell</t>
        </is>
      </c>
      <c r="C182" t="inlineStr">
        <is>
          <t>Cycle Club Ashwell (CCA)</t>
        </is>
      </c>
      <c r="D182" t="inlineStr">
        <is>
          <t>2</t>
        </is>
      </c>
      <c r="E182">
        <f>HYPERLINK("https://www.britishcycling.org.uk/points?person_id=218765&amp;year=2021&amp;type=national&amp;d=6","Results")</f>
        <v/>
      </c>
    </row>
    <row r="183">
      <c r="A183" t="inlineStr">
        <is>
          <t>182</t>
        </is>
      </c>
      <c r="B183" t="inlineStr">
        <is>
          <t>Harry Courtney</t>
        </is>
      </c>
      <c r="C183" t="inlineStr">
        <is>
          <t>Racing Metro 15</t>
        </is>
      </c>
      <c r="D183" t="inlineStr">
        <is>
          <t>2</t>
        </is>
      </c>
      <c r="E183">
        <f>HYPERLINK("https://www.britishcycling.org.uk/points?person_id=617065&amp;year=2021&amp;type=national&amp;d=6","Results")</f>
        <v/>
      </c>
    </row>
    <row r="184">
      <c r="A184" t="inlineStr">
        <is>
          <t>183</t>
        </is>
      </c>
      <c r="B184" t="inlineStr">
        <is>
          <t>Alex Franks</t>
        </is>
      </c>
      <c r="C184" t="inlineStr">
        <is>
          <t>Hillingdon Slipstreamers</t>
        </is>
      </c>
      <c r="D184" t="inlineStr">
        <is>
          <t>2</t>
        </is>
      </c>
      <c r="E184">
        <f>HYPERLINK("https://www.britishcycling.org.uk/points?person_id=254818&amp;year=2021&amp;type=national&amp;d=6","Results")</f>
        <v/>
      </c>
    </row>
    <row r="185">
      <c r="A185" t="inlineStr">
        <is>
          <t>184</t>
        </is>
      </c>
      <c r="B185" t="inlineStr">
        <is>
          <t>Scott Grylls</t>
        </is>
      </c>
      <c r="C185" t="inlineStr">
        <is>
          <t>Dartmoor Velo–CareControlSystems</t>
        </is>
      </c>
      <c r="D185" t="inlineStr">
        <is>
          <t>2</t>
        </is>
      </c>
      <c r="E185">
        <f>HYPERLINK("https://www.britishcycling.org.uk/points?person_id=1014156&amp;year=2021&amp;type=national&amp;d=6","Results")</f>
        <v/>
      </c>
    </row>
    <row r="186">
      <c r="A186" t="inlineStr">
        <is>
          <t>185</t>
        </is>
      </c>
      <c r="B186" t="inlineStr">
        <is>
          <t>Carwyn Hardiman</t>
        </is>
      </c>
      <c r="C186" t="inlineStr">
        <is>
          <t>The Bulls</t>
        </is>
      </c>
      <c r="D186" t="inlineStr">
        <is>
          <t>2</t>
        </is>
      </c>
      <c r="E186">
        <f>HYPERLINK("https://www.britishcycling.org.uk/points?person_id=538940&amp;year=2021&amp;type=national&amp;d=6","Results")</f>
        <v/>
      </c>
    </row>
    <row r="187">
      <c r="A187" t="inlineStr">
        <is>
          <t>186</t>
        </is>
      </c>
      <c r="B187" t="inlineStr">
        <is>
          <t>Billy Laight</t>
        </is>
      </c>
      <c r="C187" t="inlineStr">
        <is>
          <t>Velo Fixers</t>
        </is>
      </c>
      <c r="D187" t="inlineStr">
        <is>
          <t>2</t>
        </is>
      </c>
      <c r="E187">
        <f>HYPERLINK("https://www.britishcycling.org.uk/points?person_id=388661&amp;year=2021&amp;type=national&amp;d=6","Results")</f>
        <v/>
      </c>
    </row>
    <row r="188">
      <c r="A188" t="inlineStr">
        <is>
          <t>187</t>
        </is>
      </c>
      <c r="B188" t="inlineStr">
        <is>
          <t>Kristian Mitchell</t>
        </is>
      </c>
      <c r="C188" t="inlineStr">
        <is>
          <t>Great Blakenham CSC</t>
        </is>
      </c>
      <c r="D188" t="inlineStr">
        <is>
          <t>2</t>
        </is>
      </c>
      <c r="E188">
        <f>HYPERLINK("https://www.britishcycling.org.uk/points?person_id=172540&amp;year=2021&amp;type=national&amp;d=6","Results")</f>
        <v/>
      </c>
    </row>
    <row r="189">
      <c r="A189" t="inlineStr">
        <is>
          <t>188</t>
        </is>
      </c>
      <c r="B189" t="inlineStr">
        <is>
          <t>George Rivis</t>
        </is>
      </c>
      <c r="C189" t="inlineStr">
        <is>
          <t>Matlock CC</t>
        </is>
      </c>
      <c r="D189" t="inlineStr">
        <is>
          <t>2</t>
        </is>
      </c>
      <c r="E189">
        <f>HYPERLINK("https://www.britishcycling.org.uk/points?person_id=819553&amp;year=2021&amp;type=national&amp;d=6","Results")</f>
        <v/>
      </c>
    </row>
    <row r="190">
      <c r="A190" t="inlineStr">
        <is>
          <t>189</t>
        </is>
      </c>
      <c r="B190" t="inlineStr">
        <is>
          <t>Matthew Whitehouse</t>
        </is>
      </c>
      <c r="C190" t="inlineStr">
        <is>
          <t>Maindy Flyers CC</t>
        </is>
      </c>
      <c r="D190" t="inlineStr">
        <is>
          <t>2</t>
        </is>
      </c>
      <c r="E190">
        <f>HYPERLINK("https://www.britishcycling.org.uk/points?person_id=882860&amp;year=2021&amp;type=national&amp;d=6","Results")</f>
        <v/>
      </c>
    </row>
    <row r="191">
      <c r="A191" t="inlineStr">
        <is>
          <t>190</t>
        </is>
      </c>
      <c r="B191" t="inlineStr">
        <is>
          <t>Archie Atkinson</t>
        </is>
      </c>
      <c r="C191" t="inlineStr">
        <is>
          <t>Para-T</t>
        </is>
      </c>
      <c r="D191" t="inlineStr">
        <is>
          <t>1</t>
        </is>
      </c>
      <c r="E191">
        <f>HYPERLINK("https://www.britishcycling.org.uk/points?person_id=862035&amp;year=2021&amp;type=national&amp;d=6","Results")</f>
        <v/>
      </c>
    </row>
    <row r="192">
      <c r="A192" t="inlineStr">
        <is>
          <t>191</t>
        </is>
      </c>
      <c r="B192" t="inlineStr">
        <is>
          <t>Josh Crews</t>
        </is>
      </c>
      <c r="C192" t="inlineStr">
        <is>
          <t>Manchester Triathlon Club</t>
        </is>
      </c>
      <c r="D192" t="inlineStr">
        <is>
          <t>1</t>
        </is>
      </c>
      <c r="E192">
        <f>HYPERLINK("https://www.britishcycling.org.uk/points?person_id=977036&amp;year=2021&amp;type=national&amp;d=6","Results")</f>
        <v/>
      </c>
    </row>
    <row r="193">
      <c r="A193" t="inlineStr">
        <is>
          <t>192</t>
        </is>
      </c>
      <c r="B193" t="inlineStr">
        <is>
          <t>Kayden Davidson</t>
        </is>
      </c>
      <c r="C193" t="inlineStr">
        <is>
          <t>Team Andrew Allan Architecture</t>
        </is>
      </c>
      <c r="D193" t="inlineStr">
        <is>
          <t>1</t>
        </is>
      </c>
      <c r="E193">
        <f>HYPERLINK("https://www.britishcycling.org.uk/points?person_id=525779&amp;year=2021&amp;type=national&amp;d=6","Results")</f>
        <v/>
      </c>
    </row>
    <row r="194">
      <c r="A194" t="inlineStr">
        <is>
          <t>193</t>
        </is>
      </c>
      <c r="B194" t="inlineStr">
        <is>
          <t>Matthew Gilmour</t>
        </is>
      </c>
      <c r="C194" t="inlineStr">
        <is>
          <t>Velo Club Venta</t>
        </is>
      </c>
      <c r="D194" t="inlineStr">
        <is>
          <t>1</t>
        </is>
      </c>
      <c r="E194">
        <f>HYPERLINK("https://www.britishcycling.org.uk/points?person_id=532327&amp;year=2021&amp;type=national&amp;d=6","Results")</f>
        <v/>
      </c>
    </row>
    <row r="195">
      <c r="A195" t="inlineStr">
        <is>
          <t>194</t>
        </is>
      </c>
      <c r="B195" t="inlineStr">
        <is>
          <t>Lawrence Martindale</t>
        </is>
      </c>
      <c r="C195" t="inlineStr">
        <is>
          <t>Chippenham &amp; Dist Whls</t>
        </is>
      </c>
      <c r="D195" t="inlineStr">
        <is>
          <t>1</t>
        </is>
      </c>
      <c r="E195">
        <f>HYPERLINK("https://www.britishcycling.org.uk/points?person_id=313774&amp;year=2021&amp;type=national&amp;d=6","Results")</f>
        <v/>
      </c>
    </row>
    <row r="196">
      <c r="A196" t="inlineStr">
        <is>
          <t>195</t>
        </is>
      </c>
      <c r="B196" t="inlineStr">
        <is>
          <t>Charlie Neece</t>
        </is>
      </c>
      <c r="C196" t="inlineStr">
        <is>
          <t>Nottingham Clarion CC</t>
        </is>
      </c>
      <c r="D196" t="inlineStr">
        <is>
          <t>1</t>
        </is>
      </c>
      <c r="E196">
        <f>HYPERLINK("https://www.britishcycling.org.uk/points?person_id=445581&amp;year=2021&amp;type=national&amp;d=6","Results")</f>
        <v/>
      </c>
    </row>
    <row r="197">
      <c r="A197" t="inlineStr">
        <is>
          <t>196</t>
        </is>
      </c>
      <c r="B197" t="inlineStr">
        <is>
          <t>Alexander Robinson</t>
        </is>
      </c>
      <c r="C197" t="inlineStr">
        <is>
          <t>Clifton CC</t>
        </is>
      </c>
      <c r="D197" t="inlineStr">
        <is>
          <t>1</t>
        </is>
      </c>
      <c r="E197">
        <f>HYPERLINK("https://www.britishcycling.org.uk/points?person_id=554229&amp;year=2021&amp;type=national&amp;d=6","Results")</f>
        <v/>
      </c>
    </row>
    <row r="198">
      <c r="A198" t="inlineStr">
        <is>
          <t>197</t>
        </is>
      </c>
      <c r="B198" t="inlineStr">
        <is>
          <t>Felix Skelton</t>
        </is>
      </c>
      <c r="C198" t="inlineStr">
        <is>
          <t>Avid Sport</t>
        </is>
      </c>
      <c r="D198" t="inlineStr">
        <is>
          <t>1</t>
        </is>
      </c>
      <c r="E198">
        <f>HYPERLINK("https://www.britishcycling.org.uk/points?person_id=1009252&amp;year=2021&amp;type=national&amp;d=6","Results")</f>
        <v/>
      </c>
    </row>
    <row r="199">
      <c r="A199" t="inlineStr">
        <is>
          <t>198</t>
        </is>
      </c>
      <c r="B199" t="inlineStr">
        <is>
          <t>Jack Southcott</t>
        </is>
      </c>
      <c r="C199" t="inlineStr">
        <is>
          <t>ROTOR Race Team</t>
        </is>
      </c>
      <c r="D199" t="inlineStr">
        <is>
          <t>1</t>
        </is>
      </c>
      <c r="E199">
        <f>HYPERLINK("https://www.britishcycling.org.uk/points?person_id=347767&amp;year=2021&amp;type=national&amp;d=6","Results")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08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Thomas Pidcock</t>
        </is>
      </c>
      <c r="C2" t="inlineStr">
        <is>
          <t>Ineos Grenadiers</t>
        </is>
      </c>
      <c r="D2" t="inlineStr">
        <is>
          <t>1460</t>
        </is>
      </c>
      <c r="E2">
        <f>HYPERLINK("https://www.britishcycling.org.uk/points?person_id=43912&amp;year=2021&amp;type=national&amp;d=6","Results")</f>
        <v/>
      </c>
    </row>
    <row r="3">
      <c r="A3" t="inlineStr">
        <is>
          <t>2</t>
        </is>
      </c>
      <c r="B3" t="inlineStr">
        <is>
          <t>Cameron Mason</t>
        </is>
      </c>
      <c r="C3" t="inlineStr">
        <is>
          <t>TRINITY Road Racing</t>
        </is>
      </c>
      <c r="D3" t="inlineStr">
        <is>
          <t>1192</t>
        </is>
      </c>
      <c r="E3">
        <f>HYPERLINK("https://www.britishcycling.org.uk/points?person_id=124842&amp;year=2021&amp;type=national&amp;d=6","Results")</f>
        <v/>
      </c>
    </row>
    <row r="4">
      <c r="A4" t="inlineStr">
        <is>
          <t>3</t>
        </is>
      </c>
      <c r="B4" t="inlineStr">
        <is>
          <t>Joe Coukham</t>
        </is>
      </c>
      <c r="C4" t="inlineStr">
        <is>
          <t>Shibden Cycling Club</t>
        </is>
      </c>
      <c r="D4" t="inlineStr">
        <is>
          <t>898</t>
        </is>
      </c>
      <c r="E4">
        <f>HYPERLINK("https://www.britishcycling.org.uk/points?person_id=379662&amp;year=2021&amp;type=national&amp;d=6","Results")</f>
        <v/>
      </c>
    </row>
    <row r="5">
      <c r="A5" t="inlineStr">
        <is>
          <t>4</t>
        </is>
      </c>
      <c r="B5" t="inlineStr">
        <is>
          <t>Thomas Mein</t>
        </is>
      </c>
      <c r="C5" t="inlineStr">
        <is>
          <t>WiV Sungod</t>
        </is>
      </c>
      <c r="D5" t="inlineStr">
        <is>
          <t>754</t>
        </is>
      </c>
      <c r="E5">
        <f>HYPERLINK("https://www.britishcycling.org.uk/points?person_id=71625&amp;year=2021&amp;type=national&amp;d=6","Results")</f>
        <v/>
      </c>
    </row>
    <row r="6">
      <c r="A6" t="inlineStr">
        <is>
          <t>5</t>
        </is>
      </c>
      <c r="B6" t="inlineStr">
        <is>
          <t>Corran Carrick-Anderson</t>
        </is>
      </c>
      <c r="C6" t="inlineStr">
        <is>
          <t>T-Mo Racing</t>
        </is>
      </c>
      <c r="D6" t="inlineStr">
        <is>
          <t>625</t>
        </is>
      </c>
      <c r="E6">
        <f>HYPERLINK("https://www.britishcycling.org.uk/points?person_id=197984&amp;year=2021&amp;type=national&amp;d=6","Results")</f>
        <v/>
      </c>
    </row>
    <row r="7">
      <c r="A7" t="inlineStr">
        <is>
          <t>6</t>
        </is>
      </c>
      <c r="B7" t="inlineStr">
        <is>
          <t>Daniel Barnes</t>
        </is>
      </c>
      <c r="C7" t="inlineStr">
        <is>
          <t>Spectra Wiggle p/b Vitus</t>
        </is>
      </c>
      <c r="D7" t="inlineStr">
        <is>
          <t>608</t>
        </is>
      </c>
      <c r="E7">
        <f>HYPERLINK("https://www.britishcycling.org.uk/points?person_id=10140&amp;year=2021&amp;type=national&amp;d=6","Results")</f>
        <v/>
      </c>
    </row>
    <row r="8">
      <c r="A8" t="inlineStr">
        <is>
          <t>7</t>
        </is>
      </c>
      <c r="B8" t="inlineStr">
        <is>
          <t>Joseph Blackmore</t>
        </is>
      </c>
      <c r="C8" t="inlineStr">
        <is>
          <t>ROTOR Race Team</t>
        </is>
      </c>
      <c r="D8" t="inlineStr">
        <is>
          <t>552</t>
        </is>
      </c>
      <c r="E8">
        <f>HYPERLINK("https://www.britishcycling.org.uk/points?person_id=14899&amp;year=2021&amp;type=national&amp;d=6","Results")</f>
        <v/>
      </c>
    </row>
    <row r="9">
      <c r="A9" t="inlineStr">
        <is>
          <t>8</t>
        </is>
      </c>
      <c r="B9" t="inlineStr">
        <is>
          <t>Jonathan Dennis</t>
        </is>
      </c>
      <c r="C9" t="inlineStr">
        <is>
          <t>Kibosh</t>
        </is>
      </c>
      <c r="D9" t="inlineStr">
        <is>
          <t>522</t>
        </is>
      </c>
      <c r="E9">
        <f>HYPERLINK("https://www.britishcycling.org.uk/points?person_id=219950&amp;year=2021&amp;type=national&amp;d=6","Results")</f>
        <v/>
      </c>
    </row>
    <row r="10">
      <c r="A10" t="inlineStr">
        <is>
          <t>9</t>
        </is>
      </c>
      <c r="B10" t="inlineStr">
        <is>
          <t>Rory McGuire</t>
        </is>
      </c>
      <c r="C10" t="inlineStr">
        <is>
          <t>Leslie Bike Shop-Bikers Boutique</t>
        </is>
      </c>
      <c r="D10" t="inlineStr">
        <is>
          <t>512</t>
        </is>
      </c>
      <c r="E10">
        <f>HYPERLINK("https://www.britishcycling.org.uk/points?person_id=180723&amp;year=2021&amp;type=national&amp;d=6","Results")</f>
        <v/>
      </c>
    </row>
    <row r="11">
      <c r="A11" t="inlineStr">
        <is>
          <t>10</t>
        </is>
      </c>
      <c r="B11" t="inlineStr">
        <is>
          <t>James Swadling</t>
        </is>
      </c>
      <c r="C11" t="inlineStr">
        <is>
          <t>NSR - Nigel Smith Racing</t>
        </is>
      </c>
      <c r="D11" t="inlineStr">
        <is>
          <t>512</t>
        </is>
      </c>
      <c r="E11">
        <f>HYPERLINK("https://www.britishcycling.org.uk/points?person_id=3559&amp;year=2021&amp;type=national&amp;d=6","Results")</f>
        <v/>
      </c>
    </row>
    <row r="12">
      <c r="A12" t="inlineStr">
        <is>
          <t>11</t>
        </is>
      </c>
      <c r="B12" t="inlineStr">
        <is>
          <t>Toby Barnes</t>
        </is>
      </c>
      <c r="C12" t="inlineStr">
        <is>
          <t>SCHAMEL P/B KLOSTER KITCHEN</t>
        </is>
      </c>
      <c r="D12" t="inlineStr">
        <is>
          <t>475</t>
        </is>
      </c>
      <c r="E12">
        <f>HYPERLINK("https://www.britishcycling.org.uk/points?person_id=71986&amp;year=2021&amp;type=national&amp;d=6","Results")</f>
        <v/>
      </c>
    </row>
    <row r="13">
      <c r="A13" t="inlineStr">
        <is>
          <t>12</t>
        </is>
      </c>
      <c r="B13" t="inlineStr">
        <is>
          <t>Ben Chilton</t>
        </is>
      </c>
      <c r="C13" t="inlineStr">
        <is>
          <t>Spectra Wiggle p/b Vitus</t>
        </is>
      </c>
      <c r="D13" t="inlineStr">
        <is>
          <t>474</t>
        </is>
      </c>
      <c r="E13">
        <f>HYPERLINK("https://www.britishcycling.org.uk/points?person_id=194739&amp;year=2021&amp;type=national&amp;d=6","Results")</f>
        <v/>
      </c>
    </row>
    <row r="14">
      <c r="A14" t="inlineStr">
        <is>
          <t>13</t>
        </is>
      </c>
      <c r="B14" t="inlineStr">
        <is>
          <t>Joshua Jones</t>
        </is>
      </c>
      <c r="C14" t="inlineStr">
        <is>
          <t>ALL IN racing</t>
        </is>
      </c>
      <c r="D14" t="inlineStr">
        <is>
          <t>473</t>
        </is>
      </c>
      <c r="E14">
        <f>HYPERLINK("https://www.britishcycling.org.uk/points?person_id=191628&amp;year=2021&amp;type=national&amp;d=6","Results")</f>
        <v/>
      </c>
    </row>
    <row r="15">
      <c r="A15" t="inlineStr">
        <is>
          <t>14</t>
        </is>
      </c>
      <c r="B15" t="inlineStr">
        <is>
          <t>Tom Couzens</t>
        </is>
      </c>
      <c r="C15" t="inlineStr">
        <is>
          <t>Montezuma's Race Team</t>
        </is>
      </c>
      <c r="D15" t="inlineStr">
        <is>
          <t>460</t>
        </is>
      </c>
      <c r="E15">
        <f>HYPERLINK("https://www.britishcycling.org.uk/points?person_id=235127&amp;year=2021&amp;type=national&amp;d=6","Results")</f>
        <v/>
      </c>
    </row>
    <row r="16">
      <c r="A16" t="inlineStr">
        <is>
          <t>15</t>
        </is>
      </c>
      <c r="B16" t="inlineStr">
        <is>
          <t>Joseph Beckingsale</t>
        </is>
      </c>
      <c r="C16" t="inlineStr">
        <is>
          <t>Wales Racing Academy</t>
        </is>
      </c>
      <c r="D16" t="inlineStr">
        <is>
          <t>436</t>
        </is>
      </c>
      <c r="E16">
        <f>HYPERLINK("https://www.britishcycling.org.uk/points?person_id=48781&amp;year=2021&amp;type=national&amp;d=6","Results")</f>
        <v/>
      </c>
    </row>
    <row r="17">
      <c r="A17" t="inlineStr">
        <is>
          <t>16</t>
        </is>
      </c>
      <c r="B17" t="inlineStr">
        <is>
          <t>James Madgwick</t>
        </is>
      </c>
      <c r="C17" t="inlineStr">
        <is>
          <t>ALL IN racing</t>
        </is>
      </c>
      <c r="D17" t="inlineStr">
        <is>
          <t>436</t>
        </is>
      </c>
      <c r="E17">
        <f>HYPERLINK("https://www.britishcycling.org.uk/points?person_id=18459&amp;year=2021&amp;type=national&amp;d=6","Results")</f>
        <v/>
      </c>
    </row>
    <row r="18">
      <c r="A18" t="inlineStr">
        <is>
          <t>17</t>
        </is>
      </c>
      <c r="B18" t="inlineStr">
        <is>
          <t>Kieran Jarvis</t>
        </is>
      </c>
      <c r="C18" t="inlineStr">
        <is>
          <t>Brother UK-Orientation marketing</t>
        </is>
      </c>
      <c r="D18" t="inlineStr">
        <is>
          <t>432</t>
        </is>
      </c>
      <c r="E18">
        <f>HYPERLINK("https://www.britishcycling.org.uk/points?person_id=262111&amp;year=2021&amp;type=national&amp;d=6","Results")</f>
        <v/>
      </c>
    </row>
    <row r="19">
      <c r="A19" t="inlineStr">
        <is>
          <t>18</t>
        </is>
      </c>
      <c r="B19" t="inlineStr">
        <is>
          <t>Giles Drake</t>
        </is>
      </c>
      <c r="C19" t="inlineStr">
        <is>
          <t>Wheelbase CabTech Castelli</t>
        </is>
      </c>
      <c r="D19" t="inlineStr">
        <is>
          <t>427</t>
        </is>
      </c>
      <c r="E19">
        <f>HYPERLINK("https://www.britishcycling.org.uk/points?person_id=78277&amp;year=2021&amp;type=national&amp;d=6","Results")</f>
        <v/>
      </c>
    </row>
    <row r="20">
      <c r="A20" t="inlineStr">
        <is>
          <t>19</t>
        </is>
      </c>
      <c r="B20" t="inlineStr">
        <is>
          <t>Cameron Hurst</t>
        </is>
      </c>
      <c r="C20" t="inlineStr">
        <is>
          <t>Velo Schils - Interbike RT</t>
        </is>
      </c>
      <c r="D20" t="inlineStr">
        <is>
          <t>412</t>
        </is>
      </c>
      <c r="E20">
        <f>HYPERLINK("https://www.britishcycling.org.uk/points?person_id=288642&amp;year=2021&amp;type=national&amp;d=6","Results")</f>
        <v/>
      </c>
    </row>
    <row r="21">
      <c r="A21" t="inlineStr">
        <is>
          <t>20</t>
        </is>
      </c>
      <c r="B21" t="inlineStr">
        <is>
          <t>David Bone</t>
        </is>
      </c>
      <c r="C21" t="inlineStr">
        <is>
          <t>Racing Club Ravenna</t>
        </is>
      </c>
      <c r="D21" t="inlineStr">
        <is>
          <t>398</t>
        </is>
      </c>
      <c r="E21">
        <f>HYPERLINK("https://www.britishcycling.org.uk/points?person_id=525858&amp;year=2021&amp;type=national&amp;d=6","Results")</f>
        <v/>
      </c>
    </row>
    <row r="22">
      <c r="A22" t="inlineStr">
        <is>
          <t>21</t>
        </is>
      </c>
      <c r="B22" t="inlineStr">
        <is>
          <t>Kishan Bakrania</t>
        </is>
      </c>
      <c r="C22" t="inlineStr">
        <is>
          <t>TBW23 Stuart Hall Cycling</t>
        </is>
      </c>
      <c r="D22" t="inlineStr">
        <is>
          <t>384</t>
        </is>
      </c>
      <c r="E22">
        <f>HYPERLINK("https://www.britishcycling.org.uk/points?person_id=189687&amp;year=2021&amp;type=national&amp;d=6","Results")</f>
        <v/>
      </c>
    </row>
    <row r="23">
      <c r="A23" t="inlineStr">
        <is>
          <t>22</t>
        </is>
      </c>
      <c r="B23" t="inlineStr">
        <is>
          <t>Ben Turner</t>
        </is>
      </c>
      <c r="C23" t="inlineStr">
        <is>
          <t>Ineos Grenadiers</t>
        </is>
      </c>
      <c r="D23" t="inlineStr">
        <is>
          <t>381</t>
        </is>
      </c>
      <c r="E23">
        <f>HYPERLINK("https://www.britishcycling.org.uk/points?person_id=33890&amp;year=2021&amp;type=national&amp;d=6","Results")</f>
        <v/>
      </c>
    </row>
    <row r="24">
      <c r="A24" t="inlineStr">
        <is>
          <t>23</t>
        </is>
      </c>
      <c r="B24" t="inlineStr">
        <is>
          <t>Sam Andrews</t>
        </is>
      </c>
      <c r="C24" t="inlineStr">
        <is>
          <t>Clash Racing</t>
        </is>
      </c>
      <c r="D24" t="inlineStr">
        <is>
          <t>376</t>
        </is>
      </c>
      <c r="E24">
        <f>HYPERLINK("https://www.britishcycling.org.uk/points?person_id=756777&amp;year=2021&amp;type=national&amp;d=6","Results")</f>
        <v/>
      </c>
    </row>
    <row r="25">
      <c r="A25" t="inlineStr">
        <is>
          <t>24</t>
        </is>
      </c>
      <c r="B25" t="inlineStr">
        <is>
          <t>Simon Wyllie</t>
        </is>
      </c>
      <c r="C25" t="inlineStr">
        <is>
          <t>Spectra Wiggle p/b Vitus</t>
        </is>
      </c>
      <c r="D25" t="inlineStr">
        <is>
          <t>359</t>
        </is>
      </c>
      <c r="E25">
        <f>HYPERLINK("https://www.britishcycling.org.uk/points?person_id=281698&amp;year=2021&amp;type=national&amp;d=6","Results")</f>
        <v/>
      </c>
    </row>
    <row r="26">
      <c r="A26" t="inlineStr">
        <is>
          <t>25</t>
        </is>
      </c>
      <c r="B26" t="inlineStr">
        <is>
          <t>William Weatherill</t>
        </is>
      </c>
      <c r="C26" t="inlineStr">
        <is>
          <t>Hope Factory Racing</t>
        </is>
      </c>
      <c r="D26" t="inlineStr">
        <is>
          <t>331</t>
        </is>
      </c>
      <c r="E26">
        <f>HYPERLINK("https://www.britishcycling.org.uk/points?person_id=764909&amp;year=2021&amp;type=national&amp;d=6","Results")</f>
        <v/>
      </c>
    </row>
    <row r="27">
      <c r="A27" t="inlineStr">
        <is>
          <t>26</t>
        </is>
      </c>
      <c r="B27" t="inlineStr">
        <is>
          <t>Jake Jackson</t>
        </is>
      </c>
      <c r="C27" t="inlineStr">
        <is>
          <t>Rose Race Team</t>
        </is>
      </c>
      <c r="D27" t="inlineStr">
        <is>
          <t>326</t>
        </is>
      </c>
      <c r="E27">
        <f>HYPERLINK("https://www.britishcycling.org.uk/points?person_id=410195&amp;year=2021&amp;type=national&amp;d=6","Results")</f>
        <v/>
      </c>
    </row>
    <row r="28">
      <c r="A28" t="inlineStr">
        <is>
          <t>27</t>
        </is>
      </c>
      <c r="B28" t="inlineStr">
        <is>
          <t>Ian Field</t>
        </is>
      </c>
      <c r="C28" t="inlineStr">
        <is>
          <t>Spectra Wiggle p/b Vitus</t>
        </is>
      </c>
      <c r="D28" t="inlineStr">
        <is>
          <t>319</t>
        </is>
      </c>
      <c r="E28">
        <f>HYPERLINK("https://www.britishcycling.org.uk/points?person_id=17537&amp;year=2021&amp;type=national&amp;d=6","Results")</f>
        <v/>
      </c>
    </row>
    <row r="29">
      <c r="A29" t="inlineStr">
        <is>
          <t>28</t>
        </is>
      </c>
      <c r="B29" t="inlineStr">
        <is>
          <t>Adam Bent</t>
        </is>
      </c>
      <c r="C29" t="inlineStr">
        <is>
          <t>Wheelbase CabTech Castelli</t>
        </is>
      </c>
      <c r="D29" t="inlineStr">
        <is>
          <t>312</t>
        </is>
      </c>
      <c r="E29">
        <f>HYPERLINK("https://www.britishcycling.org.uk/points?person_id=174813&amp;year=2021&amp;type=national&amp;d=6","Results")</f>
        <v/>
      </c>
    </row>
    <row r="30">
      <c r="A30" t="inlineStr">
        <is>
          <t>29</t>
        </is>
      </c>
      <c r="B30" t="inlineStr">
        <is>
          <t>Gary Price</t>
        </is>
      </c>
      <c r="C30" t="inlineStr">
        <is>
          <t>StolenGoat Race Team</t>
        </is>
      </c>
      <c r="D30" t="inlineStr">
        <is>
          <t>312</t>
        </is>
      </c>
      <c r="E30">
        <f>HYPERLINK("https://www.britishcycling.org.uk/points?person_id=232411&amp;year=2021&amp;type=national&amp;d=6","Results")</f>
        <v/>
      </c>
    </row>
    <row r="31">
      <c r="A31" t="inlineStr">
        <is>
          <t>30</t>
        </is>
      </c>
      <c r="B31" t="inlineStr">
        <is>
          <t>Ashley Dennis</t>
        </is>
      </c>
      <c r="C31" t="inlineStr"/>
      <c r="D31" t="inlineStr">
        <is>
          <t>308</t>
        </is>
      </c>
      <c r="E31">
        <f>HYPERLINK("https://www.britishcycling.org.uk/points?person_id=15660&amp;year=2021&amp;type=national&amp;d=6","Results")</f>
        <v/>
      </c>
    </row>
    <row r="32">
      <c r="A32" t="inlineStr">
        <is>
          <t>31</t>
        </is>
      </c>
      <c r="B32" t="inlineStr">
        <is>
          <t>Steven James</t>
        </is>
      </c>
      <c r="C32" t="inlineStr">
        <is>
          <t>Hope Factory Racing</t>
        </is>
      </c>
      <c r="D32" t="inlineStr">
        <is>
          <t>304</t>
        </is>
      </c>
      <c r="E32">
        <f>HYPERLINK("https://www.britishcycling.org.uk/points?person_id=57116&amp;year=2021&amp;type=national&amp;d=6","Results")</f>
        <v/>
      </c>
    </row>
    <row r="33">
      <c r="A33" t="inlineStr">
        <is>
          <t>32</t>
        </is>
      </c>
      <c r="B33" t="inlineStr">
        <is>
          <t>Robert Burns</t>
        </is>
      </c>
      <c r="C33" t="inlineStr">
        <is>
          <t>Islabikes</t>
        </is>
      </c>
      <c r="D33" t="inlineStr">
        <is>
          <t>302</t>
        </is>
      </c>
      <c r="E33">
        <f>HYPERLINK("https://www.britishcycling.org.uk/points?person_id=77268&amp;year=2021&amp;type=national&amp;d=6","Results")</f>
        <v/>
      </c>
    </row>
    <row r="34">
      <c r="A34" t="inlineStr">
        <is>
          <t>33</t>
        </is>
      </c>
      <c r="B34" t="inlineStr">
        <is>
          <t>Adam Martin</t>
        </is>
      </c>
      <c r="C34" t="inlineStr">
        <is>
          <t>SCOTT Racing</t>
        </is>
      </c>
      <c r="D34" t="inlineStr">
        <is>
          <t>300</t>
        </is>
      </c>
      <c r="E34">
        <f>HYPERLINK("https://www.britishcycling.org.uk/points?person_id=20077&amp;year=2021&amp;type=national&amp;d=6","Results")</f>
        <v/>
      </c>
    </row>
    <row r="35">
      <c r="A35" t="inlineStr">
        <is>
          <t>34</t>
        </is>
      </c>
      <c r="B35" t="inlineStr">
        <is>
          <t>Richard Jones</t>
        </is>
      </c>
      <c r="C35" t="inlineStr">
        <is>
          <t>Ribble Weldtite Pro Cycling</t>
        </is>
      </c>
      <c r="D35" t="inlineStr">
        <is>
          <t>298</t>
        </is>
      </c>
      <c r="E35">
        <f>HYPERLINK("https://www.britishcycling.org.uk/points?person_id=131876&amp;year=2021&amp;type=national&amp;d=6","Results")</f>
        <v/>
      </c>
    </row>
    <row r="36">
      <c r="A36" t="inlineStr">
        <is>
          <t>35</t>
        </is>
      </c>
      <c r="B36" t="inlineStr">
        <is>
          <t>Alistair Slater</t>
        </is>
      </c>
      <c r="C36" t="inlineStr">
        <is>
          <t>Clancy Briggs Cycling Academy</t>
        </is>
      </c>
      <c r="D36" t="inlineStr">
        <is>
          <t>295</t>
        </is>
      </c>
      <c r="E36">
        <f>HYPERLINK("https://www.britishcycling.org.uk/points?person_id=28429&amp;year=2021&amp;type=national&amp;d=6","Results")</f>
        <v/>
      </c>
    </row>
    <row r="37">
      <c r="A37" t="inlineStr">
        <is>
          <t>36</t>
        </is>
      </c>
      <c r="B37" t="inlineStr">
        <is>
          <t>Matthew Ellis</t>
        </is>
      </c>
      <c r="C37" t="inlineStr">
        <is>
          <t>Charvieu-Chavagneux Isère Cyclisme</t>
        </is>
      </c>
      <c r="D37" t="inlineStr">
        <is>
          <t>286</t>
        </is>
      </c>
      <c r="E37">
        <f>HYPERLINK("https://www.britishcycling.org.uk/points?person_id=67082&amp;year=2021&amp;type=national&amp;d=6","Results")</f>
        <v/>
      </c>
    </row>
    <row r="38">
      <c r="A38" t="inlineStr">
        <is>
          <t>37</t>
        </is>
      </c>
      <c r="B38" t="inlineStr">
        <is>
          <t>Alex Rhodes</t>
        </is>
      </c>
      <c r="C38" t="inlineStr">
        <is>
          <t>Brixton Cycles Club</t>
        </is>
      </c>
      <c r="D38" t="inlineStr">
        <is>
          <t>286</t>
        </is>
      </c>
      <c r="E38">
        <f>HYPERLINK("https://www.britishcycling.org.uk/points?person_id=543342&amp;year=2021&amp;type=national&amp;d=6","Results")</f>
        <v/>
      </c>
    </row>
    <row r="39">
      <c r="A39" t="inlineStr">
        <is>
          <t>38</t>
        </is>
      </c>
      <c r="B39" t="inlineStr">
        <is>
          <t>Samuel Howes</t>
        </is>
      </c>
      <c r="C39" t="inlineStr">
        <is>
          <t>Sleaford Wheelers Cycling Club</t>
        </is>
      </c>
      <c r="D39" t="inlineStr">
        <is>
          <t>281</t>
        </is>
      </c>
      <c r="E39">
        <f>HYPERLINK("https://www.britishcycling.org.uk/points?person_id=520188&amp;year=2021&amp;type=national&amp;d=6","Results")</f>
        <v/>
      </c>
    </row>
    <row r="40">
      <c r="A40" t="inlineStr">
        <is>
          <t>39</t>
        </is>
      </c>
      <c r="B40" t="inlineStr">
        <is>
          <t>Samuel Morris</t>
        </is>
      </c>
      <c r="C40" t="inlineStr">
        <is>
          <t>Loughborough Students CC</t>
        </is>
      </c>
      <c r="D40" t="inlineStr">
        <is>
          <t>280</t>
        </is>
      </c>
      <c r="E40">
        <f>HYPERLINK("https://www.britishcycling.org.uk/points?person_id=37471&amp;year=2021&amp;type=national&amp;d=6","Results")</f>
        <v/>
      </c>
    </row>
    <row r="41">
      <c r="A41" t="inlineStr">
        <is>
          <t>40</t>
        </is>
      </c>
      <c r="B41" t="inlineStr">
        <is>
          <t>Aled Jones</t>
        </is>
      </c>
      <c r="C41" t="inlineStr">
        <is>
          <t>VCEquipe-FlixOralHygiene-Propulse</t>
        </is>
      </c>
      <c r="D41" t="inlineStr">
        <is>
          <t>278</t>
        </is>
      </c>
      <c r="E41">
        <f>HYPERLINK("https://www.britishcycling.org.uk/points?person_id=526569&amp;year=2021&amp;type=national&amp;d=6","Results")</f>
        <v/>
      </c>
    </row>
    <row r="42">
      <c r="A42" t="inlineStr">
        <is>
          <t>41</t>
        </is>
      </c>
      <c r="B42" t="inlineStr">
        <is>
          <t>Neil Phillips</t>
        </is>
      </c>
      <c r="C42" t="inlineStr">
        <is>
          <t>TEKKERZ CC</t>
        </is>
      </c>
      <c r="D42" t="inlineStr">
        <is>
          <t>278</t>
        </is>
      </c>
      <c r="E42">
        <f>HYPERLINK("https://www.britishcycling.org.uk/points?person_id=231820&amp;year=2021&amp;type=national&amp;d=6","Results")</f>
        <v/>
      </c>
    </row>
    <row r="43">
      <c r="A43" t="inlineStr">
        <is>
          <t>42</t>
        </is>
      </c>
      <c r="B43" t="inlineStr">
        <is>
          <t>Nick Blight</t>
        </is>
      </c>
      <c r="C43" t="inlineStr">
        <is>
          <t>Morvelo Magspeed Racing</t>
        </is>
      </c>
      <c r="D43" t="inlineStr">
        <is>
          <t>269</t>
        </is>
      </c>
      <c r="E43">
        <f>HYPERLINK("https://www.britishcycling.org.uk/points?person_id=621460&amp;year=2021&amp;type=national&amp;d=6","Results")</f>
        <v/>
      </c>
    </row>
    <row r="44">
      <c r="A44" t="inlineStr">
        <is>
          <t>43</t>
        </is>
      </c>
      <c r="B44" t="inlineStr">
        <is>
          <t>Karl Norfolk</t>
        </is>
      </c>
      <c r="C44" t="inlineStr">
        <is>
          <t>Pedalon.co.uk</t>
        </is>
      </c>
      <c r="D44" t="inlineStr">
        <is>
          <t>269</t>
        </is>
      </c>
      <c r="E44">
        <f>HYPERLINK("https://www.britishcycling.org.uk/points?person_id=77447&amp;year=2021&amp;type=national&amp;d=6","Results")</f>
        <v/>
      </c>
    </row>
    <row r="45">
      <c r="A45" t="inlineStr">
        <is>
          <t>44</t>
        </is>
      </c>
      <c r="B45" t="inlineStr">
        <is>
          <t>Thomas Payton</t>
        </is>
      </c>
      <c r="C45" t="inlineStr">
        <is>
          <t>Stourbridge CC</t>
        </is>
      </c>
      <c r="D45" t="inlineStr">
        <is>
          <t>267</t>
        </is>
      </c>
      <c r="E45">
        <f>HYPERLINK("https://www.britishcycling.org.uk/points?person_id=44717&amp;year=2021&amp;type=national&amp;d=6","Results")</f>
        <v/>
      </c>
    </row>
    <row r="46">
      <c r="A46" t="inlineStr">
        <is>
          <t>45</t>
        </is>
      </c>
      <c r="B46" t="inlineStr">
        <is>
          <t>Joseph Smith</t>
        </is>
      </c>
      <c r="C46" t="inlineStr">
        <is>
          <t>Tofauti Everyone Active</t>
        </is>
      </c>
      <c r="D46" t="inlineStr">
        <is>
          <t>264</t>
        </is>
      </c>
      <c r="E46">
        <f>HYPERLINK("https://www.britishcycling.org.uk/points?person_id=494777&amp;year=2021&amp;type=national&amp;d=6","Results")</f>
        <v/>
      </c>
    </row>
    <row r="47">
      <c r="A47" t="inlineStr">
        <is>
          <t>46</t>
        </is>
      </c>
      <c r="B47" t="inlineStr">
        <is>
          <t>Cai Davies</t>
        </is>
      </c>
      <c r="C47" t="inlineStr">
        <is>
          <t>Embark - Bikestrong</t>
        </is>
      </c>
      <c r="D47" t="inlineStr">
        <is>
          <t>261</t>
        </is>
      </c>
      <c r="E47">
        <f>HYPERLINK("https://www.britishcycling.org.uk/points?person_id=235228&amp;year=2021&amp;type=national&amp;d=6","Results")</f>
        <v/>
      </c>
    </row>
    <row r="48">
      <c r="A48" t="inlineStr">
        <is>
          <t>47</t>
        </is>
      </c>
      <c r="B48" t="inlineStr">
        <is>
          <t>Graham Briggs</t>
        </is>
      </c>
      <c r="C48" t="inlineStr">
        <is>
          <t>Clancy Briggs Cycling Academy</t>
        </is>
      </c>
      <c r="D48" t="inlineStr">
        <is>
          <t>256</t>
        </is>
      </c>
      <c r="E48">
        <f>HYPERLINK("https://www.britishcycling.org.uk/points?person_id=49277&amp;year=2021&amp;type=national&amp;d=6","Results")</f>
        <v/>
      </c>
    </row>
    <row r="49">
      <c r="A49" t="inlineStr">
        <is>
          <t>48</t>
        </is>
      </c>
      <c r="B49" t="inlineStr">
        <is>
          <t>Ethan Whiteside</t>
        </is>
      </c>
      <c r="C49" t="inlineStr">
        <is>
          <t>Shibden Cycling Club</t>
        </is>
      </c>
      <c r="D49" t="inlineStr">
        <is>
          <t>254</t>
        </is>
      </c>
      <c r="E49">
        <f>HYPERLINK("https://www.britishcycling.org.uk/points?person_id=312109&amp;year=2021&amp;type=national&amp;d=6","Results")</f>
        <v/>
      </c>
    </row>
    <row r="50">
      <c r="A50" t="inlineStr">
        <is>
          <t>49</t>
        </is>
      </c>
      <c r="B50" t="inlineStr">
        <is>
          <t>Michael Newall</t>
        </is>
      </c>
      <c r="C50" t="inlineStr">
        <is>
          <t>Team Empella Cyclo-Cross.Com</t>
        </is>
      </c>
      <c r="D50" t="inlineStr">
        <is>
          <t>250</t>
        </is>
      </c>
      <c r="E50">
        <f>HYPERLINK("https://www.britishcycling.org.uk/points?person_id=327239&amp;year=2021&amp;type=national&amp;d=6","Results")</f>
        <v/>
      </c>
    </row>
    <row r="51">
      <c r="A51" t="inlineStr">
        <is>
          <t>50</t>
        </is>
      </c>
      <c r="B51" t="inlineStr">
        <is>
          <t>Richard Jones</t>
        </is>
      </c>
      <c r="C51" t="inlineStr">
        <is>
          <t>Renvale RT</t>
        </is>
      </c>
      <c r="D51" t="inlineStr">
        <is>
          <t>245</t>
        </is>
      </c>
      <c r="E51">
        <f>HYPERLINK("https://www.britishcycling.org.uk/points?person_id=105905&amp;year=2021&amp;type=national&amp;d=6","Results")</f>
        <v/>
      </c>
    </row>
    <row r="52">
      <c r="A52" t="inlineStr">
        <is>
          <t>51</t>
        </is>
      </c>
      <c r="B52" t="inlineStr">
        <is>
          <t>Grant Fraser</t>
        </is>
      </c>
      <c r="C52" t="inlineStr">
        <is>
          <t>G!RO Cycles</t>
        </is>
      </c>
      <c r="D52" t="inlineStr">
        <is>
          <t>244</t>
        </is>
      </c>
      <c r="E52">
        <f>HYPERLINK("https://www.britishcycling.org.uk/points?person_id=240650&amp;year=2021&amp;type=national&amp;d=6","Results")</f>
        <v/>
      </c>
    </row>
    <row r="53">
      <c r="A53" t="inlineStr">
        <is>
          <t>52</t>
        </is>
      </c>
      <c r="B53" t="inlineStr">
        <is>
          <t>Jenson Young</t>
        </is>
      </c>
      <c r="C53" t="inlineStr">
        <is>
          <t>Saint Piran</t>
        </is>
      </c>
      <c r="D53" t="inlineStr">
        <is>
          <t>244</t>
        </is>
      </c>
      <c r="E53">
        <f>HYPERLINK("https://www.britishcycling.org.uk/points?person_id=103190&amp;year=2021&amp;type=national&amp;d=6","Results")</f>
        <v/>
      </c>
    </row>
    <row r="54">
      <c r="A54" t="inlineStr">
        <is>
          <t>53</t>
        </is>
      </c>
      <c r="B54" t="inlineStr">
        <is>
          <t>Nathan Wilson</t>
        </is>
      </c>
      <c r="C54" t="inlineStr">
        <is>
          <t>Wilsons Wheels Race Team</t>
        </is>
      </c>
      <c r="D54" t="inlineStr">
        <is>
          <t>243</t>
        </is>
      </c>
      <c r="E54">
        <f>HYPERLINK("https://www.britishcycling.org.uk/points?person_id=29665&amp;year=2021&amp;type=national&amp;d=6","Results")</f>
        <v/>
      </c>
    </row>
    <row r="55">
      <c r="A55" t="inlineStr">
        <is>
          <t>54</t>
        </is>
      </c>
      <c r="B55" t="inlineStr">
        <is>
          <t>Rob Walker</t>
        </is>
      </c>
      <c r="C55" t="inlineStr">
        <is>
          <t>AeroLab Ward WheelZ</t>
        </is>
      </c>
      <c r="D55" t="inlineStr">
        <is>
          <t>240</t>
        </is>
      </c>
      <c r="E55">
        <f>HYPERLINK("https://www.britishcycling.org.uk/points?person_id=424130&amp;year=2021&amp;type=national&amp;d=6","Results")</f>
        <v/>
      </c>
    </row>
    <row r="56">
      <c r="A56" t="inlineStr">
        <is>
          <t>55</t>
        </is>
      </c>
      <c r="B56" t="inlineStr">
        <is>
          <t>Ben Barnett</t>
        </is>
      </c>
      <c r="C56" t="inlineStr">
        <is>
          <t>Team Novo Nordisk Development</t>
        </is>
      </c>
      <c r="D56" t="inlineStr">
        <is>
          <t>237</t>
        </is>
      </c>
      <c r="E56">
        <f>HYPERLINK("https://www.britishcycling.org.uk/points?person_id=553653&amp;year=2021&amp;type=national&amp;d=6","Results")</f>
        <v/>
      </c>
    </row>
    <row r="57">
      <c r="A57" t="inlineStr">
        <is>
          <t>56</t>
        </is>
      </c>
      <c r="B57" t="inlineStr">
        <is>
          <t>Michael Butler</t>
        </is>
      </c>
      <c r="C57" t="inlineStr">
        <is>
          <t>CX Cartel</t>
        </is>
      </c>
      <c r="D57" t="inlineStr">
        <is>
          <t>237</t>
        </is>
      </c>
      <c r="E57">
        <f>HYPERLINK("https://www.britishcycling.org.uk/points?person_id=28869&amp;year=2021&amp;type=national&amp;d=6","Results")</f>
        <v/>
      </c>
    </row>
    <row r="58">
      <c r="A58" t="inlineStr">
        <is>
          <t>57</t>
        </is>
      </c>
      <c r="B58" t="inlineStr">
        <is>
          <t>Freddie Checketts</t>
        </is>
      </c>
      <c r="C58" t="inlineStr">
        <is>
          <t>Kibosh</t>
        </is>
      </c>
      <c r="D58" t="inlineStr">
        <is>
          <t>237</t>
        </is>
      </c>
      <c r="E58">
        <f>HYPERLINK("https://www.britishcycling.org.uk/points?person_id=606418&amp;year=2021&amp;type=national&amp;d=6","Results")</f>
        <v/>
      </c>
    </row>
    <row r="59">
      <c r="A59" t="inlineStr">
        <is>
          <t>58</t>
        </is>
      </c>
      <c r="B59" t="inlineStr">
        <is>
          <t>Charles Fletcher</t>
        </is>
      </c>
      <c r="C59" t="inlineStr"/>
      <c r="D59" t="inlineStr">
        <is>
          <t>234</t>
        </is>
      </c>
      <c r="E59">
        <f>HYPERLINK("https://www.britishcycling.org.uk/points?person_id=10608&amp;year=2021&amp;type=national&amp;d=6","Results")</f>
        <v/>
      </c>
    </row>
    <row r="60">
      <c r="A60" t="inlineStr">
        <is>
          <t>59</t>
        </is>
      </c>
      <c r="B60" t="inlineStr">
        <is>
          <t>Robin Godden</t>
        </is>
      </c>
      <c r="C60" t="inlineStr">
        <is>
          <t>Hope Factory Racing</t>
        </is>
      </c>
      <c r="D60" t="inlineStr">
        <is>
          <t>234</t>
        </is>
      </c>
      <c r="E60">
        <f>HYPERLINK("https://www.britishcycling.org.uk/points?person_id=585475&amp;year=2021&amp;type=national&amp;d=6","Results")</f>
        <v/>
      </c>
    </row>
    <row r="61">
      <c r="A61" t="inlineStr">
        <is>
          <t>60</t>
        </is>
      </c>
      <c r="B61" t="inlineStr">
        <is>
          <t>Giorgio Coppola</t>
        </is>
      </c>
      <c r="C61" t="inlineStr">
        <is>
          <t>Four4th</t>
        </is>
      </c>
      <c r="D61" t="inlineStr">
        <is>
          <t>231</t>
        </is>
      </c>
      <c r="E61">
        <f>HYPERLINK("https://www.britishcycling.org.uk/points?person_id=21107&amp;year=2021&amp;type=national&amp;d=6","Results")</f>
        <v/>
      </c>
    </row>
    <row r="62">
      <c r="A62" t="inlineStr">
        <is>
          <t>61</t>
        </is>
      </c>
      <c r="B62" t="inlineStr">
        <is>
          <t>Andrew Kirby</t>
        </is>
      </c>
      <c r="C62" t="inlineStr">
        <is>
          <t>73Degrees CC</t>
        </is>
      </c>
      <c r="D62" t="inlineStr">
        <is>
          <t>218</t>
        </is>
      </c>
      <c r="E62">
        <f>HYPERLINK("https://www.britishcycling.org.uk/points?person_id=302946&amp;year=2021&amp;type=national&amp;d=6","Results")</f>
        <v/>
      </c>
    </row>
    <row r="63">
      <c r="A63" t="inlineStr">
        <is>
          <t>62</t>
        </is>
      </c>
      <c r="B63" t="inlineStr">
        <is>
          <t>Seb Herrod</t>
        </is>
      </c>
      <c r="C63" t="inlineStr">
        <is>
          <t>ROTOR Race Team</t>
        </is>
      </c>
      <c r="D63" t="inlineStr">
        <is>
          <t>207</t>
        </is>
      </c>
      <c r="E63">
        <f>HYPERLINK("https://www.britishcycling.org.uk/points?person_id=189592&amp;year=2021&amp;type=national&amp;d=6","Results")</f>
        <v/>
      </c>
    </row>
    <row r="64">
      <c r="A64" t="inlineStr">
        <is>
          <t>63</t>
        </is>
      </c>
      <c r="B64" t="inlineStr">
        <is>
          <t>Fletcher Adams</t>
        </is>
      </c>
      <c r="C64" t="inlineStr">
        <is>
          <t>Nova Race Team</t>
        </is>
      </c>
      <c r="D64" t="inlineStr">
        <is>
          <t>202</t>
        </is>
      </c>
      <c r="E64">
        <f>HYPERLINK("https://www.britishcycling.org.uk/points?person_id=174810&amp;year=2021&amp;type=national&amp;d=6","Results")</f>
        <v/>
      </c>
    </row>
    <row r="65">
      <c r="A65" t="inlineStr">
        <is>
          <t>64</t>
        </is>
      </c>
      <c r="B65" t="inlineStr">
        <is>
          <t>James Edmond</t>
        </is>
      </c>
      <c r="C65" t="inlineStr"/>
      <c r="D65" t="inlineStr">
        <is>
          <t>200</t>
        </is>
      </c>
      <c r="E65">
        <f>HYPERLINK("https://www.britishcycling.org.uk/points?person_id=39612&amp;year=2021&amp;type=national&amp;d=6","Results")</f>
        <v/>
      </c>
    </row>
    <row r="66">
      <c r="A66" t="inlineStr">
        <is>
          <t>65</t>
        </is>
      </c>
      <c r="B66" t="inlineStr">
        <is>
          <t>Felix Barker</t>
        </is>
      </c>
      <c r="C66" t="inlineStr">
        <is>
          <t>Hope Factory Racing</t>
        </is>
      </c>
      <c r="D66" t="inlineStr">
        <is>
          <t>194</t>
        </is>
      </c>
      <c r="E66">
        <f>HYPERLINK("https://www.britishcycling.org.uk/points?person_id=63128&amp;year=2021&amp;type=national&amp;d=6","Results")</f>
        <v/>
      </c>
    </row>
    <row r="67">
      <c r="A67" t="inlineStr">
        <is>
          <t>66</t>
        </is>
      </c>
      <c r="B67" t="inlineStr">
        <is>
          <t>Paul Morris</t>
        </is>
      </c>
      <c r="C67" t="inlineStr">
        <is>
          <t>Fareham Wheelers Cycling Club</t>
        </is>
      </c>
      <c r="D67" t="inlineStr">
        <is>
          <t>193</t>
        </is>
      </c>
      <c r="E67">
        <f>HYPERLINK("https://www.britishcycling.org.uk/points?person_id=307362&amp;year=2021&amp;type=national&amp;d=6","Results")</f>
        <v/>
      </c>
    </row>
    <row r="68">
      <c r="A68" t="inlineStr">
        <is>
          <t>67</t>
        </is>
      </c>
      <c r="B68" t="inlineStr">
        <is>
          <t>Lewis Craven</t>
        </is>
      </c>
      <c r="C68" t="inlineStr">
        <is>
          <t>Wheelbase CabTech Castelli</t>
        </is>
      </c>
      <c r="D68" t="inlineStr">
        <is>
          <t>192</t>
        </is>
      </c>
      <c r="E68">
        <f>HYPERLINK("https://www.britishcycling.org.uk/points?person_id=79292&amp;year=2021&amp;type=national&amp;d=6","Results")</f>
        <v/>
      </c>
    </row>
    <row r="69">
      <c r="A69" t="inlineStr">
        <is>
          <t>68</t>
        </is>
      </c>
      <c r="B69" t="inlineStr">
        <is>
          <t>Nick Morris</t>
        </is>
      </c>
      <c r="C69" t="inlineStr">
        <is>
          <t>Clee Cycles</t>
        </is>
      </c>
      <c r="D69" t="inlineStr">
        <is>
          <t>181</t>
        </is>
      </c>
      <c r="E69">
        <f>HYPERLINK("https://www.britishcycling.org.uk/points?person_id=201614&amp;year=2021&amp;type=national&amp;d=6","Results")</f>
        <v/>
      </c>
    </row>
    <row r="70">
      <c r="A70" t="inlineStr">
        <is>
          <t>69</t>
        </is>
      </c>
      <c r="B70" t="inlineStr">
        <is>
          <t>Stefan Partridge</t>
        </is>
      </c>
      <c r="C70" t="inlineStr">
        <is>
          <t>Bolsover &amp; District Cycling Club</t>
        </is>
      </c>
      <c r="D70" t="inlineStr">
        <is>
          <t>179</t>
        </is>
      </c>
      <c r="E70">
        <f>HYPERLINK("https://www.britishcycling.org.uk/points?person_id=117123&amp;year=2021&amp;type=national&amp;d=6","Results")</f>
        <v/>
      </c>
    </row>
    <row r="71">
      <c r="A71" t="inlineStr">
        <is>
          <t>70</t>
        </is>
      </c>
      <c r="B71" t="inlineStr">
        <is>
          <t>Bruce Johnston</t>
        </is>
      </c>
      <c r="C71" t="inlineStr">
        <is>
          <t>Pedal Power Loughborough</t>
        </is>
      </c>
      <c r="D71" t="inlineStr">
        <is>
          <t>178</t>
        </is>
      </c>
      <c r="E71">
        <f>HYPERLINK("https://www.britishcycling.org.uk/points?person_id=56563&amp;year=2021&amp;type=national&amp;d=6","Results")</f>
        <v/>
      </c>
    </row>
    <row r="72">
      <c r="A72" t="inlineStr">
        <is>
          <t>71</t>
        </is>
      </c>
      <c r="B72" t="inlineStr">
        <is>
          <t>Spencer Davies</t>
        </is>
      </c>
      <c r="C72" t="inlineStr">
        <is>
          <t>CC Abergavenny - JP Signs &amp; Print</t>
        </is>
      </c>
      <c r="D72" t="inlineStr">
        <is>
          <t>176</t>
        </is>
      </c>
      <c r="E72">
        <f>HYPERLINK("https://www.britishcycling.org.uk/points?person_id=413603&amp;year=2021&amp;type=national&amp;d=6","Results")</f>
        <v/>
      </c>
    </row>
    <row r="73">
      <c r="A73" t="inlineStr">
        <is>
          <t>72</t>
        </is>
      </c>
      <c r="B73" t="inlineStr">
        <is>
          <t>Joseph Taylor</t>
        </is>
      </c>
      <c r="C73" t="inlineStr">
        <is>
          <t>Morvelo Magspeed Racing</t>
        </is>
      </c>
      <c r="D73" t="inlineStr">
        <is>
          <t>176</t>
        </is>
      </c>
      <c r="E73">
        <f>HYPERLINK("https://www.britishcycling.org.uk/points?person_id=139619&amp;year=2021&amp;type=national&amp;d=6","Results")</f>
        <v/>
      </c>
    </row>
    <row r="74">
      <c r="A74" t="inlineStr">
        <is>
          <t>73</t>
        </is>
      </c>
      <c r="B74" t="inlineStr">
        <is>
          <t>Kieren Brown</t>
        </is>
      </c>
      <c r="C74" t="inlineStr">
        <is>
          <t>Sherwood Pines Cycles Forme</t>
        </is>
      </c>
      <c r="D74" t="inlineStr">
        <is>
          <t>173</t>
        </is>
      </c>
      <c r="E74">
        <f>HYPERLINK("https://www.britishcycling.org.uk/points?person_id=305793&amp;year=2021&amp;type=national&amp;d=6","Results")</f>
        <v/>
      </c>
    </row>
    <row r="75">
      <c r="A75" t="inlineStr">
        <is>
          <t>74</t>
        </is>
      </c>
      <c r="B75" t="inlineStr">
        <is>
          <t>David Beachill</t>
        </is>
      </c>
      <c r="C75" t="inlineStr">
        <is>
          <t>Geared Up Apex RT</t>
        </is>
      </c>
      <c r="D75" t="inlineStr">
        <is>
          <t>172</t>
        </is>
      </c>
      <c r="E75">
        <f>HYPERLINK("https://www.britishcycling.org.uk/points?person_id=172147&amp;year=2021&amp;type=national&amp;d=6","Results")</f>
        <v/>
      </c>
    </row>
    <row r="76">
      <c r="A76" t="inlineStr">
        <is>
          <t>75</t>
        </is>
      </c>
      <c r="B76" t="inlineStr">
        <is>
          <t>Mark Richards</t>
        </is>
      </c>
      <c r="C76" t="inlineStr">
        <is>
          <t>DAP Cycling Club</t>
        </is>
      </c>
      <c r="D76" t="inlineStr">
        <is>
          <t>168</t>
        </is>
      </c>
      <c r="E76">
        <f>HYPERLINK("https://www.britishcycling.org.uk/points?person_id=487142&amp;year=2021&amp;type=national&amp;d=6","Results")</f>
        <v/>
      </c>
    </row>
    <row r="77">
      <c r="A77" t="inlineStr">
        <is>
          <t>76</t>
        </is>
      </c>
      <c r="B77" t="inlineStr">
        <is>
          <t>Tristan Davies</t>
        </is>
      </c>
      <c r="C77" t="inlineStr">
        <is>
          <t>CUBE Bikes</t>
        </is>
      </c>
      <c r="D77" t="inlineStr">
        <is>
          <t>164</t>
        </is>
      </c>
      <c r="E77">
        <f>HYPERLINK("https://www.britishcycling.org.uk/points?person_id=213373&amp;year=2021&amp;type=national&amp;d=6","Results")</f>
        <v/>
      </c>
    </row>
    <row r="78">
      <c r="A78" t="inlineStr">
        <is>
          <t>77</t>
        </is>
      </c>
      <c r="B78" t="inlineStr">
        <is>
          <t>Phillip Pearce</t>
        </is>
      </c>
      <c r="C78" t="inlineStr">
        <is>
          <t>Hope Factory Racing</t>
        </is>
      </c>
      <c r="D78" t="inlineStr">
        <is>
          <t>163</t>
        </is>
      </c>
      <c r="E78">
        <f>HYPERLINK("https://www.britishcycling.org.uk/points?person_id=15182&amp;year=2021&amp;type=national&amp;d=6","Results")</f>
        <v/>
      </c>
    </row>
    <row r="79">
      <c r="A79" t="inlineStr">
        <is>
          <t>78</t>
        </is>
      </c>
      <c r="B79" t="inlineStr">
        <is>
          <t>Pete Matthews</t>
        </is>
      </c>
      <c r="C79" t="inlineStr">
        <is>
          <t>Clancy Briggs Cycling Academy</t>
        </is>
      </c>
      <c r="D79" t="inlineStr">
        <is>
          <t>161</t>
        </is>
      </c>
      <c r="E79">
        <f>HYPERLINK("https://www.britishcycling.org.uk/points?person_id=729968&amp;year=2021&amp;type=national&amp;d=6","Results")</f>
        <v/>
      </c>
    </row>
    <row r="80">
      <c r="A80" t="inlineStr">
        <is>
          <t>79</t>
        </is>
      </c>
      <c r="B80" t="inlineStr">
        <is>
          <t>Luke Hazell</t>
        </is>
      </c>
      <c r="C80" t="inlineStr">
        <is>
          <t>Panagua CC</t>
        </is>
      </c>
      <c r="D80" t="inlineStr">
        <is>
          <t>160</t>
        </is>
      </c>
      <c r="E80">
        <f>HYPERLINK("https://www.britishcycling.org.uk/points?person_id=181196&amp;year=2021&amp;type=national&amp;d=6","Results")</f>
        <v/>
      </c>
    </row>
    <row r="81">
      <c r="A81" t="inlineStr">
        <is>
          <t>80</t>
        </is>
      </c>
      <c r="B81" t="inlineStr">
        <is>
          <t>George Holland</t>
        </is>
      </c>
      <c r="C81" t="inlineStr">
        <is>
          <t>Albarosa Cycling Club</t>
        </is>
      </c>
      <c r="D81" t="inlineStr">
        <is>
          <t>160</t>
        </is>
      </c>
      <c r="E81">
        <f>HYPERLINK("https://www.britishcycling.org.uk/points?person_id=436523&amp;year=2021&amp;type=national&amp;d=6","Results")</f>
        <v/>
      </c>
    </row>
    <row r="82">
      <c r="A82" t="inlineStr">
        <is>
          <t>81</t>
        </is>
      </c>
      <c r="B82" t="inlineStr">
        <is>
          <t>Alec Briggs</t>
        </is>
      </c>
      <c r="C82" t="inlineStr">
        <is>
          <t>TEKKERZ CC</t>
        </is>
      </c>
      <c r="D82" t="inlineStr">
        <is>
          <t>158</t>
        </is>
      </c>
      <c r="E82">
        <f>HYPERLINK("https://www.britishcycling.org.uk/points?person_id=77719&amp;year=2021&amp;type=national&amp;d=6","Results")</f>
        <v/>
      </c>
    </row>
    <row r="83">
      <c r="A83" t="inlineStr">
        <is>
          <t>82</t>
        </is>
      </c>
      <c r="B83" t="inlineStr">
        <is>
          <t>James Ashcroft</t>
        </is>
      </c>
      <c r="C83" t="inlineStr">
        <is>
          <t>Nopinz Motip Race Team</t>
        </is>
      </c>
      <c r="D83" t="inlineStr">
        <is>
          <t>154</t>
        </is>
      </c>
      <c r="E83">
        <f>HYPERLINK("https://www.britishcycling.org.uk/points?person_id=189777&amp;year=2021&amp;type=national&amp;d=6","Results")</f>
        <v/>
      </c>
    </row>
    <row r="84">
      <c r="A84" t="inlineStr">
        <is>
          <t>83</t>
        </is>
      </c>
      <c r="B84" t="inlineStr">
        <is>
          <t>Phil Wilks</t>
        </is>
      </c>
      <c r="C84" t="inlineStr">
        <is>
          <t>Sotonia CC</t>
        </is>
      </c>
      <c r="D84" t="inlineStr">
        <is>
          <t>154</t>
        </is>
      </c>
      <c r="E84">
        <f>HYPERLINK("https://www.britishcycling.org.uk/points?person_id=243871&amp;year=2021&amp;type=national&amp;d=6","Results")</f>
        <v/>
      </c>
    </row>
    <row r="85">
      <c r="A85" t="inlineStr">
        <is>
          <t>84</t>
        </is>
      </c>
      <c r="B85" t="inlineStr">
        <is>
          <t>Alex Powell</t>
        </is>
      </c>
      <c r="C85" t="inlineStr">
        <is>
          <t>Cardiff JIF</t>
        </is>
      </c>
      <c r="D85" t="inlineStr">
        <is>
          <t>152</t>
        </is>
      </c>
      <c r="E85">
        <f>HYPERLINK("https://www.britishcycling.org.uk/points?person_id=188680&amp;year=2021&amp;type=national&amp;d=6","Results")</f>
        <v/>
      </c>
    </row>
    <row r="86">
      <c r="A86" t="inlineStr">
        <is>
          <t>85</t>
        </is>
      </c>
      <c r="B86" t="inlineStr">
        <is>
          <t>Michael Burke</t>
        </is>
      </c>
      <c r="C86" t="inlineStr">
        <is>
          <t>Welland Valley CC</t>
        </is>
      </c>
      <c r="D86" t="inlineStr">
        <is>
          <t>151</t>
        </is>
      </c>
      <c r="E86">
        <f>HYPERLINK("https://www.britishcycling.org.uk/points?person_id=243017&amp;year=2021&amp;type=national&amp;d=6","Results")</f>
        <v/>
      </c>
    </row>
    <row r="87">
      <c r="A87" t="inlineStr">
        <is>
          <t>86</t>
        </is>
      </c>
      <c r="B87" t="inlineStr">
        <is>
          <t>Josh Gibson</t>
        </is>
      </c>
      <c r="C87" t="inlineStr">
        <is>
          <t>SCOTT Racing</t>
        </is>
      </c>
      <c r="D87" t="inlineStr">
        <is>
          <t>151</t>
        </is>
      </c>
      <c r="E87">
        <f>HYPERLINK("https://www.britishcycling.org.uk/points?person_id=227130&amp;year=2021&amp;type=national&amp;d=6","Results")</f>
        <v/>
      </c>
    </row>
    <row r="88">
      <c r="A88" t="inlineStr">
        <is>
          <t>87</t>
        </is>
      </c>
      <c r="B88" t="inlineStr">
        <is>
          <t>Daniel Hall</t>
        </is>
      </c>
      <c r="C88" t="inlineStr">
        <is>
          <t>Colchester Rovers CC</t>
        </is>
      </c>
      <c r="D88" t="inlineStr">
        <is>
          <t>151</t>
        </is>
      </c>
      <c r="E88">
        <f>HYPERLINK("https://www.britishcycling.org.uk/points?person_id=176273&amp;year=2021&amp;type=national&amp;d=6","Results")</f>
        <v/>
      </c>
    </row>
    <row r="89">
      <c r="A89" t="inlineStr">
        <is>
          <t>88</t>
        </is>
      </c>
      <c r="B89" t="inlineStr">
        <is>
          <t>Luke Kennard</t>
        </is>
      </c>
      <c r="C89" t="inlineStr">
        <is>
          <t>Hunt Bike Wheels</t>
        </is>
      </c>
      <c r="D89" t="inlineStr">
        <is>
          <t>146</t>
        </is>
      </c>
      <c r="E89">
        <f>HYPERLINK("https://www.britishcycling.org.uk/points?person_id=107253&amp;year=2021&amp;type=national&amp;d=6","Results")</f>
        <v/>
      </c>
    </row>
    <row r="90">
      <c r="A90" t="inlineStr">
        <is>
          <t>89</t>
        </is>
      </c>
      <c r="B90" t="inlineStr">
        <is>
          <t>Neil Dunn</t>
        </is>
      </c>
      <c r="C90" t="inlineStr"/>
      <c r="D90" t="inlineStr">
        <is>
          <t>145</t>
        </is>
      </c>
      <c r="E90">
        <f>HYPERLINK("https://www.britishcycling.org.uk/points?person_id=102086&amp;year=2021&amp;type=national&amp;d=6","Results")</f>
        <v/>
      </c>
    </row>
    <row r="91">
      <c r="A91" t="inlineStr">
        <is>
          <t>90</t>
        </is>
      </c>
      <c r="B91" t="inlineStr">
        <is>
          <t>Lewys Hobbs</t>
        </is>
      </c>
      <c r="C91" t="inlineStr">
        <is>
          <t>UF Rowe &amp; King</t>
        </is>
      </c>
      <c r="D91" t="inlineStr">
        <is>
          <t>144</t>
        </is>
      </c>
      <c r="E91">
        <f>HYPERLINK("https://www.britishcycling.org.uk/points?person_id=17464&amp;year=2021&amp;type=national&amp;d=6","Results")</f>
        <v/>
      </c>
    </row>
    <row r="92">
      <c r="A92" t="inlineStr">
        <is>
          <t>91</t>
        </is>
      </c>
      <c r="B92" t="inlineStr">
        <is>
          <t>Finn Mansfield</t>
        </is>
      </c>
      <c r="C92" t="inlineStr">
        <is>
          <t>Cero - Cycle Division Racing Team</t>
        </is>
      </c>
      <c r="D92" t="inlineStr">
        <is>
          <t>143</t>
        </is>
      </c>
      <c r="E92">
        <f>HYPERLINK("https://www.britishcycling.org.uk/points?person_id=185354&amp;year=2021&amp;type=national&amp;d=6","Results")</f>
        <v/>
      </c>
    </row>
    <row r="93">
      <c r="A93" t="inlineStr">
        <is>
          <t>92</t>
        </is>
      </c>
      <c r="B93" t="inlineStr">
        <is>
          <t>Callum Laborde</t>
        </is>
      </c>
      <c r="C93" t="inlineStr">
        <is>
          <t>Tofauti Everyone Active</t>
        </is>
      </c>
      <c r="D93" t="inlineStr">
        <is>
          <t>142</t>
        </is>
      </c>
      <c r="E93">
        <f>HYPERLINK("https://www.britishcycling.org.uk/points?person_id=278810&amp;year=2021&amp;type=national&amp;d=6","Results")</f>
        <v/>
      </c>
    </row>
    <row r="94">
      <c r="A94" t="inlineStr">
        <is>
          <t>93</t>
        </is>
      </c>
      <c r="B94" t="inlineStr">
        <is>
          <t>Oscar Hutchings</t>
        </is>
      </c>
      <c r="C94" t="inlineStr">
        <is>
          <t>Team Tor 2000 Kalas</t>
        </is>
      </c>
      <c r="D94" t="inlineStr">
        <is>
          <t>140</t>
        </is>
      </c>
      <c r="E94">
        <f>HYPERLINK("https://www.britishcycling.org.uk/points?person_id=129343&amp;year=2021&amp;type=national&amp;d=6","Results")</f>
        <v/>
      </c>
    </row>
    <row r="95">
      <c r="A95" t="inlineStr">
        <is>
          <t>94</t>
        </is>
      </c>
      <c r="B95" t="inlineStr">
        <is>
          <t>Harry Walshaw</t>
        </is>
      </c>
      <c r="C95" t="inlineStr">
        <is>
          <t>Shibden Cycling Club</t>
        </is>
      </c>
      <c r="D95" t="inlineStr">
        <is>
          <t>140</t>
        </is>
      </c>
      <c r="E95">
        <f>HYPERLINK("https://www.britishcycling.org.uk/points?person_id=102973&amp;year=2021&amp;type=national&amp;d=6","Results")</f>
        <v/>
      </c>
    </row>
    <row r="96">
      <c r="A96" t="inlineStr">
        <is>
          <t>95</t>
        </is>
      </c>
      <c r="B96" t="inlineStr">
        <is>
          <t>Peter Sammon</t>
        </is>
      </c>
      <c r="C96" t="inlineStr"/>
      <c r="D96" t="inlineStr">
        <is>
          <t>139</t>
        </is>
      </c>
      <c r="E96">
        <f>HYPERLINK("https://www.britishcycling.org.uk/points?person_id=75879&amp;year=2021&amp;type=national&amp;d=6","Results")</f>
        <v/>
      </c>
    </row>
    <row r="97">
      <c r="A97" t="inlineStr">
        <is>
          <t>96</t>
        </is>
      </c>
      <c r="B97" t="inlineStr">
        <is>
          <t>Dan Clark</t>
        </is>
      </c>
      <c r="C97" t="inlineStr">
        <is>
          <t>Hunt Bike Wheels</t>
        </is>
      </c>
      <c r="D97" t="inlineStr">
        <is>
          <t>137</t>
        </is>
      </c>
      <c r="E97">
        <f>HYPERLINK("https://www.britishcycling.org.uk/points?person_id=702643&amp;year=2021&amp;type=national&amp;d=6","Results")</f>
        <v/>
      </c>
    </row>
    <row r="98">
      <c r="A98" t="inlineStr">
        <is>
          <t>97</t>
        </is>
      </c>
      <c r="B98" t="inlineStr">
        <is>
          <t>Nicholas Craig</t>
        </is>
      </c>
      <c r="C98" t="inlineStr">
        <is>
          <t>SCOTT Racing</t>
        </is>
      </c>
      <c r="D98" t="inlineStr">
        <is>
          <t>137</t>
        </is>
      </c>
      <c r="E98">
        <f>HYPERLINK("https://www.britishcycling.org.uk/points?person_id=12100&amp;year=2021&amp;type=national&amp;d=6","Results")</f>
        <v/>
      </c>
    </row>
    <row r="99">
      <c r="A99" t="inlineStr">
        <is>
          <t>98</t>
        </is>
      </c>
      <c r="B99" t="inlineStr">
        <is>
          <t>Dylan Dayman</t>
        </is>
      </c>
      <c r="C99" t="inlineStr">
        <is>
          <t>Southfork Racing.co.uk</t>
        </is>
      </c>
      <c r="D99" t="inlineStr">
        <is>
          <t>134</t>
        </is>
      </c>
      <c r="E99">
        <f>HYPERLINK("https://www.britishcycling.org.uk/points?person_id=702004&amp;year=2021&amp;type=national&amp;d=6","Results")</f>
        <v/>
      </c>
    </row>
    <row r="100">
      <c r="A100" t="inlineStr">
        <is>
          <t>99</t>
        </is>
      </c>
      <c r="B100" t="inlineStr">
        <is>
          <t>Barney Clacy</t>
        </is>
      </c>
      <c r="C100" t="inlineStr"/>
      <c r="D100" t="inlineStr">
        <is>
          <t>131</t>
        </is>
      </c>
      <c r="E100">
        <f>HYPERLINK("https://www.britishcycling.org.uk/points?person_id=289480&amp;year=2021&amp;type=national&amp;d=6","Results")</f>
        <v/>
      </c>
    </row>
    <row r="101">
      <c r="A101" t="inlineStr">
        <is>
          <t>100</t>
        </is>
      </c>
      <c r="B101" t="inlineStr">
        <is>
          <t>Gareth Davies</t>
        </is>
      </c>
      <c r="C101" t="inlineStr">
        <is>
          <t>Will Houghton Racing Team</t>
        </is>
      </c>
      <c r="D101" t="inlineStr">
        <is>
          <t>129</t>
        </is>
      </c>
      <c r="E101">
        <f>HYPERLINK("https://www.britishcycling.org.uk/points?person_id=388806&amp;year=2021&amp;type=national&amp;d=6","Results")</f>
        <v/>
      </c>
    </row>
    <row r="102">
      <c r="A102" t="inlineStr">
        <is>
          <t>101</t>
        </is>
      </c>
      <c r="B102" t="inlineStr">
        <is>
          <t>Dru Dennis</t>
        </is>
      </c>
      <c r="C102" t="inlineStr">
        <is>
          <t>Panagua CC</t>
        </is>
      </c>
      <c r="D102" t="inlineStr">
        <is>
          <t>129</t>
        </is>
      </c>
      <c r="E102">
        <f>HYPERLINK("https://www.britishcycling.org.uk/points?person_id=888497&amp;year=2021&amp;type=national&amp;d=6","Results")</f>
        <v/>
      </c>
    </row>
    <row r="103">
      <c r="A103" t="inlineStr">
        <is>
          <t>102</t>
        </is>
      </c>
      <c r="B103" t="inlineStr">
        <is>
          <t>Joe Parker</t>
        </is>
      </c>
      <c r="C103" t="inlineStr">
        <is>
          <t>Racing Club Ravenna</t>
        </is>
      </c>
      <c r="D103" t="inlineStr">
        <is>
          <t>129</t>
        </is>
      </c>
      <c r="E103">
        <f>HYPERLINK("https://www.britishcycling.org.uk/points?person_id=10012&amp;year=2021&amp;type=national&amp;d=6","Results")</f>
        <v/>
      </c>
    </row>
    <row r="104">
      <c r="A104" t="inlineStr">
        <is>
          <t>103</t>
        </is>
      </c>
      <c r="B104" t="inlineStr">
        <is>
          <t>Jonathan Pugh</t>
        </is>
      </c>
      <c r="C104" t="inlineStr">
        <is>
          <t>The Bulls</t>
        </is>
      </c>
      <c r="D104" t="inlineStr">
        <is>
          <t>125</t>
        </is>
      </c>
      <c r="E104">
        <f>HYPERLINK("https://www.britishcycling.org.uk/points?person_id=49273&amp;year=2021&amp;type=national&amp;d=6","Results")</f>
        <v/>
      </c>
    </row>
    <row r="105">
      <c r="A105" t="inlineStr">
        <is>
          <t>104</t>
        </is>
      </c>
      <c r="B105" t="inlineStr">
        <is>
          <t>Sam Freeman</t>
        </is>
      </c>
      <c r="C105" t="inlineStr">
        <is>
          <t>Montezuma's Race Team</t>
        </is>
      </c>
      <c r="D105" t="inlineStr">
        <is>
          <t>124</t>
        </is>
      </c>
      <c r="E105">
        <f>HYPERLINK("https://www.britishcycling.org.uk/points?person_id=228033&amp;year=2021&amp;type=national&amp;d=6","Results")</f>
        <v/>
      </c>
    </row>
    <row r="106">
      <c r="A106" t="inlineStr">
        <is>
          <t>105</t>
        </is>
      </c>
      <c r="B106" t="inlineStr">
        <is>
          <t>Alex Watkins</t>
        </is>
      </c>
      <c r="C106" t="inlineStr">
        <is>
          <t>Sarum Velo</t>
        </is>
      </c>
      <c r="D106" t="inlineStr">
        <is>
          <t>121</t>
        </is>
      </c>
      <c r="E106">
        <f>HYPERLINK("https://www.britishcycling.org.uk/points?person_id=497423&amp;year=2021&amp;type=national&amp;d=6","Results")</f>
        <v/>
      </c>
    </row>
    <row r="107">
      <c r="A107" t="inlineStr">
        <is>
          <t>106</t>
        </is>
      </c>
      <c r="B107" t="inlineStr">
        <is>
          <t>Lewis Askey</t>
        </is>
      </c>
      <c r="C107" t="inlineStr">
        <is>
          <t>Equipe Cycliste Continentale Groupama-FDJ</t>
        </is>
      </c>
      <c r="D107" t="inlineStr">
        <is>
          <t>120</t>
        </is>
      </c>
      <c r="E107">
        <f>HYPERLINK("https://www.britishcycling.org.uk/points?person_id=61194&amp;year=2021&amp;type=national&amp;d=6","Results")</f>
        <v/>
      </c>
    </row>
    <row r="108">
      <c r="A108" t="inlineStr">
        <is>
          <t>107</t>
        </is>
      </c>
      <c r="B108" t="inlineStr">
        <is>
          <t>Ethan Grimshaw</t>
        </is>
      </c>
      <c r="C108" t="inlineStr">
        <is>
          <t>Cookson Cycles</t>
        </is>
      </c>
      <c r="D108" t="inlineStr">
        <is>
          <t>120</t>
        </is>
      </c>
      <c r="E108">
        <f>HYPERLINK("https://www.britishcycling.org.uk/points?person_id=215903&amp;year=2021&amp;type=national&amp;d=6","Results")</f>
        <v/>
      </c>
    </row>
    <row r="109">
      <c r="A109" t="inlineStr">
        <is>
          <t>108</t>
        </is>
      </c>
      <c r="B109" t="inlineStr">
        <is>
          <t>Lewis Martin</t>
        </is>
      </c>
      <c r="C109" t="inlineStr">
        <is>
          <t>Studio Velo</t>
        </is>
      </c>
      <c r="D109" t="inlineStr">
        <is>
          <t>120</t>
        </is>
      </c>
      <c r="E109">
        <f>HYPERLINK("https://www.britishcycling.org.uk/points?person_id=133261&amp;year=2021&amp;type=national&amp;d=6","Results")</f>
        <v/>
      </c>
    </row>
    <row r="110">
      <c r="A110" t="inlineStr">
        <is>
          <t>109</t>
        </is>
      </c>
      <c r="B110" t="inlineStr">
        <is>
          <t>Grant Ferguson</t>
        </is>
      </c>
      <c r="C110" t="inlineStr">
        <is>
          <t>Hope Factory Racing</t>
        </is>
      </c>
      <c r="D110" t="inlineStr">
        <is>
          <t>118</t>
        </is>
      </c>
      <c r="E110">
        <f>HYPERLINK("https://www.britishcycling.org.uk/points?person_id=76066&amp;year=2021&amp;type=national&amp;d=6","Results")</f>
        <v/>
      </c>
    </row>
    <row r="111">
      <c r="A111" t="inlineStr">
        <is>
          <t>110</t>
        </is>
      </c>
      <c r="B111" t="inlineStr">
        <is>
          <t>Philip Glowinski</t>
        </is>
      </c>
      <c r="C111" t="inlineStr">
        <is>
          <t>VC Londres</t>
        </is>
      </c>
      <c r="D111" t="inlineStr">
        <is>
          <t>118</t>
        </is>
      </c>
      <c r="E111">
        <f>HYPERLINK("https://www.britishcycling.org.uk/points?person_id=34945&amp;year=2021&amp;type=national&amp;d=6","Results")</f>
        <v/>
      </c>
    </row>
    <row r="112">
      <c r="A112" t="inlineStr">
        <is>
          <t>111</t>
        </is>
      </c>
      <c r="B112" t="inlineStr">
        <is>
          <t>Chris Panayiotou</t>
        </is>
      </c>
      <c r="C112" t="inlineStr">
        <is>
          <t>Paceline RT</t>
        </is>
      </c>
      <c r="D112" t="inlineStr">
        <is>
          <t>117</t>
        </is>
      </c>
      <c r="E112">
        <f>HYPERLINK("https://www.britishcycling.org.uk/points?person_id=26013&amp;year=2021&amp;type=national&amp;d=6","Results")</f>
        <v/>
      </c>
    </row>
    <row r="113">
      <c r="A113" t="inlineStr">
        <is>
          <t>112</t>
        </is>
      </c>
      <c r="B113" t="inlineStr">
        <is>
          <t>Charlie Johnson</t>
        </is>
      </c>
      <c r="C113" t="inlineStr">
        <is>
          <t>Fast Test Racing Team</t>
        </is>
      </c>
      <c r="D113" t="inlineStr">
        <is>
          <t>112</t>
        </is>
      </c>
      <c r="E113">
        <f>HYPERLINK("https://www.britishcycling.org.uk/points?person_id=175116&amp;year=2021&amp;type=national&amp;d=6","Results")</f>
        <v/>
      </c>
    </row>
    <row r="114">
      <c r="A114" t="inlineStr">
        <is>
          <t>113</t>
        </is>
      </c>
      <c r="B114" t="inlineStr">
        <is>
          <t>Andrea Bartoluccio</t>
        </is>
      </c>
      <c r="C114" t="inlineStr">
        <is>
          <t>Verulam - reallymoving.com</t>
        </is>
      </c>
      <c r="D114" t="inlineStr">
        <is>
          <t>111</t>
        </is>
      </c>
      <c r="E114">
        <f>HYPERLINK("https://www.britishcycling.org.uk/points?person_id=983040&amp;year=2021&amp;type=national&amp;d=6","Results")</f>
        <v/>
      </c>
    </row>
    <row r="115">
      <c r="A115" t="inlineStr">
        <is>
          <t>114</t>
        </is>
      </c>
      <c r="B115" t="inlineStr">
        <is>
          <t>Scott Fisher</t>
        </is>
      </c>
      <c r="C115" t="inlineStr">
        <is>
          <t>Una Forza Racing</t>
        </is>
      </c>
      <c r="D115" t="inlineStr">
        <is>
          <t>111</t>
        </is>
      </c>
      <c r="E115">
        <f>HYPERLINK("https://www.britishcycling.org.uk/points?person_id=262830&amp;year=2021&amp;type=national&amp;d=6","Results")</f>
        <v/>
      </c>
    </row>
    <row r="116">
      <c r="A116" t="inlineStr">
        <is>
          <t>115</t>
        </is>
      </c>
      <c r="B116" t="inlineStr">
        <is>
          <t>Gabriel Hamon</t>
        </is>
      </c>
      <c r="C116" t="inlineStr">
        <is>
          <t>Cardiff JIF</t>
        </is>
      </c>
      <c r="D116" t="inlineStr">
        <is>
          <t>110</t>
        </is>
      </c>
      <c r="E116">
        <f>HYPERLINK("https://www.britishcycling.org.uk/points?person_id=830640&amp;year=2021&amp;type=national&amp;d=6","Results")</f>
        <v/>
      </c>
    </row>
    <row r="117">
      <c r="A117" t="inlineStr">
        <is>
          <t>116</t>
        </is>
      </c>
      <c r="B117" t="inlineStr">
        <is>
          <t>Marco Ruggeri</t>
        </is>
      </c>
      <c r="C117" t="inlineStr">
        <is>
          <t>Rapha Cycling Club</t>
        </is>
      </c>
      <c r="D117" t="inlineStr">
        <is>
          <t>110</t>
        </is>
      </c>
      <c r="E117">
        <f>HYPERLINK("https://www.britishcycling.org.uk/points?person_id=865145&amp;year=2021&amp;type=national&amp;d=6","Results")</f>
        <v/>
      </c>
    </row>
    <row r="118">
      <c r="A118" t="inlineStr">
        <is>
          <t>117</t>
        </is>
      </c>
      <c r="B118" t="inlineStr">
        <is>
          <t>David Rees</t>
        </is>
      </c>
      <c r="C118" t="inlineStr">
        <is>
          <t>Dulwich Paragon CC</t>
        </is>
      </c>
      <c r="D118" t="inlineStr">
        <is>
          <t>109</t>
        </is>
      </c>
      <c r="E118">
        <f>HYPERLINK("https://www.britishcycling.org.uk/points?person_id=64390&amp;year=2021&amp;type=national&amp;d=6","Results")</f>
        <v/>
      </c>
    </row>
    <row r="119">
      <c r="A119" t="inlineStr">
        <is>
          <t>118</t>
        </is>
      </c>
      <c r="B119" t="inlineStr">
        <is>
          <t>Olivier Martinez</t>
        </is>
      </c>
      <c r="C119" t="inlineStr">
        <is>
          <t>Dulwich Paragon CC</t>
        </is>
      </c>
      <c r="D119" t="inlineStr">
        <is>
          <t>108</t>
        </is>
      </c>
      <c r="E119">
        <f>HYPERLINK("https://www.britishcycling.org.uk/points?person_id=1009277&amp;year=2021&amp;type=national&amp;d=6","Results")</f>
        <v/>
      </c>
    </row>
    <row r="120">
      <c r="A120" t="inlineStr">
        <is>
          <t>119</t>
        </is>
      </c>
      <c r="B120" t="inlineStr">
        <is>
          <t>Corey Bale</t>
        </is>
      </c>
      <c r="C120" t="inlineStr">
        <is>
          <t>Brother UK-Orientation marketing</t>
        </is>
      </c>
      <c r="D120" t="inlineStr">
        <is>
          <t>107</t>
        </is>
      </c>
      <c r="E120">
        <f>HYPERLINK("https://www.britishcycling.org.uk/points?person_id=348436&amp;year=2021&amp;type=national&amp;d=6","Results")</f>
        <v/>
      </c>
    </row>
    <row r="121">
      <c r="A121" t="inlineStr">
        <is>
          <t>120</t>
        </is>
      </c>
      <c r="B121" t="inlineStr">
        <is>
          <t>Daniel David</t>
        </is>
      </c>
      <c r="C121" t="inlineStr">
        <is>
          <t>LBRCC (Leighton Buzzard Road CC)</t>
        </is>
      </c>
      <c r="D121" t="inlineStr">
        <is>
          <t>106</t>
        </is>
      </c>
      <c r="E121">
        <f>HYPERLINK("https://www.britishcycling.org.uk/points?person_id=515076&amp;year=2021&amp;type=national&amp;d=6","Results")</f>
        <v/>
      </c>
    </row>
    <row r="122">
      <c r="A122" t="inlineStr">
        <is>
          <t>121</t>
        </is>
      </c>
      <c r="B122" t="inlineStr">
        <is>
          <t>Sam Kettlewell</t>
        </is>
      </c>
      <c r="C122" t="inlineStr">
        <is>
          <t>TS Racing</t>
        </is>
      </c>
      <c r="D122" t="inlineStr">
        <is>
          <t>105</t>
        </is>
      </c>
      <c r="E122">
        <f>HYPERLINK("https://www.britishcycling.org.uk/points?person_id=801055&amp;year=2021&amp;type=national&amp;d=6","Results")</f>
        <v/>
      </c>
    </row>
    <row r="123">
      <c r="A123" t="inlineStr">
        <is>
          <t>122</t>
        </is>
      </c>
      <c r="B123" t="inlineStr">
        <is>
          <t>Oliver Allen</t>
        </is>
      </c>
      <c r="C123" t="inlineStr">
        <is>
          <t>Pilgrim Flyers</t>
        </is>
      </c>
      <c r="D123" t="inlineStr">
        <is>
          <t>104</t>
        </is>
      </c>
      <c r="E123">
        <f>HYPERLINK("https://www.britishcycling.org.uk/points?person_id=313490&amp;year=2021&amp;type=national&amp;d=6","Results")</f>
        <v/>
      </c>
    </row>
    <row r="124">
      <c r="A124" t="inlineStr">
        <is>
          <t>123</t>
        </is>
      </c>
      <c r="B124" t="inlineStr">
        <is>
          <t>James Bevan</t>
        </is>
      </c>
      <c r="C124" t="inlineStr">
        <is>
          <t>Army Cycling Union</t>
        </is>
      </c>
      <c r="D124" t="inlineStr">
        <is>
          <t>103</t>
        </is>
      </c>
      <c r="E124">
        <f>HYPERLINK("https://www.britishcycling.org.uk/points?person_id=191217&amp;year=2021&amp;type=national&amp;d=6","Results")</f>
        <v/>
      </c>
    </row>
    <row r="125">
      <c r="A125" t="inlineStr">
        <is>
          <t>124</t>
        </is>
      </c>
      <c r="B125" t="inlineStr">
        <is>
          <t>Benjamin Horrobin</t>
        </is>
      </c>
      <c r="C125" t="inlineStr">
        <is>
          <t>Horwich CC</t>
        </is>
      </c>
      <c r="D125" t="inlineStr">
        <is>
          <t>102</t>
        </is>
      </c>
      <c r="E125">
        <f>HYPERLINK("https://www.britishcycling.org.uk/points?person_id=265363&amp;year=2021&amp;type=national&amp;d=6","Results")</f>
        <v/>
      </c>
    </row>
    <row r="126">
      <c r="A126" t="inlineStr">
        <is>
          <t>125</t>
        </is>
      </c>
      <c r="B126" t="inlineStr">
        <is>
          <t>Dominic Spencer</t>
        </is>
      </c>
      <c r="C126" t="inlineStr">
        <is>
          <t>Exeter Wheelers</t>
        </is>
      </c>
      <c r="D126" t="inlineStr">
        <is>
          <t>102</t>
        </is>
      </c>
      <c r="E126">
        <f>HYPERLINK("https://www.britishcycling.org.uk/points?person_id=327564&amp;year=2021&amp;type=national&amp;d=6","Results")</f>
        <v/>
      </c>
    </row>
    <row r="127">
      <c r="A127" t="inlineStr">
        <is>
          <t>126</t>
        </is>
      </c>
      <c r="B127" t="inlineStr">
        <is>
          <t>Andy Dryburgh</t>
        </is>
      </c>
      <c r="C127" t="inlineStr">
        <is>
          <t>Gateway Racing</t>
        </is>
      </c>
      <c r="D127" t="inlineStr">
        <is>
          <t>101</t>
        </is>
      </c>
      <c r="E127">
        <f>HYPERLINK("https://www.britishcycling.org.uk/points?person_id=327566&amp;year=2021&amp;type=national&amp;d=6","Results")</f>
        <v/>
      </c>
    </row>
    <row r="128">
      <c r="A128" t="inlineStr">
        <is>
          <t>127</t>
        </is>
      </c>
      <c r="B128" t="inlineStr">
        <is>
          <t>Louis Evans</t>
        </is>
      </c>
      <c r="C128" t="inlineStr">
        <is>
          <t>Team Novo Nordisk</t>
        </is>
      </c>
      <c r="D128" t="inlineStr">
        <is>
          <t>100</t>
        </is>
      </c>
      <c r="E128">
        <f>HYPERLINK("https://www.britishcycling.org.uk/points?person_id=376315&amp;year=2021&amp;type=national&amp;d=6","Results")</f>
        <v/>
      </c>
    </row>
    <row r="129">
      <c r="A129" t="inlineStr">
        <is>
          <t>128</t>
        </is>
      </c>
      <c r="B129" t="inlineStr">
        <is>
          <t>Flynn Gregory</t>
        </is>
      </c>
      <c r="C129" t="inlineStr">
        <is>
          <t>Wheelbase CabTech Castelli</t>
        </is>
      </c>
      <c r="D129" t="inlineStr">
        <is>
          <t>100</t>
        </is>
      </c>
      <c r="E129">
        <f>HYPERLINK("https://www.britishcycling.org.uk/points?person_id=444211&amp;year=2021&amp;type=national&amp;d=6","Results")</f>
        <v/>
      </c>
    </row>
    <row r="130">
      <c r="A130" t="inlineStr">
        <is>
          <t>129</t>
        </is>
      </c>
      <c r="B130" t="inlineStr">
        <is>
          <t>Gary MacDonald</t>
        </is>
      </c>
      <c r="C130" t="inlineStr">
        <is>
          <t>Nevis Cycles Racing Team</t>
        </is>
      </c>
      <c r="D130" t="inlineStr">
        <is>
          <t>100</t>
        </is>
      </c>
      <c r="E130">
        <f>HYPERLINK("https://www.britishcycling.org.uk/points?person_id=304599&amp;year=2021&amp;type=national&amp;d=6","Results")</f>
        <v/>
      </c>
    </row>
    <row r="131">
      <c r="A131" t="inlineStr">
        <is>
          <t>130</t>
        </is>
      </c>
      <c r="B131" t="inlineStr">
        <is>
          <t>Kyle Houston</t>
        </is>
      </c>
      <c r="C131" t="inlineStr">
        <is>
          <t>Gorilla Coffee Cycling Club</t>
        </is>
      </c>
      <c r="D131" t="inlineStr">
        <is>
          <t>99</t>
        </is>
      </c>
      <c r="E131">
        <f>HYPERLINK("https://www.britishcycling.org.uk/points?person_id=682912&amp;year=2021&amp;type=national&amp;d=6","Results")</f>
        <v/>
      </c>
    </row>
    <row r="132">
      <c r="A132" t="inlineStr">
        <is>
          <t>131</t>
        </is>
      </c>
      <c r="B132" t="inlineStr">
        <is>
          <t>Mark Fiddy</t>
        </is>
      </c>
      <c r="C132" t="inlineStr">
        <is>
          <t>Welland Valley CC</t>
        </is>
      </c>
      <c r="D132" t="inlineStr">
        <is>
          <t>98</t>
        </is>
      </c>
      <c r="E132">
        <f>HYPERLINK("https://www.britishcycling.org.uk/points?person_id=322960&amp;year=2021&amp;type=national&amp;d=6","Results")</f>
        <v/>
      </c>
    </row>
    <row r="133">
      <c r="A133" t="inlineStr">
        <is>
          <t>132</t>
        </is>
      </c>
      <c r="B133" t="inlineStr">
        <is>
          <t>Daniel Porter</t>
        </is>
      </c>
      <c r="C133" t="inlineStr">
        <is>
          <t>Horwich CC</t>
        </is>
      </c>
      <c r="D133" t="inlineStr">
        <is>
          <t>98</t>
        </is>
      </c>
      <c r="E133">
        <f>HYPERLINK("https://www.britishcycling.org.uk/points?person_id=292345&amp;year=2021&amp;type=national&amp;d=6","Results")</f>
        <v/>
      </c>
    </row>
    <row r="134">
      <c r="A134" t="inlineStr">
        <is>
          <t>133</t>
        </is>
      </c>
      <c r="B134" t="inlineStr">
        <is>
          <t>Scott Chalmers</t>
        </is>
      </c>
      <c r="C134" t="inlineStr">
        <is>
          <t>Morvelo Magspeed Racing</t>
        </is>
      </c>
      <c r="D134" t="inlineStr">
        <is>
          <t>97</t>
        </is>
      </c>
      <c r="E134">
        <f>HYPERLINK("https://www.britishcycling.org.uk/points?person_id=55436&amp;year=2021&amp;type=national&amp;d=6","Results")</f>
        <v/>
      </c>
    </row>
    <row r="135">
      <c r="A135" t="inlineStr">
        <is>
          <t>134</t>
        </is>
      </c>
      <c r="B135" t="inlineStr">
        <is>
          <t>James Garrett</t>
        </is>
      </c>
      <c r="C135" t="inlineStr">
        <is>
          <t>Rugby Velo</t>
        </is>
      </c>
      <c r="D135" t="inlineStr">
        <is>
          <t>96</t>
        </is>
      </c>
      <c r="E135">
        <f>HYPERLINK("https://www.britishcycling.org.uk/points?person_id=122882&amp;year=2021&amp;type=national&amp;d=6","Results")</f>
        <v/>
      </c>
    </row>
    <row r="136">
      <c r="A136" t="inlineStr">
        <is>
          <t>135</t>
        </is>
      </c>
      <c r="B136" t="inlineStr">
        <is>
          <t>William Dykes</t>
        </is>
      </c>
      <c r="C136" t="inlineStr">
        <is>
          <t>Spokes Racing Team</t>
        </is>
      </c>
      <c r="D136" t="inlineStr">
        <is>
          <t>95</t>
        </is>
      </c>
      <c r="E136">
        <f>HYPERLINK("https://www.britishcycling.org.uk/points?person_id=300937&amp;year=2021&amp;type=national&amp;d=6","Results")</f>
        <v/>
      </c>
    </row>
    <row r="137">
      <c r="A137" t="inlineStr">
        <is>
          <t>136</t>
        </is>
      </c>
      <c r="B137" t="inlineStr">
        <is>
          <t>Dan Eastham</t>
        </is>
      </c>
      <c r="C137" t="inlineStr">
        <is>
          <t>Cog Set Papyrus Racing Club</t>
        </is>
      </c>
      <c r="D137" t="inlineStr">
        <is>
          <t>94</t>
        </is>
      </c>
      <c r="E137">
        <f>HYPERLINK("https://www.britishcycling.org.uk/points?person_id=169719&amp;year=2021&amp;type=national&amp;d=6","Results")</f>
        <v/>
      </c>
    </row>
    <row r="138">
      <c r="A138" t="inlineStr">
        <is>
          <t>137</t>
        </is>
      </c>
      <c r="B138" t="inlineStr">
        <is>
          <t>Thomas Yeatman</t>
        </is>
      </c>
      <c r="C138" t="inlineStr">
        <is>
          <t>Oxonian CC</t>
        </is>
      </c>
      <c r="D138" t="inlineStr">
        <is>
          <t>94</t>
        </is>
      </c>
      <c r="E138">
        <f>HYPERLINK("https://www.britishcycling.org.uk/points?person_id=44093&amp;year=2021&amp;type=national&amp;d=6","Results")</f>
        <v/>
      </c>
    </row>
    <row r="139">
      <c r="A139" t="inlineStr">
        <is>
          <t>138</t>
        </is>
      </c>
      <c r="B139" t="inlineStr">
        <is>
          <t>Theo Brumhead</t>
        </is>
      </c>
      <c r="C139" t="inlineStr">
        <is>
          <t>Bristol South CC</t>
        </is>
      </c>
      <c r="D139" t="inlineStr">
        <is>
          <t>92</t>
        </is>
      </c>
      <c r="E139">
        <f>HYPERLINK("https://www.britishcycling.org.uk/points?person_id=43315&amp;year=2021&amp;type=national&amp;d=6","Results")</f>
        <v/>
      </c>
    </row>
    <row r="140">
      <c r="A140" t="inlineStr">
        <is>
          <t>139</t>
        </is>
      </c>
      <c r="B140" t="inlineStr">
        <is>
          <t>Mark Lightfoot</t>
        </is>
      </c>
      <c r="C140" t="inlineStr">
        <is>
          <t>Welwyn Wheelers CC</t>
        </is>
      </c>
      <c r="D140" t="inlineStr">
        <is>
          <t>92</t>
        </is>
      </c>
      <c r="E140">
        <f>HYPERLINK("https://www.britishcycling.org.uk/points?person_id=242567&amp;year=2021&amp;type=national&amp;d=6","Results")</f>
        <v/>
      </c>
    </row>
    <row r="141">
      <c r="A141" t="inlineStr">
        <is>
          <t>140</t>
        </is>
      </c>
      <c r="B141" t="inlineStr">
        <is>
          <t>Nathan Harrison</t>
        </is>
      </c>
      <c r="C141" t="inlineStr">
        <is>
          <t>Kingston Wheelers CC</t>
        </is>
      </c>
      <c r="D141" t="inlineStr">
        <is>
          <t>91</t>
        </is>
      </c>
      <c r="E141">
        <f>HYPERLINK("https://www.britishcycling.org.uk/points?person_id=62138&amp;year=2021&amp;type=national&amp;d=6","Results")</f>
        <v/>
      </c>
    </row>
    <row r="142">
      <c r="A142" t="inlineStr">
        <is>
          <t>141</t>
        </is>
      </c>
      <c r="B142" t="inlineStr">
        <is>
          <t>Trevor Schofield</t>
        </is>
      </c>
      <c r="C142" t="inlineStr">
        <is>
          <t>Moonglu CC</t>
        </is>
      </c>
      <c r="D142" t="inlineStr">
        <is>
          <t>91</t>
        </is>
      </c>
      <c r="E142">
        <f>HYPERLINK("https://www.britishcycling.org.uk/points?person_id=135253&amp;year=2021&amp;type=national&amp;d=6","Results")</f>
        <v/>
      </c>
    </row>
    <row r="143">
      <c r="A143" t="inlineStr">
        <is>
          <t>142</t>
        </is>
      </c>
      <c r="B143" t="inlineStr">
        <is>
          <t>Glen Hale</t>
        </is>
      </c>
      <c r="C143" t="inlineStr">
        <is>
          <t>Trek Sheffield Fox Valley</t>
        </is>
      </c>
      <c r="D143" t="inlineStr">
        <is>
          <t>90</t>
        </is>
      </c>
      <c r="E143">
        <f>HYPERLINK("https://www.britishcycling.org.uk/points?person_id=359476&amp;year=2021&amp;type=national&amp;d=6","Results")</f>
        <v/>
      </c>
    </row>
    <row r="144">
      <c r="A144" t="inlineStr">
        <is>
          <t>143</t>
        </is>
      </c>
      <c r="B144" t="inlineStr">
        <is>
          <t>Matthew Humpage</t>
        </is>
      </c>
      <c r="C144" t="inlineStr"/>
      <c r="D144" t="inlineStr">
        <is>
          <t>90</t>
        </is>
      </c>
      <c r="E144">
        <f>HYPERLINK("https://www.britishcycling.org.uk/points?person_id=242503&amp;year=2021&amp;type=national&amp;d=6","Results")</f>
        <v/>
      </c>
    </row>
    <row r="145">
      <c r="A145" t="inlineStr">
        <is>
          <t>144</t>
        </is>
      </c>
      <c r="B145" t="inlineStr">
        <is>
          <t>Joseph Peatfield</t>
        </is>
      </c>
      <c r="C145" t="inlineStr">
        <is>
          <t>Bridgnorth Cycling Club</t>
        </is>
      </c>
      <c r="D145" t="inlineStr">
        <is>
          <t>90</t>
        </is>
      </c>
      <c r="E145">
        <f>HYPERLINK("https://www.britishcycling.org.uk/points?person_id=102132&amp;year=2021&amp;type=national&amp;d=6","Results")</f>
        <v/>
      </c>
    </row>
    <row r="146">
      <c r="A146" t="inlineStr">
        <is>
          <t>145</t>
        </is>
      </c>
      <c r="B146" t="inlineStr">
        <is>
          <t>James Somerfield</t>
        </is>
      </c>
      <c r="C146" t="inlineStr">
        <is>
          <t>TRASH MILE</t>
        </is>
      </c>
      <c r="D146" t="inlineStr">
        <is>
          <t>90</t>
        </is>
      </c>
      <c r="E146">
        <f>HYPERLINK("https://www.britishcycling.org.uk/points?person_id=652222&amp;year=2021&amp;type=national&amp;d=6","Results")</f>
        <v/>
      </c>
    </row>
    <row r="147">
      <c r="A147" t="inlineStr">
        <is>
          <t>146</t>
        </is>
      </c>
      <c r="B147" t="inlineStr">
        <is>
          <t>Nicholas Charlton-Smith</t>
        </is>
      </c>
      <c r="C147" t="inlineStr">
        <is>
          <t>Nova Race Team</t>
        </is>
      </c>
      <c r="D147" t="inlineStr">
        <is>
          <t>89</t>
        </is>
      </c>
      <c r="E147">
        <f>HYPERLINK("https://www.britishcycling.org.uk/points?person_id=704077&amp;year=2021&amp;type=national&amp;d=6","Results")</f>
        <v/>
      </c>
    </row>
    <row r="148">
      <c r="A148" t="inlineStr">
        <is>
          <t>147</t>
        </is>
      </c>
      <c r="B148" t="inlineStr">
        <is>
          <t>Paul Oldham</t>
        </is>
      </c>
      <c r="C148" t="inlineStr">
        <is>
          <t>Hope Factory Racing</t>
        </is>
      </c>
      <c r="D148" t="inlineStr">
        <is>
          <t>89</t>
        </is>
      </c>
      <c r="E148">
        <f>HYPERLINK("https://www.britishcycling.org.uk/points?person_id=7344&amp;year=2021&amp;type=national&amp;d=6","Results")</f>
        <v/>
      </c>
    </row>
    <row r="149">
      <c r="A149" t="inlineStr">
        <is>
          <t>148</t>
        </is>
      </c>
      <c r="B149" t="inlineStr">
        <is>
          <t>Ben Sampson</t>
        </is>
      </c>
      <c r="C149" t="inlineStr">
        <is>
          <t>LBRCC (Leighton Buzzard Road CC)</t>
        </is>
      </c>
      <c r="D149" t="inlineStr">
        <is>
          <t>88</t>
        </is>
      </c>
      <c r="E149">
        <f>HYPERLINK("https://www.britishcycling.org.uk/points?person_id=616877&amp;year=2021&amp;type=national&amp;d=6","Results")</f>
        <v/>
      </c>
    </row>
    <row r="150">
      <c r="A150" t="inlineStr">
        <is>
          <t>149</t>
        </is>
      </c>
      <c r="B150" t="inlineStr">
        <is>
          <t>Sam Daniels</t>
        </is>
      </c>
      <c r="C150" t="inlineStr">
        <is>
          <t>Cycle Club Ashwell (CCA)</t>
        </is>
      </c>
      <c r="D150" t="inlineStr">
        <is>
          <t>87</t>
        </is>
      </c>
      <c r="E150">
        <f>HYPERLINK("https://www.britishcycling.org.uk/points?person_id=297300&amp;year=2021&amp;type=national&amp;d=6","Results")</f>
        <v/>
      </c>
    </row>
    <row r="151">
      <c r="A151" t="inlineStr">
        <is>
          <t>150</t>
        </is>
      </c>
      <c r="B151" t="inlineStr">
        <is>
          <t>Jake Edwards</t>
        </is>
      </c>
      <c r="C151" t="inlineStr">
        <is>
          <t>Cog Set Papyrus Racing Club</t>
        </is>
      </c>
      <c r="D151" t="inlineStr">
        <is>
          <t>87</t>
        </is>
      </c>
      <c r="E151">
        <f>HYPERLINK("https://www.britishcycling.org.uk/points?person_id=402349&amp;year=2021&amp;type=national&amp;d=6","Results")</f>
        <v/>
      </c>
    </row>
    <row r="152">
      <c r="A152" t="inlineStr">
        <is>
          <t>151</t>
        </is>
      </c>
      <c r="B152" t="inlineStr">
        <is>
          <t>Ian Lee</t>
        </is>
      </c>
      <c r="C152" t="inlineStr">
        <is>
          <t>Royal Air Force CA</t>
        </is>
      </c>
      <c r="D152" t="inlineStr">
        <is>
          <t>86</t>
        </is>
      </c>
      <c r="E152">
        <f>HYPERLINK("https://www.britishcycling.org.uk/points?person_id=42448&amp;year=2021&amp;type=national&amp;d=6","Results")</f>
        <v/>
      </c>
    </row>
    <row r="153">
      <c r="A153" t="inlineStr">
        <is>
          <t>152</t>
        </is>
      </c>
      <c r="B153" t="inlineStr">
        <is>
          <t>Sam Watson</t>
        </is>
      </c>
      <c r="C153" t="inlineStr">
        <is>
          <t>Hope Factory Racing</t>
        </is>
      </c>
      <c r="D153" t="inlineStr">
        <is>
          <t>86</t>
        </is>
      </c>
      <c r="E153">
        <f>HYPERLINK("https://www.britishcycling.org.uk/points?person_id=988954&amp;year=2021&amp;type=national&amp;d=6","Results")</f>
        <v/>
      </c>
    </row>
    <row r="154">
      <c r="A154" t="inlineStr">
        <is>
          <t>153</t>
        </is>
      </c>
      <c r="B154" t="inlineStr">
        <is>
          <t>Thomas Stegeman</t>
        </is>
      </c>
      <c r="C154" t="inlineStr">
        <is>
          <t>Fenland Clarion CC</t>
        </is>
      </c>
      <c r="D154" t="inlineStr">
        <is>
          <t>85</t>
        </is>
      </c>
      <c r="E154">
        <f>HYPERLINK("https://www.britishcycling.org.uk/points?person_id=171750&amp;year=2021&amp;type=national&amp;d=6","Results")</f>
        <v/>
      </c>
    </row>
    <row r="155">
      <c r="A155" t="inlineStr">
        <is>
          <t>154</t>
        </is>
      </c>
      <c r="B155" t="inlineStr">
        <is>
          <t>Max Holgate</t>
        </is>
      </c>
      <c r="C155" t="inlineStr">
        <is>
          <t>Loughborough Students CC</t>
        </is>
      </c>
      <c r="D155" t="inlineStr">
        <is>
          <t>84</t>
        </is>
      </c>
      <c r="E155">
        <f>HYPERLINK("https://www.britishcycling.org.uk/points?person_id=352447&amp;year=2021&amp;type=national&amp;d=6","Results")</f>
        <v/>
      </c>
    </row>
    <row r="156">
      <c r="A156" t="inlineStr">
        <is>
          <t>155</t>
        </is>
      </c>
      <c r="B156" t="inlineStr">
        <is>
          <t>George Thompson</t>
        </is>
      </c>
      <c r="C156" t="inlineStr">
        <is>
          <t>Sleaford Wheelers Cycling Club</t>
        </is>
      </c>
      <c r="D156" t="inlineStr">
        <is>
          <t>84</t>
        </is>
      </c>
      <c r="E156">
        <f>HYPERLINK("https://www.britishcycling.org.uk/points?person_id=52376&amp;year=2021&amp;type=national&amp;d=6","Results")</f>
        <v/>
      </c>
    </row>
    <row r="157">
      <c r="A157" t="inlineStr">
        <is>
          <t>156</t>
        </is>
      </c>
      <c r="B157" t="inlineStr">
        <is>
          <t>Thomas Timberlake</t>
        </is>
      </c>
      <c r="C157" t="inlineStr">
        <is>
          <t>Dyson Cycles</t>
        </is>
      </c>
      <c r="D157" t="inlineStr">
        <is>
          <t>84</t>
        </is>
      </c>
      <c r="E157">
        <f>HYPERLINK("https://www.britishcycling.org.uk/points?person_id=175030&amp;year=2021&amp;type=national&amp;d=6","Results")</f>
        <v/>
      </c>
    </row>
    <row r="158">
      <c r="A158" t="inlineStr">
        <is>
          <t>157</t>
        </is>
      </c>
      <c r="B158" t="inlineStr">
        <is>
          <t>Jonathan Bayley</t>
        </is>
      </c>
      <c r="C158" t="inlineStr">
        <is>
          <t>Reifen Racing</t>
        </is>
      </c>
      <c r="D158" t="inlineStr">
        <is>
          <t>83</t>
        </is>
      </c>
      <c r="E158">
        <f>HYPERLINK("https://www.britishcycling.org.uk/points?person_id=304586&amp;year=2021&amp;type=national&amp;d=6","Results")</f>
        <v/>
      </c>
    </row>
    <row r="159">
      <c r="A159" t="inlineStr">
        <is>
          <t>158</t>
        </is>
      </c>
      <c r="B159" t="inlineStr">
        <is>
          <t>Luke Belton</t>
        </is>
      </c>
      <c r="C159" t="inlineStr">
        <is>
          <t>Bath Cycling Club</t>
        </is>
      </c>
      <c r="D159" t="inlineStr">
        <is>
          <t>83</t>
        </is>
      </c>
      <c r="E159">
        <f>HYPERLINK("https://www.britishcycling.org.uk/points?person_id=708531&amp;year=2021&amp;type=national&amp;d=6","Results")</f>
        <v/>
      </c>
    </row>
    <row r="160">
      <c r="A160" t="inlineStr">
        <is>
          <t>159</t>
        </is>
      </c>
      <c r="B160" t="inlineStr">
        <is>
          <t>James George Dunn</t>
        </is>
      </c>
      <c r="C160" t="inlineStr">
        <is>
          <t>South Shields Velo Cycling Club</t>
        </is>
      </c>
      <c r="D160" t="inlineStr">
        <is>
          <t>83</t>
        </is>
      </c>
      <c r="E160">
        <f>HYPERLINK("https://www.britishcycling.org.uk/points?person_id=583501&amp;year=2021&amp;type=national&amp;d=6","Results")</f>
        <v/>
      </c>
    </row>
    <row r="161">
      <c r="A161" t="inlineStr">
        <is>
          <t>160</t>
        </is>
      </c>
      <c r="B161" t="inlineStr">
        <is>
          <t>Chris Crabtree</t>
        </is>
      </c>
      <c r="C161" t="inlineStr">
        <is>
          <t>Orwell Velo</t>
        </is>
      </c>
      <c r="D161" t="inlineStr">
        <is>
          <t>81</t>
        </is>
      </c>
      <c r="E161">
        <f>HYPERLINK("https://www.britishcycling.org.uk/points?person_id=428493&amp;year=2021&amp;type=national&amp;d=6","Results")</f>
        <v/>
      </c>
    </row>
    <row r="162">
      <c r="A162" t="inlineStr">
        <is>
          <t>161</t>
        </is>
      </c>
      <c r="B162" t="inlineStr">
        <is>
          <t>Jonathan Brain</t>
        </is>
      </c>
      <c r="C162" t="inlineStr">
        <is>
          <t>Pearce Cycles RT</t>
        </is>
      </c>
      <c r="D162" t="inlineStr">
        <is>
          <t>80</t>
        </is>
      </c>
      <c r="E162">
        <f>HYPERLINK("https://www.britishcycling.org.uk/points?person_id=48201&amp;year=2021&amp;type=national&amp;d=6","Results")</f>
        <v/>
      </c>
    </row>
    <row r="163">
      <c r="A163" t="inlineStr">
        <is>
          <t>162</t>
        </is>
      </c>
      <c r="B163" t="inlineStr">
        <is>
          <t>Callum Macleod</t>
        </is>
      </c>
      <c r="C163" t="inlineStr">
        <is>
          <t>Canyon DHB Sungod</t>
        </is>
      </c>
      <c r="D163" t="inlineStr">
        <is>
          <t>80</t>
        </is>
      </c>
      <c r="E163">
        <f>HYPERLINK("https://www.britishcycling.org.uk/points?person_id=8310&amp;year=2021&amp;type=national&amp;d=6","Results")</f>
        <v/>
      </c>
    </row>
    <row r="164">
      <c r="A164" t="inlineStr">
        <is>
          <t>163</t>
        </is>
      </c>
      <c r="B164" t="inlineStr">
        <is>
          <t>Nathan Smith</t>
        </is>
      </c>
      <c r="C164" t="inlineStr">
        <is>
          <t>Garden Shed UK-Ribble-Verge Sport</t>
        </is>
      </c>
      <c r="D164" t="inlineStr">
        <is>
          <t>80</t>
        </is>
      </c>
      <c r="E164">
        <f>HYPERLINK("https://www.britishcycling.org.uk/points?person_id=262296&amp;year=2021&amp;type=national&amp;d=6","Results")</f>
        <v/>
      </c>
    </row>
    <row r="165">
      <c r="A165" t="inlineStr">
        <is>
          <t>164</t>
        </is>
      </c>
      <c r="B165" t="inlineStr">
        <is>
          <t>Paul Upton</t>
        </is>
      </c>
      <c r="C165" t="inlineStr"/>
      <c r="D165" t="inlineStr">
        <is>
          <t>79</t>
        </is>
      </c>
      <c r="E165">
        <f>HYPERLINK("https://www.britishcycling.org.uk/points?person_id=427709&amp;year=2021&amp;type=national&amp;d=6","Results")</f>
        <v/>
      </c>
    </row>
    <row r="166">
      <c r="A166" t="inlineStr">
        <is>
          <t>165</t>
        </is>
      </c>
      <c r="B166" t="inlineStr">
        <is>
          <t>Max Bolton</t>
        </is>
      </c>
      <c r="C166" t="inlineStr">
        <is>
          <t>Oxford University Cycling Club</t>
        </is>
      </c>
      <c r="D166" t="inlineStr">
        <is>
          <t>77</t>
        </is>
      </c>
      <c r="E166">
        <f>HYPERLINK("https://www.britishcycling.org.uk/points?person_id=322894&amp;year=2021&amp;type=national&amp;d=6","Results")</f>
        <v/>
      </c>
    </row>
    <row r="167">
      <c r="A167" t="inlineStr">
        <is>
          <t>166</t>
        </is>
      </c>
      <c r="B167" t="inlineStr">
        <is>
          <t>Samuel Holder</t>
        </is>
      </c>
      <c r="C167" t="inlineStr">
        <is>
          <t>Liverpool Century RC</t>
        </is>
      </c>
      <c r="D167" t="inlineStr">
        <is>
          <t>77</t>
        </is>
      </c>
      <c r="E167">
        <f>HYPERLINK("https://www.britishcycling.org.uk/points?person_id=184875&amp;year=2021&amp;type=national&amp;d=6","Results")</f>
        <v/>
      </c>
    </row>
    <row r="168">
      <c r="A168" t="inlineStr">
        <is>
          <t>167</t>
        </is>
      </c>
      <c r="B168" t="inlineStr">
        <is>
          <t>Alexander Ball</t>
        </is>
      </c>
      <c r="C168" t="inlineStr">
        <is>
          <t>West Lothian Clarion CC</t>
        </is>
      </c>
      <c r="D168" t="inlineStr">
        <is>
          <t>76</t>
        </is>
      </c>
      <c r="E168">
        <f>HYPERLINK("https://www.britishcycling.org.uk/points?person_id=124643&amp;year=2021&amp;type=national&amp;d=6","Results")</f>
        <v/>
      </c>
    </row>
    <row r="169">
      <c r="A169" t="inlineStr">
        <is>
          <t>168</t>
        </is>
      </c>
      <c r="B169" t="inlineStr">
        <is>
          <t>Oliver Halliday</t>
        </is>
      </c>
      <c r="C169" t="inlineStr"/>
      <c r="D169" t="inlineStr">
        <is>
          <t>76</t>
        </is>
      </c>
      <c r="E169">
        <f>HYPERLINK("https://www.britishcycling.org.uk/points?person_id=652763&amp;year=2021&amp;type=national&amp;d=6","Results")</f>
        <v/>
      </c>
    </row>
    <row r="170">
      <c r="A170" t="inlineStr">
        <is>
          <t>169</t>
        </is>
      </c>
      <c r="B170" t="inlineStr">
        <is>
          <t>Gavin McDougall</t>
        </is>
      </c>
      <c r="C170" t="inlineStr">
        <is>
          <t>Ronde Cycling Club</t>
        </is>
      </c>
      <c r="D170" t="inlineStr">
        <is>
          <t>75</t>
        </is>
      </c>
      <c r="E170">
        <f>HYPERLINK("https://www.britishcycling.org.uk/points?person_id=62462&amp;year=2021&amp;type=national&amp;d=6","Results")</f>
        <v/>
      </c>
    </row>
    <row r="171">
      <c r="A171" t="inlineStr">
        <is>
          <t>170</t>
        </is>
      </c>
      <c r="B171" t="inlineStr">
        <is>
          <t>Jordan Peacock</t>
        </is>
      </c>
      <c r="C171" t="inlineStr">
        <is>
          <t>Spirit BSS</t>
        </is>
      </c>
      <c r="D171" t="inlineStr">
        <is>
          <t>75</t>
        </is>
      </c>
      <c r="E171">
        <f>HYPERLINK("https://www.britishcycling.org.uk/points?person_id=42482&amp;year=2021&amp;type=national&amp;d=6","Results")</f>
        <v/>
      </c>
    </row>
    <row r="172">
      <c r="A172" t="inlineStr">
        <is>
          <t>171</t>
        </is>
      </c>
      <c r="B172" t="inlineStr">
        <is>
          <t>Andrew White</t>
        </is>
      </c>
      <c r="C172" t="inlineStr">
        <is>
          <t>Army Cycling Union</t>
        </is>
      </c>
      <c r="D172" t="inlineStr">
        <is>
          <t>73</t>
        </is>
      </c>
      <c r="E172">
        <f>HYPERLINK("https://www.britishcycling.org.uk/points?person_id=653734&amp;year=2021&amp;type=national&amp;d=6","Results")</f>
        <v/>
      </c>
    </row>
    <row r="173">
      <c r="A173" t="inlineStr">
        <is>
          <t>172</t>
        </is>
      </c>
      <c r="B173" t="inlineStr">
        <is>
          <t>Oliver Hayward</t>
        </is>
      </c>
      <c r="C173" t="inlineStr">
        <is>
          <t>Holohan Coaching Race Team</t>
        </is>
      </c>
      <c r="D173" t="inlineStr">
        <is>
          <t>72</t>
        </is>
      </c>
      <c r="E173">
        <f>HYPERLINK("https://www.britishcycling.org.uk/points?person_id=401267&amp;year=2021&amp;type=national&amp;d=6","Results")</f>
        <v/>
      </c>
    </row>
    <row r="174">
      <c r="A174" t="inlineStr">
        <is>
          <t>173</t>
        </is>
      </c>
      <c r="B174" t="inlineStr">
        <is>
          <t>Ed Welsh</t>
        </is>
      </c>
      <c r="C174" t="inlineStr">
        <is>
          <t>Southfork Racing.co.uk</t>
        </is>
      </c>
      <c r="D174" t="inlineStr">
        <is>
          <t>72</t>
        </is>
      </c>
      <c r="E174">
        <f>HYPERLINK("https://www.britishcycling.org.uk/points?person_id=105103&amp;year=2021&amp;type=national&amp;d=6","Results")</f>
        <v/>
      </c>
    </row>
    <row r="175">
      <c r="A175" t="inlineStr">
        <is>
          <t>174</t>
        </is>
      </c>
      <c r="B175" t="inlineStr">
        <is>
          <t>Nicholas Wood</t>
        </is>
      </c>
      <c r="C175" t="inlineStr">
        <is>
          <t>VC Deal</t>
        </is>
      </c>
      <c r="D175" t="inlineStr">
        <is>
          <t>72</t>
        </is>
      </c>
      <c r="E175">
        <f>HYPERLINK("https://www.britishcycling.org.uk/points?person_id=108244&amp;year=2021&amp;type=national&amp;d=6","Results")</f>
        <v/>
      </c>
    </row>
    <row r="176">
      <c r="A176" t="inlineStr">
        <is>
          <t>175</t>
        </is>
      </c>
      <c r="B176" t="inlineStr">
        <is>
          <t>Dan Hopes</t>
        </is>
      </c>
      <c r="C176" t="inlineStr"/>
      <c r="D176" t="inlineStr">
        <is>
          <t>70</t>
        </is>
      </c>
      <c r="E176">
        <f>HYPERLINK("https://www.britishcycling.org.uk/points?person_id=408137&amp;year=2021&amp;type=national&amp;d=6","Results")</f>
        <v/>
      </c>
    </row>
    <row r="177">
      <c r="A177" t="inlineStr">
        <is>
          <t>176</t>
        </is>
      </c>
      <c r="B177" t="inlineStr">
        <is>
          <t>Will Thompson</t>
        </is>
      </c>
      <c r="C177" t="inlineStr">
        <is>
          <t>Shibden Cycling Club</t>
        </is>
      </c>
      <c r="D177" t="inlineStr">
        <is>
          <t>70</t>
        </is>
      </c>
      <c r="E177">
        <f>HYPERLINK("https://www.britishcycling.org.uk/points?person_id=477623&amp;year=2021&amp;type=national&amp;d=6","Results")</f>
        <v/>
      </c>
    </row>
    <row r="178">
      <c r="A178" t="inlineStr">
        <is>
          <t>177</t>
        </is>
      </c>
      <c r="B178" t="inlineStr">
        <is>
          <t>Matthew Exley</t>
        </is>
      </c>
      <c r="C178" t="inlineStr">
        <is>
          <t>Flamme Rouge Rouleurs</t>
        </is>
      </c>
      <c r="D178" t="inlineStr">
        <is>
          <t>69</t>
        </is>
      </c>
      <c r="E178">
        <f>HYPERLINK("https://www.britishcycling.org.uk/points?person_id=191939&amp;year=2021&amp;type=national&amp;d=6","Results")</f>
        <v/>
      </c>
    </row>
    <row r="179">
      <c r="A179" t="inlineStr">
        <is>
          <t>178</t>
        </is>
      </c>
      <c r="B179" t="inlineStr">
        <is>
          <t>Jonathan Sheasby</t>
        </is>
      </c>
      <c r="C179" t="inlineStr">
        <is>
          <t>Numplumz Mountainbikers</t>
        </is>
      </c>
      <c r="D179" t="inlineStr">
        <is>
          <t>69</t>
        </is>
      </c>
      <c r="E179">
        <f>HYPERLINK("https://www.britishcycling.org.uk/points?person_id=354935&amp;year=2021&amp;type=national&amp;d=6","Results")</f>
        <v/>
      </c>
    </row>
    <row r="180">
      <c r="A180" t="inlineStr">
        <is>
          <t>179</t>
        </is>
      </c>
      <c r="B180" t="inlineStr">
        <is>
          <t>Richard Eakins</t>
        </is>
      </c>
      <c r="C180" t="inlineStr">
        <is>
          <t>EDCO Wheels CC</t>
        </is>
      </c>
      <c r="D180" t="inlineStr">
        <is>
          <t>68</t>
        </is>
      </c>
      <c r="E180">
        <f>HYPERLINK("https://www.britishcycling.org.uk/points?person_id=252787&amp;year=2021&amp;type=national&amp;d=6","Results")</f>
        <v/>
      </c>
    </row>
    <row r="181">
      <c r="A181" t="inlineStr">
        <is>
          <t>180</t>
        </is>
      </c>
      <c r="B181" t="inlineStr">
        <is>
          <t>Stuart Lynn</t>
        </is>
      </c>
      <c r="C181" t="inlineStr">
        <is>
          <t>Dulwich Paragon CC</t>
        </is>
      </c>
      <c r="D181" t="inlineStr">
        <is>
          <t>68</t>
        </is>
      </c>
      <c r="E181">
        <f>HYPERLINK("https://www.britishcycling.org.uk/points?person_id=174693&amp;year=2021&amp;type=national&amp;d=6","Results")</f>
        <v/>
      </c>
    </row>
    <row r="182">
      <c r="A182" t="inlineStr">
        <is>
          <t>181</t>
        </is>
      </c>
      <c r="B182" t="inlineStr">
        <is>
          <t>Matthew Sumpton</t>
        </is>
      </c>
      <c r="C182" t="inlineStr">
        <is>
          <t>Dulwich Paragon CC</t>
        </is>
      </c>
      <c r="D182" t="inlineStr">
        <is>
          <t>68</t>
        </is>
      </c>
      <c r="E182">
        <f>HYPERLINK("https://www.britishcycling.org.uk/points?person_id=67463&amp;year=2021&amp;type=national&amp;d=6","Results")</f>
        <v/>
      </c>
    </row>
    <row r="183">
      <c r="A183" t="inlineStr">
        <is>
          <t>182</t>
        </is>
      </c>
      <c r="B183" t="inlineStr">
        <is>
          <t>Patrick Atkinson</t>
        </is>
      </c>
      <c r="C183" t="inlineStr">
        <is>
          <t>Renvale RT</t>
        </is>
      </c>
      <c r="D183" t="inlineStr">
        <is>
          <t>67</t>
        </is>
      </c>
      <c r="E183">
        <f>HYPERLINK("https://www.britishcycling.org.uk/points?person_id=191705&amp;year=2021&amp;type=national&amp;d=6","Results")</f>
        <v/>
      </c>
    </row>
    <row r="184">
      <c r="A184" t="inlineStr">
        <is>
          <t>183</t>
        </is>
      </c>
      <c r="B184" t="inlineStr">
        <is>
          <t>Oliver Glen</t>
        </is>
      </c>
      <c r="C184" t="inlineStr">
        <is>
          <t>Reifen Racing</t>
        </is>
      </c>
      <c r="D184" t="inlineStr">
        <is>
          <t>66</t>
        </is>
      </c>
      <c r="E184">
        <f>HYPERLINK("https://www.britishcycling.org.uk/points?person_id=672018&amp;year=2021&amp;type=national&amp;d=6","Results")</f>
        <v/>
      </c>
    </row>
    <row r="185">
      <c r="A185" t="inlineStr">
        <is>
          <t>184</t>
        </is>
      </c>
      <c r="B185" t="inlineStr">
        <is>
          <t>Thomas Crapper</t>
        </is>
      </c>
      <c r="C185" t="inlineStr">
        <is>
          <t>Abergavenny Road Club</t>
        </is>
      </c>
      <c r="D185" t="inlineStr">
        <is>
          <t>64</t>
        </is>
      </c>
      <c r="E185">
        <f>HYPERLINK("https://www.britishcycling.org.uk/points?person_id=199866&amp;year=2021&amp;type=national&amp;d=6","Results")</f>
        <v/>
      </c>
    </row>
    <row r="186">
      <c r="A186" t="inlineStr">
        <is>
          <t>185</t>
        </is>
      </c>
      <c r="B186" t="inlineStr">
        <is>
          <t>Tim Doole</t>
        </is>
      </c>
      <c r="C186" t="inlineStr">
        <is>
          <t>Cowley Road Condors</t>
        </is>
      </c>
      <c r="D186" t="inlineStr">
        <is>
          <t>64</t>
        </is>
      </c>
      <c r="E186">
        <f>HYPERLINK("https://www.britishcycling.org.uk/points?person_id=222719&amp;year=2021&amp;type=national&amp;d=6","Results")</f>
        <v/>
      </c>
    </row>
    <row r="187">
      <c r="A187" t="inlineStr">
        <is>
          <t>186</t>
        </is>
      </c>
      <c r="B187" t="inlineStr">
        <is>
          <t>Finlay Wright</t>
        </is>
      </c>
      <c r="C187" t="inlineStr">
        <is>
          <t>Exeter Wheelers</t>
        </is>
      </c>
      <c r="D187" t="inlineStr">
        <is>
          <t>64</t>
        </is>
      </c>
      <c r="E187">
        <f>HYPERLINK("https://www.britishcycling.org.uk/points?person_id=1003176&amp;year=2021&amp;type=national&amp;d=6","Results")</f>
        <v/>
      </c>
    </row>
    <row r="188">
      <c r="A188" t="inlineStr">
        <is>
          <t>187</t>
        </is>
      </c>
      <c r="B188" t="inlineStr">
        <is>
          <t>Vojtech Blazejovsky</t>
        </is>
      </c>
      <c r="C188" t="inlineStr">
        <is>
          <t>Brixton Cycles Club</t>
        </is>
      </c>
      <c r="D188" t="inlineStr">
        <is>
          <t>63</t>
        </is>
      </c>
      <c r="E188">
        <f>HYPERLINK("https://www.britishcycling.org.uk/points?person_id=184947&amp;year=2021&amp;type=national&amp;d=6","Results")</f>
        <v/>
      </c>
    </row>
    <row r="189">
      <c r="A189" t="inlineStr">
        <is>
          <t>188</t>
        </is>
      </c>
      <c r="B189" t="inlineStr">
        <is>
          <t>Theo Clarke</t>
        </is>
      </c>
      <c r="C189" t="inlineStr">
        <is>
          <t>Team LDN - Brother UK</t>
        </is>
      </c>
      <c r="D189" t="inlineStr">
        <is>
          <t>62</t>
        </is>
      </c>
      <c r="E189">
        <f>HYPERLINK("https://www.britishcycling.org.uk/points?person_id=747034&amp;year=2021&amp;type=national&amp;d=6","Results")</f>
        <v/>
      </c>
    </row>
    <row r="190">
      <c r="A190" t="inlineStr">
        <is>
          <t>189</t>
        </is>
      </c>
      <c r="B190" t="inlineStr">
        <is>
          <t>Robert Jebb</t>
        </is>
      </c>
      <c r="C190" t="inlineStr">
        <is>
          <t>Hope Factory Racing</t>
        </is>
      </c>
      <c r="D190" t="inlineStr">
        <is>
          <t>62</t>
        </is>
      </c>
      <c r="E190">
        <f>HYPERLINK("https://www.britishcycling.org.uk/points?person_id=39724&amp;year=2021&amp;type=national&amp;d=6","Results")</f>
        <v/>
      </c>
    </row>
    <row r="191">
      <c r="A191" t="inlineStr">
        <is>
          <t>190</t>
        </is>
      </c>
      <c r="B191" t="inlineStr">
        <is>
          <t>Anthony Neave</t>
        </is>
      </c>
      <c r="C191" t="inlineStr">
        <is>
          <t>Stourbridge CC</t>
        </is>
      </c>
      <c r="D191" t="inlineStr">
        <is>
          <t>61</t>
        </is>
      </c>
      <c r="E191">
        <f>HYPERLINK("https://www.britishcycling.org.uk/points?person_id=101457&amp;year=2021&amp;type=national&amp;d=6","Results")</f>
        <v/>
      </c>
    </row>
    <row r="192">
      <c r="A192" t="inlineStr">
        <is>
          <t>191</t>
        </is>
      </c>
      <c r="B192" t="inlineStr">
        <is>
          <t>James Alexander</t>
        </is>
      </c>
      <c r="C192" t="inlineStr">
        <is>
          <t>Beeston Cycling Club</t>
        </is>
      </c>
      <c r="D192" t="inlineStr">
        <is>
          <t>60</t>
        </is>
      </c>
      <c r="E192">
        <f>HYPERLINK("https://www.britishcycling.org.uk/points?person_id=15824&amp;year=2021&amp;type=national&amp;d=6","Results")</f>
        <v/>
      </c>
    </row>
    <row r="193">
      <c r="A193" t="inlineStr">
        <is>
          <t>192</t>
        </is>
      </c>
      <c r="B193" t="inlineStr">
        <is>
          <t>Liam Manser</t>
        </is>
      </c>
      <c r="C193" t="inlineStr">
        <is>
          <t>Renvale RT</t>
        </is>
      </c>
      <c r="D193" t="inlineStr">
        <is>
          <t>60</t>
        </is>
      </c>
      <c r="E193">
        <f>HYPERLINK("https://www.britishcycling.org.uk/points?person_id=188708&amp;year=2021&amp;type=national&amp;d=6","Results")</f>
        <v/>
      </c>
    </row>
    <row r="194">
      <c r="A194" t="inlineStr">
        <is>
          <t>193</t>
        </is>
      </c>
      <c r="B194" t="inlineStr">
        <is>
          <t>CJ McGovern</t>
        </is>
      </c>
      <c r="C194" t="inlineStr">
        <is>
          <t>CMG Factory Racing</t>
        </is>
      </c>
      <c r="D194" t="inlineStr">
        <is>
          <t>60</t>
        </is>
      </c>
      <c r="E194">
        <f>HYPERLINK("https://www.britishcycling.org.uk/points?person_id=10335&amp;year=2021&amp;type=national&amp;d=6","Results")</f>
        <v/>
      </c>
    </row>
    <row r="195">
      <c r="A195" t="inlineStr">
        <is>
          <t>194</t>
        </is>
      </c>
      <c r="B195" t="inlineStr">
        <is>
          <t>Guy Davis</t>
        </is>
      </c>
      <c r="C195" t="inlineStr">
        <is>
          <t>Thames Velo</t>
        </is>
      </c>
      <c r="D195" t="inlineStr">
        <is>
          <t>59</t>
        </is>
      </c>
      <c r="E195">
        <f>HYPERLINK("https://www.britishcycling.org.uk/points?person_id=709260&amp;year=2021&amp;type=national&amp;d=6","Results")</f>
        <v/>
      </c>
    </row>
    <row r="196">
      <c r="A196" t="inlineStr">
        <is>
          <t>195</t>
        </is>
      </c>
      <c r="B196" t="inlineStr">
        <is>
          <t>George Baker</t>
        </is>
      </c>
      <c r="C196" t="inlineStr">
        <is>
          <t>Barrow Central Wheelers</t>
        </is>
      </c>
      <c r="D196" t="inlineStr">
        <is>
          <t>58</t>
        </is>
      </c>
      <c r="E196">
        <f>HYPERLINK("https://www.britishcycling.org.uk/points?person_id=139895&amp;year=2021&amp;type=national&amp;d=6","Results")</f>
        <v/>
      </c>
    </row>
    <row r="197">
      <c r="A197" t="inlineStr">
        <is>
          <t>196</t>
        </is>
      </c>
      <c r="B197" t="inlineStr">
        <is>
          <t>David Duggan</t>
        </is>
      </c>
      <c r="C197" t="inlineStr">
        <is>
          <t>Wheelbase CabTech Castelli</t>
        </is>
      </c>
      <c r="D197" t="inlineStr">
        <is>
          <t>58</t>
        </is>
      </c>
      <c r="E197">
        <f>HYPERLINK("https://www.britishcycling.org.uk/points?person_id=75812&amp;year=2021&amp;type=national&amp;d=6","Results")</f>
        <v/>
      </c>
    </row>
    <row r="198">
      <c r="A198" t="inlineStr">
        <is>
          <t>197</t>
        </is>
      </c>
      <c r="B198" t="inlineStr">
        <is>
          <t>Thomas Howes</t>
        </is>
      </c>
      <c r="C198" t="inlineStr">
        <is>
          <t>Sleaford Wheelers Cycling Club</t>
        </is>
      </c>
      <c r="D198" t="inlineStr">
        <is>
          <t>58</t>
        </is>
      </c>
      <c r="E198">
        <f>HYPERLINK("https://www.britishcycling.org.uk/points?person_id=516279&amp;year=2021&amp;type=national&amp;d=6","Results")</f>
        <v/>
      </c>
    </row>
    <row r="199">
      <c r="A199" t="inlineStr">
        <is>
          <t>198</t>
        </is>
      </c>
      <c r="B199" t="inlineStr">
        <is>
          <t>Daniel Dixon</t>
        </is>
      </c>
      <c r="C199" t="inlineStr">
        <is>
          <t>Gosforth RC</t>
        </is>
      </c>
      <c r="D199" t="inlineStr">
        <is>
          <t>57</t>
        </is>
      </c>
      <c r="E199">
        <f>HYPERLINK("https://www.britishcycling.org.uk/points?person_id=388712&amp;year=2021&amp;type=national&amp;d=6","Results")</f>
        <v/>
      </c>
    </row>
    <row r="200">
      <c r="A200" t="inlineStr">
        <is>
          <t>199</t>
        </is>
      </c>
      <c r="B200" t="inlineStr">
        <is>
          <t>Billy Fadden</t>
        </is>
      </c>
      <c r="C200" t="inlineStr">
        <is>
          <t>Flamme Rouge Rouleurs</t>
        </is>
      </c>
      <c r="D200" t="inlineStr">
        <is>
          <t>57</t>
        </is>
      </c>
      <c r="E200">
        <f>HYPERLINK("https://www.britishcycling.org.uk/points?person_id=266222&amp;year=2021&amp;type=national&amp;d=6","Results")</f>
        <v/>
      </c>
    </row>
    <row r="201">
      <c r="A201" t="inlineStr">
        <is>
          <t>200</t>
        </is>
      </c>
      <c r="B201" t="inlineStr">
        <is>
          <t>Max Hale</t>
        </is>
      </c>
      <c r="C201" t="inlineStr"/>
      <c r="D201" t="inlineStr">
        <is>
          <t>57</t>
        </is>
      </c>
      <c r="E201">
        <f>HYPERLINK("https://www.britishcycling.org.uk/points?person_id=205790&amp;year=2021&amp;type=national&amp;d=6","Results")</f>
        <v/>
      </c>
    </row>
    <row r="202">
      <c r="A202" t="inlineStr">
        <is>
          <t>201</t>
        </is>
      </c>
      <c r="B202" t="inlineStr">
        <is>
          <t>William Gell</t>
        </is>
      </c>
      <c r="C202" t="inlineStr"/>
      <c r="D202" t="inlineStr">
        <is>
          <t>56</t>
        </is>
      </c>
      <c r="E202">
        <f>HYPERLINK("https://www.britishcycling.org.uk/points?person_id=649361&amp;year=2021&amp;type=national&amp;d=6","Results")</f>
        <v/>
      </c>
    </row>
    <row r="203">
      <c r="A203" t="inlineStr">
        <is>
          <t>202</t>
        </is>
      </c>
      <c r="B203" t="inlineStr">
        <is>
          <t>Harry Howlett</t>
        </is>
      </c>
      <c r="C203" t="inlineStr">
        <is>
          <t>Origin Race Team</t>
        </is>
      </c>
      <c r="D203" t="inlineStr">
        <is>
          <t>56</t>
        </is>
      </c>
      <c r="E203">
        <f>HYPERLINK("https://www.britishcycling.org.uk/points?person_id=688897&amp;year=2021&amp;type=national&amp;d=6","Results")</f>
        <v/>
      </c>
    </row>
    <row r="204">
      <c r="A204" t="inlineStr">
        <is>
          <t>203</t>
        </is>
      </c>
      <c r="B204" t="inlineStr">
        <is>
          <t>Joshua Ibbett</t>
        </is>
      </c>
      <c r="C204" t="inlineStr">
        <is>
          <t>Hunt Bike Wheels</t>
        </is>
      </c>
      <c r="D204" t="inlineStr">
        <is>
          <t>56</t>
        </is>
      </c>
      <c r="E204">
        <f>HYPERLINK("https://www.britishcycling.org.uk/points?person_id=51728&amp;year=2021&amp;type=national&amp;d=6","Results")</f>
        <v/>
      </c>
    </row>
    <row r="205">
      <c r="A205" t="inlineStr">
        <is>
          <t>204</t>
        </is>
      </c>
      <c r="B205" t="inlineStr">
        <is>
          <t>John Mackenzie</t>
        </is>
      </c>
      <c r="C205" t="inlineStr">
        <is>
          <t>SR Albannach</t>
        </is>
      </c>
      <c r="D205" t="inlineStr">
        <is>
          <t>55</t>
        </is>
      </c>
      <c r="E205">
        <f>HYPERLINK("https://www.britishcycling.org.uk/points?person_id=506476&amp;year=2021&amp;type=national&amp;d=6","Results")</f>
        <v/>
      </c>
    </row>
    <row r="206">
      <c r="A206" t="inlineStr">
        <is>
          <t>205</t>
        </is>
      </c>
      <c r="B206" t="inlineStr">
        <is>
          <t>Adam Cooke</t>
        </is>
      </c>
      <c r="C206" t="inlineStr">
        <is>
          <t>Reifen Racing</t>
        </is>
      </c>
      <c r="D206" t="inlineStr">
        <is>
          <t>54</t>
        </is>
      </c>
      <c r="E206">
        <f>HYPERLINK("https://www.britishcycling.org.uk/points?person_id=183994&amp;year=2021&amp;type=national&amp;d=6","Results")</f>
        <v/>
      </c>
    </row>
    <row r="207">
      <c r="A207" t="inlineStr">
        <is>
          <t>206</t>
        </is>
      </c>
      <c r="B207" t="inlineStr">
        <is>
          <t>Benjamin Goodfellow</t>
        </is>
      </c>
      <c r="C207" t="inlineStr">
        <is>
          <t>Fibrax Wrexham Roads Club</t>
        </is>
      </c>
      <c r="D207" t="inlineStr">
        <is>
          <t>54</t>
        </is>
      </c>
      <c r="E207">
        <f>HYPERLINK("https://www.britishcycling.org.uk/points?person_id=661079&amp;year=2021&amp;type=national&amp;d=6","Results")</f>
        <v/>
      </c>
    </row>
    <row r="208">
      <c r="A208" t="inlineStr">
        <is>
          <t>207</t>
        </is>
      </c>
      <c r="B208" t="inlineStr">
        <is>
          <t>Stuart Jones</t>
        </is>
      </c>
      <c r="C208" t="inlineStr">
        <is>
          <t>Black Country Racing Club</t>
        </is>
      </c>
      <c r="D208" t="inlineStr">
        <is>
          <t>54</t>
        </is>
      </c>
      <c r="E208">
        <f>HYPERLINK("https://www.britishcycling.org.uk/points?person_id=27998&amp;year=2021&amp;type=national&amp;d=6","Results")</f>
        <v/>
      </c>
    </row>
    <row r="209">
      <c r="A209" t="inlineStr">
        <is>
          <t>208</t>
        </is>
      </c>
      <c r="B209" t="inlineStr">
        <is>
          <t>Matt Lawton</t>
        </is>
      </c>
      <c r="C209" t="inlineStr">
        <is>
          <t>Macclesfield Wheelers</t>
        </is>
      </c>
      <c r="D209" t="inlineStr">
        <is>
          <t>53</t>
        </is>
      </c>
      <c r="E209">
        <f>HYPERLINK("https://www.britishcycling.org.uk/points?person_id=126705&amp;year=2021&amp;type=national&amp;d=6","Results")</f>
        <v/>
      </c>
    </row>
    <row r="210">
      <c r="A210" t="inlineStr">
        <is>
          <t>209</t>
        </is>
      </c>
      <c r="B210" t="inlineStr">
        <is>
          <t>David Brazier</t>
        </is>
      </c>
      <c r="C210" t="inlineStr">
        <is>
          <t>Sarum Velo</t>
        </is>
      </c>
      <c r="D210" t="inlineStr">
        <is>
          <t>52</t>
        </is>
      </c>
      <c r="E210">
        <f>HYPERLINK("https://www.britishcycling.org.uk/points?person_id=512146&amp;year=2021&amp;type=national&amp;d=6","Results")</f>
        <v/>
      </c>
    </row>
    <row r="211">
      <c r="A211" t="inlineStr">
        <is>
          <t>210</t>
        </is>
      </c>
      <c r="B211" t="inlineStr">
        <is>
          <t>John Cull</t>
        </is>
      </c>
      <c r="C211" t="inlineStr">
        <is>
          <t>Cog Set Papyrus Racing Club</t>
        </is>
      </c>
      <c r="D211" t="inlineStr">
        <is>
          <t>52</t>
        </is>
      </c>
      <c r="E211">
        <f>HYPERLINK("https://www.britishcycling.org.uk/points?person_id=733166&amp;year=2021&amp;type=national&amp;d=6","Results")</f>
        <v/>
      </c>
    </row>
    <row r="212">
      <c r="A212" t="inlineStr">
        <is>
          <t>211</t>
        </is>
      </c>
      <c r="B212" t="inlineStr">
        <is>
          <t>Declan Egan</t>
        </is>
      </c>
      <c r="C212" t="inlineStr">
        <is>
          <t>Kingston Wheelers CC</t>
        </is>
      </c>
      <c r="D212" t="inlineStr">
        <is>
          <t>52</t>
        </is>
      </c>
      <c r="E212">
        <f>HYPERLINK("https://www.britishcycling.org.uk/points?person_id=257462&amp;year=2021&amp;type=national&amp;d=6","Results")</f>
        <v/>
      </c>
    </row>
    <row r="213">
      <c r="A213" t="inlineStr">
        <is>
          <t>212</t>
        </is>
      </c>
      <c r="B213" t="inlineStr">
        <is>
          <t>Chris Hinds</t>
        </is>
      </c>
      <c r="C213" t="inlineStr">
        <is>
          <t>SR Albannach</t>
        </is>
      </c>
      <c r="D213" t="inlineStr">
        <is>
          <t>52</t>
        </is>
      </c>
      <c r="E213">
        <f>HYPERLINK("https://www.britishcycling.org.uk/points?person_id=344172&amp;year=2021&amp;type=national&amp;d=6","Results")</f>
        <v/>
      </c>
    </row>
    <row r="214">
      <c r="A214" t="inlineStr">
        <is>
          <t>213</t>
        </is>
      </c>
      <c r="B214" t="inlineStr">
        <is>
          <t>Daniel Moore</t>
        </is>
      </c>
      <c r="C214" t="inlineStr">
        <is>
          <t>Muckle Cycle Club</t>
        </is>
      </c>
      <c r="D214" t="inlineStr">
        <is>
          <t>52</t>
        </is>
      </c>
      <c r="E214">
        <f>HYPERLINK("https://www.britishcycling.org.uk/points?person_id=15203&amp;year=2021&amp;type=national&amp;d=6","Results")</f>
        <v/>
      </c>
    </row>
    <row r="215">
      <c r="A215" t="inlineStr">
        <is>
          <t>214</t>
        </is>
      </c>
      <c r="B215" t="inlineStr">
        <is>
          <t>Samuel Painter</t>
        </is>
      </c>
      <c r="C215" t="inlineStr">
        <is>
          <t>TBW23 Stuart Hall Cycling</t>
        </is>
      </c>
      <c r="D215" t="inlineStr">
        <is>
          <t>52</t>
        </is>
      </c>
      <c r="E215">
        <f>HYPERLINK("https://www.britishcycling.org.uk/points?person_id=274155&amp;year=2021&amp;type=national&amp;d=6","Results")</f>
        <v/>
      </c>
    </row>
    <row r="216">
      <c r="A216" t="inlineStr">
        <is>
          <t>215</t>
        </is>
      </c>
      <c r="B216" t="inlineStr">
        <is>
          <t>Mark Cotton</t>
        </is>
      </c>
      <c r="C216" t="inlineStr">
        <is>
          <t>Velo Club Lincoln</t>
        </is>
      </c>
      <c r="D216" t="inlineStr">
        <is>
          <t>50</t>
        </is>
      </c>
      <c r="E216">
        <f>HYPERLINK("https://www.britishcycling.org.uk/points?person_id=69812&amp;year=2021&amp;type=national&amp;d=6","Results")</f>
        <v/>
      </c>
    </row>
    <row r="217">
      <c r="A217" t="inlineStr">
        <is>
          <t>216</t>
        </is>
      </c>
      <c r="B217" t="inlineStr">
        <is>
          <t>Chris Browell</t>
        </is>
      </c>
      <c r="C217" t="inlineStr"/>
      <c r="D217" t="inlineStr">
        <is>
          <t>49</t>
        </is>
      </c>
      <c r="E217">
        <f>HYPERLINK("https://www.britishcycling.org.uk/points?person_id=1019062&amp;year=2021&amp;type=national&amp;d=6","Results")</f>
        <v/>
      </c>
    </row>
    <row r="218">
      <c r="A218" t="inlineStr">
        <is>
          <t>217</t>
        </is>
      </c>
      <c r="B218" t="inlineStr">
        <is>
          <t>Gabe Collins</t>
        </is>
      </c>
      <c r="C218" t="inlineStr">
        <is>
          <t>Norwich Racing Team</t>
        </is>
      </c>
      <c r="D218" t="inlineStr">
        <is>
          <t>49</t>
        </is>
      </c>
      <c r="E218">
        <f>HYPERLINK("https://www.britishcycling.org.uk/points?person_id=870104&amp;year=2021&amp;type=national&amp;d=6","Results")</f>
        <v/>
      </c>
    </row>
    <row r="219">
      <c r="A219" t="inlineStr">
        <is>
          <t>218</t>
        </is>
      </c>
      <c r="B219" t="inlineStr">
        <is>
          <t>Callum Reid</t>
        </is>
      </c>
      <c r="C219" t="inlineStr">
        <is>
          <t>The Cycling Academy</t>
        </is>
      </c>
      <c r="D219" t="inlineStr">
        <is>
          <t>49</t>
        </is>
      </c>
      <c r="E219">
        <f>HYPERLINK("https://www.britishcycling.org.uk/points?person_id=98878&amp;year=2021&amp;type=national&amp;d=6","Results")</f>
        <v/>
      </c>
    </row>
    <row r="220">
      <c r="A220" t="inlineStr">
        <is>
          <t>219</t>
        </is>
      </c>
      <c r="B220" t="inlineStr">
        <is>
          <t>Jordan Giles</t>
        </is>
      </c>
      <c r="C220" t="inlineStr">
        <is>
          <t>Southampton University Road Club</t>
        </is>
      </c>
      <c r="D220" t="inlineStr">
        <is>
          <t>48</t>
        </is>
      </c>
      <c r="E220">
        <f>HYPERLINK("https://www.britishcycling.org.uk/points?person_id=871634&amp;year=2021&amp;type=national&amp;d=6","Results")</f>
        <v/>
      </c>
    </row>
    <row r="221">
      <c r="A221" t="inlineStr">
        <is>
          <t>220</t>
        </is>
      </c>
      <c r="B221" t="inlineStr">
        <is>
          <t>Owen Jowett</t>
        </is>
      </c>
      <c r="C221" t="inlineStr">
        <is>
          <t>Sunday Echappée</t>
        </is>
      </c>
      <c r="D221" t="inlineStr">
        <is>
          <t>48</t>
        </is>
      </c>
      <c r="E221">
        <f>HYPERLINK("https://www.britishcycling.org.uk/points?person_id=652421&amp;year=2021&amp;type=national&amp;d=6","Results")</f>
        <v/>
      </c>
    </row>
    <row r="222">
      <c r="A222" t="inlineStr">
        <is>
          <t>221</t>
        </is>
      </c>
      <c r="B222" t="inlineStr">
        <is>
          <t>Iain Murray</t>
        </is>
      </c>
      <c r="C222" t="inlineStr"/>
      <c r="D222" t="inlineStr">
        <is>
          <t>48</t>
        </is>
      </c>
      <c r="E222">
        <f>HYPERLINK("https://www.britishcycling.org.uk/points?person_id=754589&amp;year=2021&amp;type=national&amp;d=6","Results")</f>
        <v/>
      </c>
    </row>
    <row r="223">
      <c r="A223" t="inlineStr">
        <is>
          <t>222</t>
        </is>
      </c>
      <c r="B223" t="inlineStr">
        <is>
          <t>Tom Nancarrow</t>
        </is>
      </c>
      <c r="C223" t="inlineStr">
        <is>
          <t>Nopinz Motip Race Team</t>
        </is>
      </c>
      <c r="D223" t="inlineStr">
        <is>
          <t>48</t>
        </is>
      </c>
      <c r="E223">
        <f>HYPERLINK("https://www.britishcycling.org.uk/points?person_id=213437&amp;year=2021&amp;type=national&amp;d=6","Results")</f>
        <v/>
      </c>
    </row>
    <row r="224">
      <c r="A224" t="inlineStr">
        <is>
          <t>223</t>
        </is>
      </c>
      <c r="B224" t="inlineStr">
        <is>
          <t>Raphael Tabiner</t>
        </is>
      </c>
      <c r="C224" t="inlineStr">
        <is>
          <t>Tofauti Everyone Active</t>
        </is>
      </c>
      <c r="D224" t="inlineStr">
        <is>
          <t>47</t>
        </is>
      </c>
      <c r="E224">
        <f>HYPERLINK("https://www.britishcycling.org.uk/points?person_id=524253&amp;year=2021&amp;type=national&amp;d=6","Results")</f>
        <v/>
      </c>
    </row>
    <row r="225">
      <c r="A225" t="inlineStr">
        <is>
          <t>224</t>
        </is>
      </c>
      <c r="B225" t="inlineStr">
        <is>
          <t>Owen Prior</t>
        </is>
      </c>
      <c r="C225" t="inlineStr">
        <is>
          <t>Exeter Wheelers</t>
        </is>
      </c>
      <c r="D225" t="inlineStr">
        <is>
          <t>46</t>
        </is>
      </c>
      <c r="E225">
        <f>HYPERLINK("https://www.britishcycling.org.uk/points?person_id=307766&amp;year=2021&amp;type=national&amp;d=6","Results")</f>
        <v/>
      </c>
    </row>
    <row r="226">
      <c r="A226" t="inlineStr">
        <is>
          <t>225</t>
        </is>
      </c>
      <c r="B226" t="inlineStr">
        <is>
          <t>Timothy Jones</t>
        </is>
      </c>
      <c r="C226" t="inlineStr"/>
      <c r="D226" t="inlineStr">
        <is>
          <t>45</t>
        </is>
      </c>
      <c r="E226">
        <f>HYPERLINK("https://www.britishcycling.org.uk/points?person_id=132803&amp;year=2021&amp;type=national&amp;d=6","Results")</f>
        <v/>
      </c>
    </row>
    <row r="227">
      <c r="A227" t="inlineStr">
        <is>
          <t>226</t>
        </is>
      </c>
      <c r="B227" t="inlineStr">
        <is>
          <t>Jacob Murray</t>
        </is>
      </c>
      <c r="C227" t="inlineStr">
        <is>
          <t>Cestria CC</t>
        </is>
      </c>
      <c r="D227" t="inlineStr">
        <is>
          <t>44</t>
        </is>
      </c>
      <c r="E227">
        <f>HYPERLINK("https://www.britishcycling.org.uk/points?person_id=1025596&amp;year=2021&amp;type=national&amp;d=6","Results")</f>
        <v/>
      </c>
    </row>
    <row r="228">
      <c r="A228" t="inlineStr">
        <is>
          <t>227</t>
        </is>
      </c>
      <c r="B228" t="inlineStr">
        <is>
          <t>Andy Hurst</t>
        </is>
      </c>
      <c r="C228" t="inlineStr">
        <is>
          <t>Amisvelo Racing Team</t>
        </is>
      </c>
      <c r="D228" t="inlineStr">
        <is>
          <t>43</t>
        </is>
      </c>
      <c r="E228">
        <f>HYPERLINK("https://www.britishcycling.org.uk/points?person_id=185655&amp;year=2021&amp;type=national&amp;d=6","Results")</f>
        <v/>
      </c>
    </row>
    <row r="229">
      <c r="A229" t="inlineStr">
        <is>
          <t>228</t>
        </is>
      </c>
      <c r="B229" t="inlineStr">
        <is>
          <t>Patrick Hough</t>
        </is>
      </c>
      <c r="C229" t="inlineStr">
        <is>
          <t>Lewes Wanderers CC</t>
        </is>
      </c>
      <c r="D229" t="inlineStr">
        <is>
          <t>42</t>
        </is>
      </c>
      <c r="E229">
        <f>HYPERLINK("https://www.britishcycling.org.uk/points?person_id=56370&amp;year=2021&amp;type=national&amp;d=6","Results")</f>
        <v/>
      </c>
    </row>
    <row r="230">
      <c r="A230" t="inlineStr">
        <is>
          <t>229</t>
        </is>
      </c>
      <c r="B230" t="inlineStr">
        <is>
          <t>Nick Williamson</t>
        </is>
      </c>
      <c r="C230" t="inlineStr"/>
      <c r="D230" t="inlineStr">
        <is>
          <t>42</t>
        </is>
      </c>
      <c r="E230">
        <f>HYPERLINK("https://www.britishcycling.org.uk/points?person_id=495024&amp;year=2021&amp;type=national&amp;d=6","Results")</f>
        <v/>
      </c>
    </row>
    <row r="231">
      <c r="A231" t="inlineStr">
        <is>
          <t>230</t>
        </is>
      </c>
      <c r="B231" t="inlineStr">
        <is>
          <t>Luke Beswick</t>
        </is>
      </c>
      <c r="C231" t="inlineStr">
        <is>
          <t>High Peak Cycles RT</t>
        </is>
      </c>
      <c r="D231" t="inlineStr">
        <is>
          <t>41</t>
        </is>
      </c>
      <c r="E231">
        <f>HYPERLINK("https://www.britishcycling.org.uk/points?person_id=64391&amp;year=2021&amp;type=national&amp;d=6","Results")</f>
        <v/>
      </c>
    </row>
    <row r="232">
      <c r="A232" t="inlineStr">
        <is>
          <t>231</t>
        </is>
      </c>
      <c r="B232" t="inlineStr">
        <is>
          <t>Bruce Dalton</t>
        </is>
      </c>
      <c r="C232" t="inlineStr">
        <is>
          <t>Spectra Wiggle p/b Vitus</t>
        </is>
      </c>
      <c r="D232" t="inlineStr">
        <is>
          <t>41</t>
        </is>
      </c>
      <c r="E232">
        <f>HYPERLINK("https://www.britishcycling.org.uk/points?person_id=13258&amp;year=2021&amp;type=national&amp;d=6","Results")</f>
        <v/>
      </c>
    </row>
    <row r="233">
      <c r="A233" t="inlineStr">
        <is>
          <t>232</t>
        </is>
      </c>
      <c r="B233" t="inlineStr">
        <is>
          <t>Matthew Lebelinski</t>
        </is>
      </c>
      <c r="C233" t="inlineStr">
        <is>
          <t>Ilkeston Cycle Club</t>
        </is>
      </c>
      <c r="D233" t="inlineStr">
        <is>
          <t>41</t>
        </is>
      </c>
      <c r="E233">
        <f>HYPERLINK("https://www.britishcycling.org.uk/points?person_id=497930&amp;year=2021&amp;type=national&amp;d=6","Results")</f>
        <v/>
      </c>
    </row>
    <row r="234">
      <c r="A234" t="inlineStr">
        <is>
          <t>233</t>
        </is>
      </c>
      <c r="B234" t="inlineStr">
        <is>
          <t>Richard Morgan</t>
        </is>
      </c>
      <c r="C234" t="inlineStr">
        <is>
          <t>Barrow Central Wheelers</t>
        </is>
      </c>
      <c r="D234" t="inlineStr">
        <is>
          <t>41</t>
        </is>
      </c>
      <c r="E234">
        <f>HYPERLINK("https://www.britishcycling.org.uk/points?person_id=741520&amp;year=2021&amp;type=national&amp;d=6","Results")</f>
        <v/>
      </c>
    </row>
    <row r="235">
      <c r="A235" t="inlineStr">
        <is>
          <t>234</t>
        </is>
      </c>
      <c r="B235" t="inlineStr">
        <is>
          <t>Jonah Drake</t>
        </is>
      </c>
      <c r="C235" t="inlineStr">
        <is>
          <t>Felley Racing Team</t>
        </is>
      </c>
      <c r="D235" t="inlineStr">
        <is>
          <t>40</t>
        </is>
      </c>
      <c r="E235">
        <f>HYPERLINK("https://www.britishcycling.org.uk/points?person_id=174746&amp;year=2021&amp;type=national&amp;d=6","Results")</f>
        <v/>
      </c>
    </row>
    <row r="236">
      <c r="A236" t="inlineStr">
        <is>
          <t>235</t>
        </is>
      </c>
      <c r="B236" t="inlineStr">
        <is>
          <t>Angus Hawkins</t>
        </is>
      </c>
      <c r="C236" t="inlineStr">
        <is>
          <t>Spirit BSS</t>
        </is>
      </c>
      <c r="D236" t="inlineStr">
        <is>
          <t>40</t>
        </is>
      </c>
      <c r="E236">
        <f>HYPERLINK("https://www.britishcycling.org.uk/points?person_id=105630&amp;year=2021&amp;type=national&amp;d=6","Results")</f>
        <v/>
      </c>
    </row>
    <row r="237">
      <c r="A237" t="inlineStr">
        <is>
          <t>236</t>
        </is>
      </c>
      <c r="B237" t="inlineStr">
        <is>
          <t>Paul Lloyd</t>
        </is>
      </c>
      <c r="C237" t="inlineStr">
        <is>
          <t>Banjo Cycles/Raceware</t>
        </is>
      </c>
      <c r="D237" t="inlineStr">
        <is>
          <t>40</t>
        </is>
      </c>
      <c r="E237">
        <f>HYPERLINK("https://www.britishcycling.org.uk/points?person_id=64633&amp;year=2021&amp;type=national&amp;d=6","Results")</f>
        <v/>
      </c>
    </row>
    <row r="238">
      <c r="A238" t="inlineStr">
        <is>
          <t>237</t>
        </is>
      </c>
      <c r="B238" t="inlineStr">
        <is>
          <t>Grant Martin</t>
        </is>
      </c>
      <c r="C238" t="inlineStr">
        <is>
          <t>Loose Cannon's Conditioning</t>
        </is>
      </c>
      <c r="D238" t="inlineStr">
        <is>
          <t>40</t>
        </is>
      </c>
      <c r="E238">
        <f>HYPERLINK("https://www.britishcycling.org.uk/points?person_id=287638&amp;year=2021&amp;type=national&amp;d=6","Results")</f>
        <v/>
      </c>
    </row>
    <row r="239">
      <c r="A239" t="inlineStr">
        <is>
          <t>238</t>
        </is>
      </c>
      <c r="B239" t="inlineStr">
        <is>
          <t>Isaac Mundy</t>
        </is>
      </c>
      <c r="C239" t="inlineStr">
        <is>
          <t>Richardsons Trek DAS</t>
        </is>
      </c>
      <c r="D239" t="inlineStr">
        <is>
          <t>40</t>
        </is>
      </c>
      <c r="E239">
        <f>HYPERLINK("https://www.britishcycling.org.uk/points?person_id=50737&amp;year=2021&amp;type=national&amp;d=6","Results")</f>
        <v/>
      </c>
    </row>
    <row r="240">
      <c r="A240" t="inlineStr">
        <is>
          <t>239</t>
        </is>
      </c>
      <c r="B240" t="inlineStr">
        <is>
          <t>Jacob Scott</t>
        </is>
      </c>
      <c r="C240" t="inlineStr">
        <is>
          <t>Canyon DHB Sungod</t>
        </is>
      </c>
      <c r="D240" t="inlineStr">
        <is>
          <t>40</t>
        </is>
      </c>
      <c r="E240">
        <f>HYPERLINK("https://www.britishcycling.org.uk/points?person_id=61525&amp;year=2021&amp;type=national&amp;d=6","Results")</f>
        <v/>
      </c>
    </row>
    <row r="241">
      <c r="A241" t="inlineStr">
        <is>
          <t>240</t>
        </is>
      </c>
      <c r="B241" t="inlineStr">
        <is>
          <t>William Truelove</t>
        </is>
      </c>
      <c r="C241" t="inlineStr">
        <is>
          <t>Wales Racing Academy</t>
        </is>
      </c>
      <c r="D241" t="inlineStr">
        <is>
          <t>40</t>
        </is>
      </c>
      <c r="E241">
        <f>HYPERLINK("https://www.britishcycling.org.uk/points?person_id=498460&amp;year=2021&amp;type=national&amp;d=6","Results")</f>
        <v/>
      </c>
    </row>
    <row r="242">
      <c r="A242" t="inlineStr">
        <is>
          <t>241</t>
        </is>
      </c>
      <c r="B242" t="inlineStr">
        <is>
          <t>Daniel Charlton</t>
        </is>
      </c>
      <c r="C242" t="inlineStr">
        <is>
          <t>MTS Cycle Sport</t>
        </is>
      </c>
      <c r="D242" t="inlineStr">
        <is>
          <t>39</t>
        </is>
      </c>
      <c r="E242">
        <f>HYPERLINK("https://www.britishcycling.org.uk/points?person_id=65911&amp;year=2021&amp;type=national&amp;d=6","Results")</f>
        <v/>
      </c>
    </row>
    <row r="243">
      <c r="A243" t="inlineStr">
        <is>
          <t>242</t>
        </is>
      </c>
      <c r="B243" t="inlineStr">
        <is>
          <t>Max Avery</t>
        </is>
      </c>
      <c r="C243" t="inlineStr">
        <is>
          <t>Colchester Rovers CC</t>
        </is>
      </c>
      <c r="D243" t="inlineStr">
        <is>
          <t>38</t>
        </is>
      </c>
      <c r="E243">
        <f>HYPERLINK("https://www.britishcycling.org.uk/points?person_id=677435&amp;year=2021&amp;type=national&amp;d=6","Results")</f>
        <v/>
      </c>
    </row>
    <row r="244">
      <c r="A244" t="inlineStr">
        <is>
          <t>243</t>
        </is>
      </c>
      <c r="B244" t="inlineStr">
        <is>
          <t>Jonathan Masters</t>
        </is>
      </c>
      <c r="C244" t="inlineStr">
        <is>
          <t>Stratford CC</t>
        </is>
      </c>
      <c r="D244" t="inlineStr">
        <is>
          <t>38</t>
        </is>
      </c>
      <c r="E244">
        <f>HYPERLINK("https://www.britishcycling.org.uk/points?person_id=599899&amp;year=2021&amp;type=national&amp;d=6","Results")</f>
        <v/>
      </c>
    </row>
    <row r="245">
      <c r="A245" t="inlineStr">
        <is>
          <t>244</t>
        </is>
      </c>
      <c r="B245" t="inlineStr">
        <is>
          <t>Luke Norris</t>
        </is>
      </c>
      <c r="C245" t="inlineStr">
        <is>
          <t>Banbury Star CC</t>
        </is>
      </c>
      <c r="D245" t="inlineStr">
        <is>
          <t>38</t>
        </is>
      </c>
      <c r="E245">
        <f>HYPERLINK("https://www.britishcycling.org.uk/points?person_id=936174&amp;year=2021&amp;type=national&amp;d=6","Results")</f>
        <v/>
      </c>
    </row>
    <row r="246">
      <c r="A246" t="inlineStr">
        <is>
          <t>245</t>
        </is>
      </c>
      <c r="B246" t="inlineStr">
        <is>
          <t>Samuel Bennett</t>
        </is>
      </c>
      <c r="C246" t="inlineStr"/>
      <c r="D246" t="inlineStr">
        <is>
          <t>36</t>
        </is>
      </c>
      <c r="E246">
        <f>HYPERLINK("https://www.britishcycling.org.uk/points?person_id=137132&amp;year=2021&amp;type=national&amp;d=6","Results")</f>
        <v/>
      </c>
    </row>
    <row r="247">
      <c r="A247" t="inlineStr">
        <is>
          <t>246</t>
        </is>
      </c>
      <c r="B247" t="inlineStr">
        <is>
          <t>Gruffudd Lewis</t>
        </is>
      </c>
      <c r="C247" t="inlineStr">
        <is>
          <t>Ribble Weldtite Pro Cycling</t>
        </is>
      </c>
      <c r="D247" t="inlineStr">
        <is>
          <t>36</t>
        </is>
      </c>
      <c r="E247">
        <f>HYPERLINK("https://www.britishcycling.org.uk/points?person_id=100030&amp;year=2021&amp;type=national&amp;d=6","Results")</f>
        <v/>
      </c>
    </row>
    <row r="248">
      <c r="A248" t="inlineStr">
        <is>
          <t>247</t>
        </is>
      </c>
      <c r="B248" t="inlineStr">
        <is>
          <t>Jared Linden</t>
        </is>
      </c>
      <c r="C248" t="inlineStr">
        <is>
          <t>Livingston Cycling Club</t>
        </is>
      </c>
      <c r="D248" t="inlineStr">
        <is>
          <t>36</t>
        </is>
      </c>
      <c r="E248">
        <f>HYPERLINK("https://www.britishcycling.org.uk/points?person_id=188827&amp;year=2021&amp;type=national&amp;d=6","Results")</f>
        <v/>
      </c>
    </row>
    <row r="249">
      <c r="A249" t="inlineStr">
        <is>
          <t>248</t>
        </is>
      </c>
      <c r="B249" t="inlineStr">
        <is>
          <t>Alexandre Touche</t>
        </is>
      </c>
      <c r="C249" t="inlineStr">
        <is>
          <t>Pontypool RCC</t>
        </is>
      </c>
      <c r="D249" t="inlineStr">
        <is>
          <t>36</t>
        </is>
      </c>
      <c r="E249">
        <f>HYPERLINK("https://www.britishcycling.org.uk/points?person_id=306875&amp;year=2021&amp;type=national&amp;d=6","Results")</f>
        <v/>
      </c>
    </row>
    <row r="250">
      <c r="A250" t="inlineStr">
        <is>
          <t>249</t>
        </is>
      </c>
      <c r="B250" t="inlineStr">
        <is>
          <t>Stephen Gibson</t>
        </is>
      </c>
      <c r="C250" t="inlineStr">
        <is>
          <t>4T+ Cyclopark</t>
        </is>
      </c>
      <c r="D250" t="inlineStr">
        <is>
          <t>34</t>
        </is>
      </c>
      <c r="E250">
        <f>HYPERLINK("https://www.britishcycling.org.uk/points?person_id=325174&amp;year=2021&amp;type=national&amp;d=6","Results")</f>
        <v/>
      </c>
    </row>
    <row r="251">
      <c r="A251" t="inlineStr">
        <is>
          <t>250</t>
        </is>
      </c>
      <c r="B251" t="inlineStr">
        <is>
          <t>Joel Hawkins</t>
        </is>
      </c>
      <c r="C251" t="inlineStr"/>
      <c r="D251" t="inlineStr">
        <is>
          <t>34</t>
        </is>
      </c>
      <c r="E251">
        <f>HYPERLINK("https://www.britishcycling.org.uk/points?person_id=326879&amp;year=2021&amp;type=national&amp;d=6","Results")</f>
        <v/>
      </c>
    </row>
    <row r="252">
      <c r="A252" t="inlineStr">
        <is>
          <t>251</t>
        </is>
      </c>
      <c r="B252" t="inlineStr">
        <is>
          <t>Ben Houlihan</t>
        </is>
      </c>
      <c r="C252" t="inlineStr">
        <is>
          <t>Wheelbase CabTech Castelli</t>
        </is>
      </c>
      <c r="D252" t="inlineStr">
        <is>
          <t>34</t>
        </is>
      </c>
      <c r="E252">
        <f>HYPERLINK("https://www.britishcycling.org.uk/points?person_id=368133&amp;year=2021&amp;type=national&amp;d=6","Results")</f>
        <v/>
      </c>
    </row>
    <row r="253">
      <c r="A253" t="inlineStr">
        <is>
          <t>252</t>
        </is>
      </c>
      <c r="B253" t="inlineStr">
        <is>
          <t>Deetray Jarrett</t>
        </is>
      </c>
      <c r="C253" t="inlineStr">
        <is>
          <t>Green Jersey CC</t>
        </is>
      </c>
      <c r="D253" t="inlineStr">
        <is>
          <t>34</t>
        </is>
      </c>
      <c r="E253">
        <f>HYPERLINK("https://www.britishcycling.org.uk/points?person_id=182375&amp;year=2021&amp;type=national&amp;d=6","Results")</f>
        <v/>
      </c>
    </row>
    <row r="254">
      <c r="A254" t="inlineStr">
        <is>
          <t>253</t>
        </is>
      </c>
      <c r="B254" t="inlineStr">
        <is>
          <t>Bjoern Koerdt</t>
        </is>
      </c>
      <c r="C254" t="inlineStr">
        <is>
          <t>Shibden Cycling Club</t>
        </is>
      </c>
      <c r="D254" t="inlineStr">
        <is>
          <t>34</t>
        </is>
      </c>
      <c r="E254">
        <f>HYPERLINK("https://www.britishcycling.org.uk/points?person_id=169273&amp;year=2021&amp;type=national&amp;d=6","Results")</f>
        <v/>
      </c>
    </row>
    <row r="255">
      <c r="A255" t="inlineStr">
        <is>
          <t>254</t>
        </is>
      </c>
      <c r="B255" t="inlineStr">
        <is>
          <t>Frank Pilkington</t>
        </is>
      </c>
      <c r="C255" t="inlineStr"/>
      <c r="D255" t="inlineStr">
        <is>
          <t>34</t>
        </is>
      </c>
      <c r="E255">
        <f>HYPERLINK("https://www.britishcycling.org.uk/points?person_id=131544&amp;year=2021&amp;type=national&amp;d=6","Results")</f>
        <v/>
      </c>
    </row>
    <row r="256">
      <c r="A256" t="inlineStr">
        <is>
          <t>255</t>
        </is>
      </c>
      <c r="B256" t="inlineStr">
        <is>
          <t>John Sawers</t>
        </is>
      </c>
      <c r="C256" t="inlineStr">
        <is>
          <t>Royal Navy &amp; Royal Marines CA</t>
        </is>
      </c>
      <c r="D256" t="inlineStr">
        <is>
          <t>34</t>
        </is>
      </c>
      <c r="E256">
        <f>HYPERLINK("https://www.britishcycling.org.uk/points?person_id=261668&amp;year=2021&amp;type=national&amp;d=6","Results")</f>
        <v/>
      </c>
    </row>
    <row r="257">
      <c r="A257" t="inlineStr">
        <is>
          <t>256</t>
        </is>
      </c>
      <c r="B257" t="inlineStr">
        <is>
          <t>Grant Scott</t>
        </is>
      </c>
      <c r="C257" t="inlineStr">
        <is>
          <t>Ronde Cycling Club</t>
        </is>
      </c>
      <c r="D257" t="inlineStr">
        <is>
          <t>34</t>
        </is>
      </c>
      <c r="E257">
        <f>HYPERLINK("https://www.britishcycling.org.uk/points?person_id=750552&amp;year=2021&amp;type=national&amp;d=6","Results")</f>
        <v/>
      </c>
    </row>
    <row r="258">
      <c r="A258" t="inlineStr">
        <is>
          <t>257</t>
        </is>
      </c>
      <c r="B258" t="inlineStr">
        <is>
          <t>Jack Thompson</t>
        </is>
      </c>
      <c r="C258" t="inlineStr">
        <is>
          <t>Velo Schils - Interbike RT</t>
        </is>
      </c>
      <c r="D258" t="inlineStr">
        <is>
          <t>34</t>
        </is>
      </c>
      <c r="E258">
        <f>HYPERLINK("https://www.britishcycling.org.uk/points?person_id=118730&amp;year=2021&amp;type=national&amp;d=6","Results")</f>
        <v/>
      </c>
    </row>
    <row r="259">
      <c r="A259" t="inlineStr">
        <is>
          <t>258</t>
        </is>
      </c>
      <c r="B259" t="inlineStr">
        <is>
          <t>James Ambrose-Parish</t>
        </is>
      </c>
      <c r="C259" t="inlineStr">
        <is>
          <t>Embark - Bikestrong</t>
        </is>
      </c>
      <c r="D259" t="inlineStr">
        <is>
          <t>33</t>
        </is>
      </c>
      <c r="E259">
        <f>HYPERLINK("https://www.britishcycling.org.uk/points?person_id=31051&amp;year=2021&amp;type=national&amp;d=6","Results")</f>
        <v/>
      </c>
    </row>
    <row r="260">
      <c r="A260" t="inlineStr">
        <is>
          <t>259</t>
        </is>
      </c>
      <c r="B260" t="inlineStr">
        <is>
          <t>Oliver Baker</t>
        </is>
      </c>
      <c r="C260" t="inlineStr"/>
      <c r="D260" t="inlineStr">
        <is>
          <t>33</t>
        </is>
      </c>
      <c r="E260">
        <f>HYPERLINK("https://www.britishcycling.org.uk/points?person_id=296084&amp;year=2021&amp;type=national&amp;d=6","Results")</f>
        <v/>
      </c>
    </row>
    <row r="261">
      <c r="A261" t="inlineStr">
        <is>
          <t>260</t>
        </is>
      </c>
      <c r="B261" t="inlineStr">
        <is>
          <t>Joe Barker</t>
        </is>
      </c>
      <c r="C261" t="inlineStr"/>
      <c r="D261" t="inlineStr">
        <is>
          <t>33</t>
        </is>
      </c>
      <c r="E261">
        <f>HYPERLINK("https://www.britishcycling.org.uk/points?person_id=900204&amp;year=2021&amp;type=national&amp;d=6","Results")</f>
        <v/>
      </c>
    </row>
    <row r="262">
      <c r="A262" t="inlineStr">
        <is>
          <t>261</t>
        </is>
      </c>
      <c r="B262" t="inlineStr">
        <is>
          <t>Gregg Booker</t>
        </is>
      </c>
      <c r="C262" t="inlineStr">
        <is>
          <t>Matlock CC</t>
        </is>
      </c>
      <c r="D262" t="inlineStr">
        <is>
          <t>33</t>
        </is>
      </c>
      <c r="E262">
        <f>HYPERLINK("https://www.britishcycling.org.uk/points?person_id=108032&amp;year=2021&amp;type=national&amp;d=6","Results")</f>
        <v/>
      </c>
    </row>
    <row r="263">
      <c r="A263" t="inlineStr">
        <is>
          <t>262</t>
        </is>
      </c>
      <c r="B263" t="inlineStr">
        <is>
          <t>Thomas Butler</t>
        </is>
      </c>
      <c r="C263" t="inlineStr">
        <is>
          <t>VC Deal</t>
        </is>
      </c>
      <c r="D263" t="inlineStr">
        <is>
          <t>33</t>
        </is>
      </c>
      <c r="E263">
        <f>HYPERLINK("https://www.britishcycling.org.uk/points?person_id=68720&amp;year=2021&amp;type=national&amp;d=6","Results")</f>
        <v/>
      </c>
    </row>
    <row r="264">
      <c r="A264" t="inlineStr">
        <is>
          <t>263</t>
        </is>
      </c>
      <c r="B264" t="inlineStr">
        <is>
          <t>Chris Donnelly</t>
        </is>
      </c>
      <c r="C264" t="inlineStr">
        <is>
          <t>High Peak Cycles RT</t>
        </is>
      </c>
      <c r="D264" t="inlineStr">
        <is>
          <t>33</t>
        </is>
      </c>
      <c r="E264">
        <f>HYPERLINK("https://www.britishcycling.org.uk/points?person_id=348017&amp;year=2021&amp;type=national&amp;d=6","Results")</f>
        <v/>
      </c>
    </row>
    <row r="265">
      <c r="A265" t="inlineStr">
        <is>
          <t>264</t>
        </is>
      </c>
      <c r="B265" t="inlineStr">
        <is>
          <t>Peter Maytom</t>
        </is>
      </c>
      <c r="C265" t="inlineStr">
        <is>
          <t>VC Londres</t>
        </is>
      </c>
      <c r="D265" t="inlineStr">
        <is>
          <t>32</t>
        </is>
      </c>
      <c r="E265">
        <f>HYPERLINK("https://www.britishcycling.org.uk/points?person_id=769678&amp;year=2021&amp;type=national&amp;d=6","Results")</f>
        <v/>
      </c>
    </row>
    <row r="266">
      <c r="A266" t="inlineStr">
        <is>
          <t>265</t>
        </is>
      </c>
      <c r="B266" t="inlineStr">
        <is>
          <t>Craig Owen</t>
        </is>
      </c>
      <c r="C266" t="inlineStr">
        <is>
          <t>Hart's Cyclery</t>
        </is>
      </c>
      <c r="D266" t="inlineStr">
        <is>
          <t>32</t>
        </is>
      </c>
      <c r="E266">
        <f>HYPERLINK("https://www.britishcycling.org.uk/points?person_id=55720&amp;year=2021&amp;type=national&amp;d=6","Results")</f>
        <v/>
      </c>
    </row>
    <row r="267">
      <c r="A267" t="inlineStr">
        <is>
          <t>266</t>
        </is>
      </c>
      <c r="B267" t="inlineStr">
        <is>
          <t>John Spanner</t>
        </is>
      </c>
      <c r="C267" t="inlineStr">
        <is>
          <t>Ilkeston Cycle Club</t>
        </is>
      </c>
      <c r="D267" t="inlineStr">
        <is>
          <t>32</t>
        </is>
      </c>
      <c r="E267">
        <f>HYPERLINK("https://www.britishcycling.org.uk/points?person_id=248925&amp;year=2021&amp;type=national&amp;d=6","Results")</f>
        <v/>
      </c>
    </row>
    <row r="268">
      <c r="A268" t="inlineStr">
        <is>
          <t>267</t>
        </is>
      </c>
      <c r="B268" t="inlineStr">
        <is>
          <t>Edward Woodward</t>
        </is>
      </c>
      <c r="C268" t="inlineStr">
        <is>
          <t>Beeston Cycling Club</t>
        </is>
      </c>
      <c r="D268" t="inlineStr">
        <is>
          <t>32</t>
        </is>
      </c>
      <c r="E268">
        <f>HYPERLINK("https://www.britishcycling.org.uk/points?person_id=171596&amp;year=2021&amp;type=national&amp;d=6","Results")</f>
        <v/>
      </c>
    </row>
    <row r="269">
      <c r="A269" t="inlineStr">
        <is>
          <t>268</t>
        </is>
      </c>
      <c r="B269" t="inlineStr">
        <is>
          <t>Luke Barton</t>
        </is>
      </c>
      <c r="C269" t="inlineStr">
        <is>
          <t>Louth Cycle Centre RT</t>
        </is>
      </c>
      <c r="D269" t="inlineStr">
        <is>
          <t>31</t>
        </is>
      </c>
      <c r="E269">
        <f>HYPERLINK("https://www.britishcycling.org.uk/points?person_id=426068&amp;year=2021&amp;type=national&amp;d=6","Results")</f>
        <v/>
      </c>
    </row>
    <row r="270">
      <c r="A270" t="inlineStr">
        <is>
          <t>269</t>
        </is>
      </c>
      <c r="B270" t="inlineStr">
        <is>
          <t>Louis Britton</t>
        </is>
      </c>
      <c r="C270" t="inlineStr">
        <is>
          <t>Severn RC</t>
        </is>
      </c>
      <c r="D270" t="inlineStr">
        <is>
          <t>31</t>
        </is>
      </c>
      <c r="E270">
        <f>HYPERLINK("https://www.britishcycling.org.uk/points?person_id=832398&amp;year=2021&amp;type=national&amp;d=6","Results")</f>
        <v/>
      </c>
    </row>
    <row r="271">
      <c r="A271" t="inlineStr">
        <is>
          <t>270</t>
        </is>
      </c>
      <c r="B271" t="inlineStr">
        <is>
          <t>Sean Gordon</t>
        </is>
      </c>
      <c r="C271" t="inlineStr">
        <is>
          <t>dooleys cycles</t>
        </is>
      </c>
      <c r="D271" t="inlineStr">
        <is>
          <t>31</t>
        </is>
      </c>
      <c r="E271">
        <f>HYPERLINK("https://www.britishcycling.org.uk/points?person_id=128394&amp;year=2021&amp;type=national&amp;d=6","Results")</f>
        <v/>
      </c>
    </row>
    <row r="272">
      <c r="A272" t="inlineStr">
        <is>
          <t>271</t>
        </is>
      </c>
      <c r="B272" t="inlineStr">
        <is>
          <t>Finlay Robertson</t>
        </is>
      </c>
      <c r="C272" t="inlineStr">
        <is>
          <t>Wheelbase CabTech Castelli</t>
        </is>
      </c>
      <c r="D272" t="inlineStr">
        <is>
          <t>31</t>
        </is>
      </c>
      <c r="E272">
        <f>HYPERLINK("https://www.britishcycling.org.uk/points?person_id=105226&amp;year=2021&amp;type=national&amp;d=6","Results")</f>
        <v/>
      </c>
    </row>
    <row r="273">
      <c r="A273" t="inlineStr">
        <is>
          <t>272</t>
        </is>
      </c>
      <c r="B273" t="inlineStr">
        <is>
          <t>Alex Windett</t>
        </is>
      </c>
      <c r="C273" t="inlineStr">
        <is>
          <t>Dulwich Paragon CC</t>
        </is>
      </c>
      <c r="D273" t="inlineStr">
        <is>
          <t>31</t>
        </is>
      </c>
      <c r="E273">
        <f>HYPERLINK("https://www.britishcycling.org.uk/points?person_id=631828&amp;year=2021&amp;type=national&amp;d=6","Results")</f>
        <v/>
      </c>
    </row>
    <row r="274">
      <c r="A274" t="inlineStr">
        <is>
          <t>273</t>
        </is>
      </c>
      <c r="B274" t="inlineStr">
        <is>
          <t>Oliver Akers</t>
        </is>
      </c>
      <c r="C274" t="inlineStr">
        <is>
          <t>Garden Shed UK-Ribble-Verge Sport</t>
        </is>
      </c>
      <c r="D274" t="inlineStr">
        <is>
          <t>30</t>
        </is>
      </c>
      <c r="E274">
        <f>HYPERLINK("https://www.britishcycling.org.uk/points?person_id=216333&amp;year=2021&amp;type=national&amp;d=6","Results")</f>
        <v/>
      </c>
    </row>
    <row r="275">
      <c r="A275" t="inlineStr">
        <is>
          <t>274</t>
        </is>
      </c>
      <c r="B275" t="inlineStr">
        <is>
          <t>Sam Bishop</t>
        </is>
      </c>
      <c r="C275" t="inlineStr">
        <is>
          <t>Vittoria Sigma Sports</t>
        </is>
      </c>
      <c r="D275" t="inlineStr">
        <is>
          <t>30</t>
        </is>
      </c>
      <c r="E275">
        <f>HYPERLINK("https://www.britishcycling.org.uk/points?person_id=185770&amp;year=2021&amp;type=national&amp;d=6","Results")</f>
        <v/>
      </c>
    </row>
    <row r="276">
      <c r="A276" t="inlineStr">
        <is>
          <t>275</t>
        </is>
      </c>
      <c r="B276" t="inlineStr">
        <is>
          <t>Dyfan Evans</t>
        </is>
      </c>
      <c r="C276" t="inlineStr">
        <is>
          <t>Fibrax Wrexham Roads Club</t>
        </is>
      </c>
      <c r="D276" t="inlineStr">
        <is>
          <t>30</t>
        </is>
      </c>
      <c r="E276">
        <f>HYPERLINK("https://www.britishcycling.org.uk/points?person_id=61879&amp;year=2021&amp;type=national&amp;d=6","Results")</f>
        <v/>
      </c>
    </row>
    <row r="277">
      <c r="A277" t="inlineStr">
        <is>
          <t>276</t>
        </is>
      </c>
      <c r="B277" t="inlineStr">
        <is>
          <t>Alec Gregory</t>
        </is>
      </c>
      <c r="C277" t="inlineStr">
        <is>
          <t>GSC BLAGNAC VS 31</t>
        </is>
      </c>
      <c r="D277" t="inlineStr">
        <is>
          <t>30</t>
        </is>
      </c>
      <c r="E277">
        <f>HYPERLINK("https://www.britishcycling.org.uk/points?person_id=223307&amp;year=2021&amp;type=national&amp;d=6","Results")</f>
        <v/>
      </c>
    </row>
    <row r="278">
      <c r="A278" t="inlineStr">
        <is>
          <t>277</t>
        </is>
      </c>
      <c r="B278" t="inlineStr">
        <is>
          <t>Peter Link</t>
        </is>
      </c>
      <c r="C278" t="inlineStr">
        <is>
          <t>VC Deal</t>
        </is>
      </c>
      <c r="D278" t="inlineStr">
        <is>
          <t>30</t>
        </is>
      </c>
      <c r="E278">
        <f>HYPERLINK("https://www.britishcycling.org.uk/points?person_id=535141&amp;year=2021&amp;type=national&amp;d=6","Results")</f>
        <v/>
      </c>
    </row>
    <row r="279">
      <c r="A279" t="inlineStr">
        <is>
          <t>278</t>
        </is>
      </c>
      <c r="B279" t="inlineStr">
        <is>
          <t>George Loveday</t>
        </is>
      </c>
      <c r="C279" t="inlineStr">
        <is>
          <t>Coalville Wheelers CC</t>
        </is>
      </c>
      <c r="D279" t="inlineStr">
        <is>
          <t>30</t>
        </is>
      </c>
      <c r="E279">
        <f>HYPERLINK("https://www.britishcycling.org.uk/points?person_id=194028&amp;year=2021&amp;type=national&amp;d=6","Results")</f>
        <v/>
      </c>
    </row>
    <row r="280">
      <c r="A280" t="inlineStr">
        <is>
          <t>279</t>
        </is>
      </c>
      <c r="B280" t="inlineStr">
        <is>
          <t>Euan Sanderson</t>
        </is>
      </c>
      <c r="C280" t="inlineStr">
        <is>
          <t>Durham University Cycling Club</t>
        </is>
      </c>
      <c r="D280" t="inlineStr">
        <is>
          <t>30</t>
        </is>
      </c>
      <c r="E280">
        <f>HYPERLINK("https://www.britishcycling.org.uk/points?person_id=661033&amp;year=2021&amp;type=national&amp;d=6","Results")</f>
        <v/>
      </c>
    </row>
    <row r="281">
      <c r="A281" t="inlineStr">
        <is>
          <t>280</t>
        </is>
      </c>
      <c r="B281" t="inlineStr">
        <is>
          <t>Tom Whitworth</t>
        </is>
      </c>
      <c r="C281" t="inlineStr">
        <is>
          <t>Royal Air Force CA</t>
        </is>
      </c>
      <c r="D281" t="inlineStr">
        <is>
          <t>30</t>
        </is>
      </c>
      <c r="E281">
        <f>HYPERLINK("https://www.britishcycling.org.uk/points?person_id=173864&amp;year=2021&amp;type=national&amp;d=6","Results")</f>
        <v/>
      </c>
    </row>
    <row r="282">
      <c r="A282" t="inlineStr">
        <is>
          <t>281</t>
        </is>
      </c>
      <c r="B282" t="inlineStr">
        <is>
          <t>Eugene Cross</t>
        </is>
      </c>
      <c r="C282" t="inlineStr">
        <is>
          <t>Lifting Gear Prod- CyclesInMotion</t>
        </is>
      </c>
      <c r="D282" t="inlineStr">
        <is>
          <t>29</t>
        </is>
      </c>
      <c r="E282">
        <f>HYPERLINK("https://www.britishcycling.org.uk/points?person_id=130630&amp;year=2021&amp;type=national&amp;d=6","Results")</f>
        <v/>
      </c>
    </row>
    <row r="283">
      <c r="A283" t="inlineStr">
        <is>
          <t>282</t>
        </is>
      </c>
      <c r="B283" t="inlineStr">
        <is>
          <t>Daniel Hunt</t>
        </is>
      </c>
      <c r="C283" t="inlineStr">
        <is>
          <t>Lichfield City CC</t>
        </is>
      </c>
      <c r="D283" t="inlineStr">
        <is>
          <t>29</t>
        </is>
      </c>
      <c r="E283">
        <f>HYPERLINK("https://www.britishcycling.org.uk/points?person_id=770343&amp;year=2021&amp;type=national&amp;d=6","Results")</f>
        <v/>
      </c>
    </row>
    <row r="284">
      <c r="A284" t="inlineStr">
        <is>
          <t>283</t>
        </is>
      </c>
      <c r="B284" t="inlineStr">
        <is>
          <t>Christopher Orfeur</t>
        </is>
      </c>
      <c r="C284" t="inlineStr">
        <is>
          <t>Welland Valley CC</t>
        </is>
      </c>
      <c r="D284" t="inlineStr">
        <is>
          <t>29</t>
        </is>
      </c>
      <c r="E284">
        <f>HYPERLINK("https://www.britishcycling.org.uk/points?person_id=425689&amp;year=2021&amp;type=national&amp;d=6","Results")</f>
        <v/>
      </c>
    </row>
    <row r="285">
      <c r="A285" t="inlineStr">
        <is>
          <t>284</t>
        </is>
      </c>
      <c r="B285" t="inlineStr">
        <is>
          <t>Josh Whitehead</t>
        </is>
      </c>
      <c r="C285" t="inlineStr">
        <is>
          <t>SwiftCarbon Pro Cycling</t>
        </is>
      </c>
      <c r="D285" t="inlineStr">
        <is>
          <t>29</t>
        </is>
      </c>
      <c r="E285">
        <f>HYPERLINK("https://www.britishcycling.org.uk/points?person_id=320037&amp;year=2021&amp;type=national&amp;d=6","Results")</f>
        <v/>
      </c>
    </row>
    <row r="286">
      <c r="A286" t="inlineStr">
        <is>
          <t>285</t>
        </is>
      </c>
      <c r="B286" t="inlineStr">
        <is>
          <t>Andy Fitzgerald</t>
        </is>
      </c>
      <c r="C286" t="inlineStr"/>
      <c r="D286" t="inlineStr">
        <is>
          <t>28</t>
        </is>
      </c>
      <c r="E286">
        <f>HYPERLINK("https://www.britishcycling.org.uk/points?person_id=815291&amp;year=2021&amp;type=national&amp;d=6","Results")</f>
        <v/>
      </c>
    </row>
    <row r="287">
      <c r="A287" t="inlineStr">
        <is>
          <t>286</t>
        </is>
      </c>
      <c r="B287" t="inlineStr">
        <is>
          <t>Liam Gilpin</t>
        </is>
      </c>
      <c r="C287" t="inlineStr">
        <is>
          <t>Geared Up Apex RT</t>
        </is>
      </c>
      <c r="D287" t="inlineStr">
        <is>
          <t>28</t>
        </is>
      </c>
      <c r="E287">
        <f>HYPERLINK("https://www.britishcycling.org.uk/points?person_id=236635&amp;year=2021&amp;type=national&amp;d=6","Results")</f>
        <v/>
      </c>
    </row>
    <row r="288">
      <c r="A288" t="inlineStr">
        <is>
          <t>287</t>
        </is>
      </c>
      <c r="B288" t="inlineStr">
        <is>
          <t>Jenson Harris</t>
        </is>
      </c>
      <c r="C288" t="inlineStr">
        <is>
          <t>Avid Sport</t>
        </is>
      </c>
      <c r="D288" t="inlineStr">
        <is>
          <t>28</t>
        </is>
      </c>
      <c r="E288">
        <f>HYPERLINK("https://www.britishcycling.org.uk/points?person_id=403618&amp;year=2021&amp;type=national&amp;d=6","Results")</f>
        <v/>
      </c>
    </row>
    <row r="289">
      <c r="A289" t="inlineStr">
        <is>
          <t>288</t>
        </is>
      </c>
      <c r="B289" t="inlineStr">
        <is>
          <t>Carlo Lacoux</t>
        </is>
      </c>
      <c r="C289" t="inlineStr">
        <is>
          <t>Discovery Junior Cycling Club</t>
        </is>
      </c>
      <c r="D289" t="inlineStr">
        <is>
          <t>28</t>
        </is>
      </c>
      <c r="E289">
        <f>HYPERLINK("https://www.britishcycling.org.uk/points?person_id=625844&amp;year=2021&amp;type=national&amp;d=6","Results")</f>
        <v/>
      </c>
    </row>
    <row r="290">
      <c r="A290" t="inlineStr">
        <is>
          <t>289</t>
        </is>
      </c>
      <c r="B290" t="inlineStr">
        <is>
          <t>Robin Steer</t>
        </is>
      </c>
      <c r="C290" t="inlineStr">
        <is>
          <t>Welwyn Wheelers CC</t>
        </is>
      </c>
      <c r="D290" t="inlineStr">
        <is>
          <t>28</t>
        </is>
      </c>
      <c r="E290">
        <f>HYPERLINK("https://www.britishcycling.org.uk/points?person_id=351157&amp;year=2021&amp;type=national&amp;d=6","Results")</f>
        <v/>
      </c>
    </row>
    <row r="291">
      <c r="A291" t="inlineStr">
        <is>
          <t>290</t>
        </is>
      </c>
      <c r="B291" t="inlineStr">
        <is>
          <t>Joseph Wynn-Jones</t>
        </is>
      </c>
      <c r="C291" t="inlineStr">
        <is>
          <t>Leicester University Cycling Team</t>
        </is>
      </c>
      <c r="D291" t="inlineStr">
        <is>
          <t>28</t>
        </is>
      </c>
      <c r="E291">
        <f>HYPERLINK("https://www.britishcycling.org.uk/points?person_id=1021468&amp;year=2021&amp;type=national&amp;d=6","Results")</f>
        <v/>
      </c>
    </row>
    <row r="292">
      <c r="A292" t="inlineStr">
        <is>
          <t>291</t>
        </is>
      </c>
      <c r="B292" t="inlineStr">
        <is>
          <t>Chris Peareth</t>
        </is>
      </c>
      <c r="C292" t="inlineStr">
        <is>
          <t>Zurbaran Racing</t>
        </is>
      </c>
      <c r="D292" t="inlineStr">
        <is>
          <t>27</t>
        </is>
      </c>
      <c r="E292">
        <f>HYPERLINK("https://www.britishcycling.org.uk/points?person_id=107086&amp;year=2021&amp;type=national&amp;d=6","Results")</f>
        <v/>
      </c>
    </row>
    <row r="293">
      <c r="A293" t="inlineStr">
        <is>
          <t>292</t>
        </is>
      </c>
      <c r="B293" t="inlineStr">
        <is>
          <t>Chris Shakya</t>
        </is>
      </c>
      <c r="C293" t="inlineStr">
        <is>
          <t>Exeter Wheelers</t>
        </is>
      </c>
      <c r="D293" t="inlineStr">
        <is>
          <t>27</t>
        </is>
      </c>
      <c r="E293">
        <f>HYPERLINK("https://www.britishcycling.org.uk/points?person_id=185139&amp;year=2021&amp;type=national&amp;d=6","Results")</f>
        <v/>
      </c>
    </row>
    <row r="294">
      <c r="A294" t="inlineStr">
        <is>
          <t>293</t>
        </is>
      </c>
      <c r="B294" t="inlineStr">
        <is>
          <t>Jack Wilson</t>
        </is>
      </c>
      <c r="C294" t="inlineStr">
        <is>
          <t>Louth Cycle Centre RT</t>
        </is>
      </c>
      <c r="D294" t="inlineStr">
        <is>
          <t>27</t>
        </is>
      </c>
      <c r="E294">
        <f>HYPERLINK("https://www.britishcycling.org.uk/points?person_id=255959&amp;year=2021&amp;type=national&amp;d=6","Results")</f>
        <v/>
      </c>
    </row>
    <row r="295">
      <c r="A295" t="inlineStr">
        <is>
          <t>294</t>
        </is>
      </c>
      <c r="B295" t="inlineStr">
        <is>
          <t>Pete Boustred</t>
        </is>
      </c>
      <c r="C295" t="inlineStr">
        <is>
          <t>DHC (DistrictsofHamwicCyclesport)</t>
        </is>
      </c>
      <c r="D295" t="inlineStr">
        <is>
          <t>26</t>
        </is>
      </c>
      <c r="E295">
        <f>HYPERLINK("https://www.britishcycling.org.uk/points?person_id=689998&amp;year=2021&amp;type=national&amp;d=6","Results")</f>
        <v/>
      </c>
    </row>
    <row r="296">
      <c r="A296" t="inlineStr">
        <is>
          <t>295</t>
        </is>
      </c>
      <c r="B296" t="inlineStr">
        <is>
          <t>William Brown</t>
        </is>
      </c>
      <c r="C296" t="inlineStr">
        <is>
          <t>Ribble Weldtite Pro Cycling</t>
        </is>
      </c>
      <c r="D296" t="inlineStr">
        <is>
          <t>26</t>
        </is>
      </c>
      <c r="E296">
        <f>HYPERLINK("https://www.britishcycling.org.uk/points?person_id=39686&amp;year=2021&amp;type=national&amp;d=6","Results")</f>
        <v/>
      </c>
    </row>
    <row r="297">
      <c r="A297" t="inlineStr">
        <is>
          <t>296</t>
        </is>
      </c>
      <c r="B297" t="inlineStr">
        <is>
          <t>Max Gibbons</t>
        </is>
      </c>
      <c r="C297" t="inlineStr">
        <is>
          <t>Orbea Racing Team</t>
        </is>
      </c>
      <c r="D297" t="inlineStr">
        <is>
          <t>26</t>
        </is>
      </c>
      <c r="E297">
        <f>HYPERLINK("https://www.britishcycling.org.uk/points?person_id=168251&amp;year=2021&amp;type=national&amp;d=6","Results")</f>
        <v/>
      </c>
    </row>
    <row r="298">
      <c r="A298" t="inlineStr">
        <is>
          <t>297</t>
        </is>
      </c>
      <c r="B298" t="inlineStr">
        <is>
          <t>William Hibberd</t>
        </is>
      </c>
      <c r="C298" t="inlineStr">
        <is>
          <t>Kibosh</t>
        </is>
      </c>
      <c r="D298" t="inlineStr">
        <is>
          <t>26</t>
        </is>
      </c>
      <c r="E298">
        <f>HYPERLINK("https://www.britishcycling.org.uk/points?person_id=540329&amp;year=2021&amp;type=national&amp;d=6","Results")</f>
        <v/>
      </c>
    </row>
    <row r="299">
      <c r="A299" t="inlineStr">
        <is>
          <t>298</t>
        </is>
      </c>
      <c r="B299" t="inlineStr">
        <is>
          <t>Caelan Miller</t>
        </is>
      </c>
      <c r="C299" t="inlineStr">
        <is>
          <t>Welwyn Wheelers CC</t>
        </is>
      </c>
      <c r="D299" t="inlineStr">
        <is>
          <t>26</t>
        </is>
      </c>
      <c r="E299">
        <f>HYPERLINK("https://www.britishcycling.org.uk/points?person_id=181802&amp;year=2021&amp;type=national&amp;d=6","Results")</f>
        <v/>
      </c>
    </row>
    <row r="300">
      <c r="A300" t="inlineStr">
        <is>
          <t>299</t>
        </is>
      </c>
      <c r="B300" t="inlineStr">
        <is>
          <t>Thomas Price</t>
        </is>
      </c>
      <c r="C300" t="inlineStr">
        <is>
          <t>Reflex Racing</t>
        </is>
      </c>
      <c r="D300" t="inlineStr">
        <is>
          <t>26</t>
        </is>
      </c>
      <c r="E300">
        <f>HYPERLINK("https://www.britishcycling.org.uk/points?person_id=464041&amp;year=2021&amp;type=national&amp;d=6","Results")</f>
        <v/>
      </c>
    </row>
    <row r="301">
      <c r="A301" t="inlineStr">
        <is>
          <t>300</t>
        </is>
      </c>
      <c r="B301" t="inlineStr">
        <is>
          <t>Mike Skidmore</t>
        </is>
      </c>
      <c r="C301" t="inlineStr">
        <is>
          <t>Cheltenham &amp; County Cycling Club</t>
        </is>
      </c>
      <c r="D301" t="inlineStr">
        <is>
          <t>26</t>
        </is>
      </c>
      <c r="E301">
        <f>HYPERLINK("https://www.britishcycling.org.uk/points?person_id=418294&amp;year=2021&amp;type=national&amp;d=6","Results")</f>
        <v/>
      </c>
    </row>
    <row r="302">
      <c r="A302" t="inlineStr">
        <is>
          <t>301</t>
        </is>
      </c>
      <c r="B302" t="inlineStr">
        <is>
          <t>Connor Swift</t>
        </is>
      </c>
      <c r="C302" t="inlineStr">
        <is>
          <t>Team Arkea-Samsic</t>
        </is>
      </c>
      <c r="D302" t="inlineStr">
        <is>
          <t>26</t>
        </is>
      </c>
      <c r="E302">
        <f>HYPERLINK("https://www.britishcycling.org.uk/points?person_id=102505&amp;year=2021&amp;type=national&amp;d=6","Results")</f>
        <v/>
      </c>
    </row>
    <row r="303">
      <c r="A303" t="inlineStr">
        <is>
          <t>302</t>
        </is>
      </c>
      <c r="B303" t="inlineStr">
        <is>
          <t>Tom Andrews</t>
        </is>
      </c>
      <c r="C303" t="inlineStr">
        <is>
          <t>Lifting Gear Prod- CyclesInMotion</t>
        </is>
      </c>
      <c r="D303" t="inlineStr">
        <is>
          <t>25</t>
        </is>
      </c>
      <c r="E303">
        <f>HYPERLINK("https://www.britishcycling.org.uk/points?person_id=452234&amp;year=2021&amp;type=national&amp;d=6","Results")</f>
        <v/>
      </c>
    </row>
    <row r="304">
      <c r="A304" t="inlineStr">
        <is>
          <t>303</t>
        </is>
      </c>
      <c r="B304" t="inlineStr">
        <is>
          <t>Jacob Hardy</t>
        </is>
      </c>
      <c r="C304" t="inlineStr">
        <is>
          <t>University of Bath Cycling Club</t>
        </is>
      </c>
      <c r="D304" t="inlineStr">
        <is>
          <t>25</t>
        </is>
      </c>
      <c r="E304">
        <f>HYPERLINK("https://www.britishcycling.org.uk/points?person_id=655680&amp;year=2021&amp;type=national&amp;d=6","Results")</f>
        <v/>
      </c>
    </row>
    <row r="305">
      <c r="A305" t="inlineStr">
        <is>
          <t>304</t>
        </is>
      </c>
      <c r="B305" t="inlineStr">
        <is>
          <t>Callum Hughes</t>
        </is>
      </c>
      <c r="C305" t="inlineStr"/>
      <c r="D305" t="inlineStr">
        <is>
          <t>25</t>
        </is>
      </c>
      <c r="E305">
        <f>HYPERLINK("https://www.britishcycling.org.uk/points?person_id=122465&amp;year=2021&amp;type=national&amp;d=6","Results")</f>
        <v/>
      </c>
    </row>
    <row r="306">
      <c r="A306" t="inlineStr">
        <is>
          <t>305</t>
        </is>
      </c>
      <c r="B306" t="inlineStr">
        <is>
          <t>Elliott Joseph</t>
        </is>
      </c>
      <c r="C306" t="inlineStr">
        <is>
          <t>Watford Velo Sport</t>
        </is>
      </c>
      <c r="D306" t="inlineStr">
        <is>
          <t>25</t>
        </is>
      </c>
      <c r="E306">
        <f>HYPERLINK("https://www.britishcycling.org.uk/points?person_id=259915&amp;year=2021&amp;type=national&amp;d=6","Results")</f>
        <v/>
      </c>
    </row>
    <row r="307">
      <c r="A307" t="inlineStr">
        <is>
          <t>306</t>
        </is>
      </c>
      <c r="B307" t="inlineStr">
        <is>
          <t>James Peckham</t>
        </is>
      </c>
      <c r="C307" t="inlineStr">
        <is>
          <t>Sotonia CC</t>
        </is>
      </c>
      <c r="D307" t="inlineStr">
        <is>
          <t>25</t>
        </is>
      </c>
      <c r="E307">
        <f>HYPERLINK("https://www.britishcycling.org.uk/points?person_id=314103&amp;year=2021&amp;type=national&amp;d=6","Results")</f>
        <v/>
      </c>
    </row>
    <row r="308">
      <c r="A308" t="inlineStr">
        <is>
          <t>307</t>
        </is>
      </c>
      <c r="B308" t="inlineStr">
        <is>
          <t>Aydin Rezazadeh</t>
        </is>
      </c>
      <c r="C308" t="inlineStr">
        <is>
          <t>Durham University Cycling Club</t>
        </is>
      </c>
      <c r="D308" t="inlineStr">
        <is>
          <t>25</t>
        </is>
      </c>
      <c r="E308">
        <f>HYPERLINK("https://www.britishcycling.org.uk/points?person_id=960205&amp;year=2021&amp;type=national&amp;d=6","Results")</f>
        <v/>
      </c>
    </row>
    <row r="309">
      <c r="A309" t="inlineStr">
        <is>
          <t>308</t>
        </is>
      </c>
      <c r="B309" t="inlineStr">
        <is>
          <t>Danny Tonkin</t>
        </is>
      </c>
      <c r="C309" t="inlineStr">
        <is>
          <t>Racing Club Ravenna</t>
        </is>
      </c>
      <c r="D309" t="inlineStr">
        <is>
          <t>25</t>
        </is>
      </c>
      <c r="E309">
        <f>HYPERLINK("https://www.britishcycling.org.uk/points?person_id=419576&amp;year=2021&amp;type=national&amp;d=6","Results")</f>
        <v/>
      </c>
    </row>
    <row r="310">
      <c r="A310" t="inlineStr">
        <is>
          <t>309</t>
        </is>
      </c>
      <c r="B310" t="inlineStr">
        <is>
          <t>Joe Champness</t>
        </is>
      </c>
      <c r="C310" t="inlineStr">
        <is>
          <t>Hadleigh MTB Club</t>
        </is>
      </c>
      <c r="D310" t="inlineStr">
        <is>
          <t>24</t>
        </is>
      </c>
      <c r="E310">
        <f>HYPERLINK("https://www.britishcycling.org.uk/points?person_id=272379&amp;year=2021&amp;type=national&amp;d=6","Results")</f>
        <v/>
      </c>
    </row>
    <row r="311">
      <c r="A311" t="inlineStr">
        <is>
          <t>310</t>
        </is>
      </c>
      <c r="B311" t="inlineStr">
        <is>
          <t>Max Girdler</t>
        </is>
      </c>
      <c r="C311" t="inlineStr">
        <is>
          <t>Pactimo RC</t>
        </is>
      </c>
      <c r="D311" t="inlineStr">
        <is>
          <t>24</t>
        </is>
      </c>
      <c r="E311">
        <f>HYPERLINK("https://www.britishcycling.org.uk/points?person_id=42271&amp;year=2021&amp;type=national&amp;d=6","Results")</f>
        <v/>
      </c>
    </row>
    <row r="312">
      <c r="A312" t="inlineStr">
        <is>
          <t>311</t>
        </is>
      </c>
      <c r="B312" t="inlineStr">
        <is>
          <t>William Harper</t>
        </is>
      </c>
      <c r="C312" t="inlineStr">
        <is>
          <t>SwiftCarbon Pro Cycling</t>
        </is>
      </c>
      <c r="D312" t="inlineStr">
        <is>
          <t>24</t>
        </is>
      </c>
      <c r="E312">
        <f>HYPERLINK("https://www.britishcycling.org.uk/points?person_id=305769&amp;year=2021&amp;type=national&amp;d=6","Results")</f>
        <v/>
      </c>
    </row>
    <row r="313">
      <c r="A313" t="inlineStr">
        <is>
          <t>312</t>
        </is>
      </c>
      <c r="B313" t="inlineStr">
        <is>
          <t>Oliver Stockwell</t>
        </is>
      </c>
      <c r="C313" t="inlineStr">
        <is>
          <t>Team Inspired</t>
        </is>
      </c>
      <c r="D313" t="inlineStr">
        <is>
          <t>24</t>
        </is>
      </c>
      <c r="E313">
        <f>HYPERLINK("https://www.britishcycling.org.uk/points?person_id=226774&amp;year=2021&amp;type=national&amp;d=6","Results")</f>
        <v/>
      </c>
    </row>
    <row r="314">
      <c r="A314" t="inlineStr">
        <is>
          <t>313</t>
        </is>
      </c>
      <c r="B314" t="inlineStr">
        <is>
          <t>Ryan Bevis</t>
        </is>
      </c>
      <c r="C314" t="inlineStr">
        <is>
          <t>The Bulls</t>
        </is>
      </c>
      <c r="D314" t="inlineStr">
        <is>
          <t>23</t>
        </is>
      </c>
      <c r="E314">
        <f>HYPERLINK("https://www.britishcycling.org.uk/points?person_id=37848&amp;year=2021&amp;type=national&amp;d=6","Results")</f>
        <v/>
      </c>
    </row>
    <row r="315">
      <c r="A315" t="inlineStr">
        <is>
          <t>314</t>
        </is>
      </c>
      <c r="B315" t="inlineStr">
        <is>
          <t>Ben Granger</t>
        </is>
      </c>
      <c r="C315" t="inlineStr">
        <is>
          <t>Zappi Racing Team</t>
        </is>
      </c>
      <c r="D315" t="inlineStr">
        <is>
          <t>23</t>
        </is>
      </c>
      <c r="E315">
        <f>HYPERLINK("https://www.britishcycling.org.uk/points?person_id=619164&amp;year=2021&amp;type=national&amp;d=6","Results")</f>
        <v/>
      </c>
    </row>
    <row r="316">
      <c r="A316" t="inlineStr">
        <is>
          <t>315</t>
        </is>
      </c>
      <c r="B316" t="inlineStr">
        <is>
          <t>Nathan Hardy</t>
        </is>
      </c>
      <c r="C316" t="inlineStr">
        <is>
          <t>Tofauti Everyone Active</t>
        </is>
      </c>
      <c r="D316" t="inlineStr">
        <is>
          <t>23</t>
        </is>
      </c>
      <c r="E316">
        <f>HYPERLINK("https://www.britishcycling.org.uk/points?person_id=293404&amp;year=2021&amp;type=national&amp;d=6","Results")</f>
        <v/>
      </c>
    </row>
    <row r="317">
      <c r="A317" t="inlineStr">
        <is>
          <t>316</t>
        </is>
      </c>
      <c r="B317" t="inlineStr">
        <is>
          <t>Alex Painting</t>
        </is>
      </c>
      <c r="C317" t="inlineStr">
        <is>
          <t>Bristol South CC</t>
        </is>
      </c>
      <c r="D317" t="inlineStr">
        <is>
          <t>23</t>
        </is>
      </c>
      <c r="E317">
        <f>HYPERLINK("https://www.britishcycling.org.uk/points?person_id=625691&amp;year=2021&amp;type=national&amp;d=6","Results")</f>
        <v/>
      </c>
    </row>
    <row r="318">
      <c r="A318" t="inlineStr">
        <is>
          <t>317</t>
        </is>
      </c>
      <c r="B318" t="inlineStr">
        <is>
          <t>Charlie Revell</t>
        </is>
      </c>
      <c r="C318" t="inlineStr">
        <is>
          <t>Team Tor 2000 Kalas</t>
        </is>
      </c>
      <c r="D318" t="inlineStr">
        <is>
          <t>23</t>
        </is>
      </c>
      <c r="E318">
        <f>HYPERLINK("https://www.britishcycling.org.uk/points?person_id=174358&amp;year=2021&amp;type=national&amp;d=6","Results")</f>
        <v/>
      </c>
    </row>
    <row r="319">
      <c r="A319" t="inlineStr">
        <is>
          <t>318</t>
        </is>
      </c>
      <c r="B319" t="inlineStr">
        <is>
          <t>Isaac Russell</t>
        </is>
      </c>
      <c r="C319" t="inlineStr">
        <is>
          <t>Team PB Performance</t>
        </is>
      </c>
      <c r="D319" t="inlineStr">
        <is>
          <t>23</t>
        </is>
      </c>
      <c r="E319">
        <f>HYPERLINK("https://www.britishcycling.org.uk/points?person_id=270002&amp;year=2021&amp;type=national&amp;d=6","Results")</f>
        <v/>
      </c>
    </row>
    <row r="320">
      <c r="A320" t="inlineStr">
        <is>
          <t>319</t>
        </is>
      </c>
      <c r="B320" t="inlineStr">
        <is>
          <t>Roddy Weir</t>
        </is>
      </c>
      <c r="C320" t="inlineStr">
        <is>
          <t>Muckle Cycle Club</t>
        </is>
      </c>
      <c r="D320" t="inlineStr">
        <is>
          <t>23</t>
        </is>
      </c>
      <c r="E320">
        <f>HYPERLINK("https://www.britishcycling.org.uk/points?person_id=338697&amp;year=2021&amp;type=national&amp;d=6","Results")</f>
        <v/>
      </c>
    </row>
    <row r="321">
      <c r="A321" t="inlineStr">
        <is>
          <t>320</t>
        </is>
      </c>
      <c r="B321" t="inlineStr">
        <is>
          <t>Nicholas Whitley</t>
        </is>
      </c>
      <c r="C321" t="inlineStr">
        <is>
          <t>Chester RC</t>
        </is>
      </c>
      <c r="D321" t="inlineStr">
        <is>
          <t>23</t>
        </is>
      </c>
      <c r="E321">
        <f>HYPERLINK("https://www.britishcycling.org.uk/points?person_id=304160&amp;year=2021&amp;type=national&amp;d=6","Results")</f>
        <v/>
      </c>
    </row>
    <row r="322">
      <c r="A322" t="inlineStr">
        <is>
          <t>321</t>
        </is>
      </c>
      <c r="B322" t="inlineStr">
        <is>
          <t>Steven Kane</t>
        </is>
      </c>
      <c r="C322" t="inlineStr">
        <is>
          <t>Team TMC - Strada Wheels</t>
        </is>
      </c>
      <c r="D322" t="inlineStr">
        <is>
          <t>22</t>
        </is>
      </c>
      <c r="E322">
        <f>HYPERLINK("https://www.britishcycling.org.uk/points?person_id=105650&amp;year=2021&amp;type=national&amp;d=6","Results")</f>
        <v/>
      </c>
    </row>
    <row r="323">
      <c r="A323" t="inlineStr">
        <is>
          <t>322</t>
        </is>
      </c>
      <c r="B323" t="inlineStr">
        <is>
          <t>James Maddison</t>
        </is>
      </c>
      <c r="C323" t="inlineStr">
        <is>
          <t>Exeter Wheelers</t>
        </is>
      </c>
      <c r="D323" t="inlineStr">
        <is>
          <t>21</t>
        </is>
      </c>
      <c r="E323">
        <f>HYPERLINK("https://www.britishcycling.org.uk/points?person_id=426063&amp;year=2021&amp;type=national&amp;d=6","Results")</f>
        <v/>
      </c>
    </row>
    <row r="324">
      <c r="A324" t="inlineStr">
        <is>
          <t>323</t>
        </is>
      </c>
      <c r="B324" t="inlineStr">
        <is>
          <t>James Smith</t>
        </is>
      </c>
      <c r="C324" t="inlineStr"/>
      <c r="D324" t="inlineStr">
        <is>
          <t>21</t>
        </is>
      </c>
      <c r="E324">
        <f>HYPERLINK("https://www.britishcycling.org.uk/points?person_id=192925&amp;year=2021&amp;type=national&amp;d=6","Results")</f>
        <v/>
      </c>
    </row>
    <row r="325">
      <c r="A325" t="inlineStr">
        <is>
          <t>324</t>
        </is>
      </c>
      <c r="B325" t="inlineStr">
        <is>
          <t>Paul Cox</t>
        </is>
      </c>
      <c r="C325" t="inlineStr">
        <is>
          <t>Pedal Power Loughborough</t>
        </is>
      </c>
      <c r="D325" t="inlineStr">
        <is>
          <t>20</t>
        </is>
      </c>
      <c r="E325">
        <f>HYPERLINK("https://www.britishcycling.org.uk/points?person_id=1690&amp;year=2021&amp;type=national&amp;d=6","Results")</f>
        <v/>
      </c>
    </row>
    <row r="326">
      <c r="A326" t="inlineStr">
        <is>
          <t>325</t>
        </is>
      </c>
      <c r="B326" t="inlineStr">
        <is>
          <t>Bernard Galea</t>
        </is>
      </c>
      <c r="C326" t="inlineStr">
        <is>
          <t>Leicester Forest CC</t>
        </is>
      </c>
      <c r="D326" t="inlineStr">
        <is>
          <t>20</t>
        </is>
      </c>
      <c r="E326">
        <f>HYPERLINK("https://www.britishcycling.org.uk/points?person_id=998915&amp;year=2021&amp;type=national&amp;d=6","Results")</f>
        <v/>
      </c>
    </row>
    <row r="327">
      <c r="A327" t="inlineStr">
        <is>
          <t>326</t>
        </is>
      </c>
      <c r="B327" t="inlineStr">
        <is>
          <t>Robert Grover</t>
        </is>
      </c>
      <c r="C327" t="inlineStr">
        <is>
          <t>Bradford on Avon</t>
        </is>
      </c>
      <c r="D327" t="inlineStr">
        <is>
          <t>20</t>
        </is>
      </c>
      <c r="E327">
        <f>HYPERLINK("https://www.britishcycling.org.uk/points?person_id=563662&amp;year=2021&amp;type=national&amp;d=6","Results")</f>
        <v/>
      </c>
    </row>
    <row r="328">
      <c r="A328" t="inlineStr">
        <is>
          <t>327</t>
        </is>
      </c>
      <c r="B328" t="inlineStr">
        <is>
          <t>Jack Hastings</t>
        </is>
      </c>
      <c r="C328" t="inlineStr">
        <is>
          <t>Cardiff JIF</t>
        </is>
      </c>
      <c r="D328" t="inlineStr">
        <is>
          <t>20</t>
        </is>
      </c>
      <c r="E328">
        <f>HYPERLINK("https://www.britishcycling.org.uk/points?person_id=251328&amp;year=2021&amp;type=national&amp;d=6","Results")</f>
        <v/>
      </c>
    </row>
    <row r="329">
      <c r="A329" t="inlineStr">
        <is>
          <t>328</t>
        </is>
      </c>
      <c r="B329" t="inlineStr">
        <is>
          <t>Joe Holt</t>
        </is>
      </c>
      <c r="C329" t="inlineStr">
        <is>
          <t>Wales Racing Academy</t>
        </is>
      </c>
      <c r="D329" t="inlineStr">
        <is>
          <t>20</t>
        </is>
      </c>
      <c r="E329">
        <f>HYPERLINK("https://www.britishcycling.org.uk/points?person_id=171&amp;year=2021&amp;type=national&amp;d=6","Results")</f>
        <v/>
      </c>
    </row>
    <row r="330">
      <c r="A330" t="inlineStr">
        <is>
          <t>329</t>
        </is>
      </c>
      <c r="B330" t="inlineStr">
        <is>
          <t>Bevan Humphreys</t>
        </is>
      </c>
      <c r="C330" t="inlineStr">
        <is>
          <t>Velo Club Melyd</t>
        </is>
      </c>
      <c r="D330" t="inlineStr">
        <is>
          <t>20</t>
        </is>
      </c>
      <c r="E330">
        <f>HYPERLINK("https://www.britishcycling.org.uk/points?person_id=106809&amp;year=2021&amp;type=national&amp;d=6","Results")</f>
        <v/>
      </c>
    </row>
    <row r="331">
      <c r="A331" t="inlineStr">
        <is>
          <t>330</t>
        </is>
      </c>
      <c r="B331" t="inlineStr">
        <is>
          <t>William Madeira</t>
        </is>
      </c>
      <c r="C331" t="inlineStr">
        <is>
          <t>VC Deal</t>
        </is>
      </c>
      <c r="D331" t="inlineStr">
        <is>
          <t>20</t>
        </is>
      </c>
      <c r="E331">
        <f>HYPERLINK("https://www.britishcycling.org.uk/points?person_id=631977&amp;year=2021&amp;type=national&amp;d=6","Results")</f>
        <v/>
      </c>
    </row>
    <row r="332">
      <c r="A332" t="inlineStr">
        <is>
          <t>331</t>
        </is>
      </c>
      <c r="B332" t="inlineStr">
        <is>
          <t>Evan McKenzie</t>
        </is>
      </c>
      <c r="C332" t="inlineStr">
        <is>
          <t>West Lothian Clarion CC</t>
        </is>
      </c>
      <c r="D332" t="inlineStr">
        <is>
          <t>20</t>
        </is>
      </c>
      <c r="E332">
        <f>HYPERLINK("https://www.britishcycling.org.uk/points?person_id=621093&amp;year=2021&amp;type=national&amp;d=6","Results")</f>
        <v/>
      </c>
    </row>
    <row r="333">
      <c r="A333" t="inlineStr">
        <is>
          <t>332</t>
        </is>
      </c>
      <c r="B333" t="inlineStr">
        <is>
          <t>Liam Scott Douglas</t>
        </is>
      </c>
      <c r="C333" t="inlineStr">
        <is>
          <t>dooleys cycles</t>
        </is>
      </c>
      <c r="D333" t="inlineStr">
        <is>
          <t>20</t>
        </is>
      </c>
      <c r="E333">
        <f>HYPERLINK("https://www.britishcycling.org.uk/points?person_id=846114&amp;year=2021&amp;type=national&amp;d=6","Results")</f>
        <v/>
      </c>
    </row>
    <row r="334">
      <c r="A334" t="inlineStr">
        <is>
          <t>333</t>
        </is>
      </c>
      <c r="B334" t="inlineStr">
        <is>
          <t>Calum Shackley</t>
        </is>
      </c>
      <c r="C334" t="inlineStr">
        <is>
          <t>dooleys cycles</t>
        </is>
      </c>
      <c r="D334" t="inlineStr">
        <is>
          <t>20</t>
        </is>
      </c>
      <c r="E334">
        <f>HYPERLINK("https://www.britishcycling.org.uk/points?person_id=42470&amp;year=2021&amp;type=national&amp;d=6","Results")</f>
        <v/>
      </c>
    </row>
    <row r="335">
      <c r="A335" t="inlineStr">
        <is>
          <t>334</t>
        </is>
      </c>
      <c r="B335" t="inlineStr">
        <is>
          <t>Ollie Smith</t>
        </is>
      </c>
      <c r="C335" t="inlineStr">
        <is>
          <t>Clash Racing</t>
        </is>
      </c>
      <c r="D335" t="inlineStr">
        <is>
          <t>20</t>
        </is>
      </c>
      <c r="E335">
        <f>HYPERLINK("https://www.britishcycling.org.uk/points?person_id=571057&amp;year=2021&amp;type=national&amp;d=6","Results")</f>
        <v/>
      </c>
    </row>
    <row r="336">
      <c r="A336" t="inlineStr">
        <is>
          <t>335</t>
        </is>
      </c>
      <c r="B336" t="inlineStr">
        <is>
          <t>Dominic Switzer</t>
        </is>
      </c>
      <c r="C336" t="inlineStr">
        <is>
          <t>Welland Valley CC</t>
        </is>
      </c>
      <c r="D336" t="inlineStr">
        <is>
          <t>20</t>
        </is>
      </c>
      <c r="E336">
        <f>HYPERLINK("https://www.britishcycling.org.uk/points?person_id=180600&amp;year=2021&amp;type=national&amp;d=6","Results")</f>
        <v/>
      </c>
    </row>
    <row r="337">
      <c r="A337" t="inlineStr">
        <is>
          <t>336</t>
        </is>
      </c>
      <c r="B337" t="inlineStr">
        <is>
          <t>Alistair Thornton</t>
        </is>
      </c>
      <c r="C337" t="inlineStr"/>
      <c r="D337" t="inlineStr">
        <is>
          <t>20</t>
        </is>
      </c>
      <c r="E337">
        <f>HYPERLINK("https://www.britishcycling.org.uk/points?person_id=364500&amp;year=2021&amp;type=national&amp;d=6","Results")</f>
        <v/>
      </c>
    </row>
    <row r="338">
      <c r="A338" t="inlineStr">
        <is>
          <t>337</t>
        </is>
      </c>
      <c r="B338" t="inlineStr">
        <is>
          <t>Martin Woffindin</t>
        </is>
      </c>
      <c r="C338" t="inlineStr">
        <is>
          <t>Secret-Training.cc</t>
        </is>
      </c>
      <c r="D338" t="inlineStr">
        <is>
          <t>20</t>
        </is>
      </c>
      <c r="E338">
        <f>HYPERLINK("https://www.britishcycling.org.uk/points?person_id=51499&amp;year=2021&amp;type=national&amp;d=6","Results")</f>
        <v/>
      </c>
    </row>
    <row r="339">
      <c r="A339" t="inlineStr">
        <is>
          <t>338</t>
        </is>
      </c>
      <c r="B339" t="inlineStr">
        <is>
          <t>Jackie Chan</t>
        </is>
      </c>
      <c r="C339" t="inlineStr">
        <is>
          <t>Team Andrew Allan Architecture</t>
        </is>
      </c>
      <c r="D339" t="inlineStr">
        <is>
          <t>19</t>
        </is>
      </c>
      <c r="E339">
        <f>HYPERLINK("https://www.britishcycling.org.uk/points?person_id=653132&amp;year=2021&amp;type=national&amp;d=6","Results")</f>
        <v/>
      </c>
    </row>
    <row r="340">
      <c r="A340" t="inlineStr">
        <is>
          <t>339</t>
        </is>
      </c>
      <c r="B340" t="inlineStr">
        <is>
          <t>Roger Cutler</t>
        </is>
      </c>
      <c r="C340" t="inlineStr">
        <is>
          <t>Beacon Roads CC</t>
        </is>
      </c>
      <c r="D340" t="inlineStr">
        <is>
          <t>19</t>
        </is>
      </c>
      <c r="E340">
        <f>HYPERLINK("https://www.britishcycling.org.uk/points?person_id=348561&amp;year=2021&amp;type=national&amp;d=6","Results")</f>
        <v/>
      </c>
    </row>
    <row r="341">
      <c r="A341" t="inlineStr">
        <is>
          <t>340</t>
        </is>
      </c>
      <c r="B341" t="inlineStr">
        <is>
          <t>Alex Dale</t>
        </is>
      </c>
      <c r="C341" t="inlineStr">
        <is>
          <t>Lee Valley Youth Cycling Club</t>
        </is>
      </c>
      <c r="D341" t="inlineStr">
        <is>
          <t>19</t>
        </is>
      </c>
      <c r="E341">
        <f>HYPERLINK("https://www.britishcycling.org.uk/points?person_id=290073&amp;year=2021&amp;type=national&amp;d=6","Results")</f>
        <v/>
      </c>
    </row>
    <row r="342">
      <c r="A342" t="inlineStr">
        <is>
          <t>341</t>
        </is>
      </c>
      <c r="B342" t="inlineStr">
        <is>
          <t>Rhys Deen</t>
        </is>
      </c>
      <c r="C342" t="inlineStr">
        <is>
          <t>Merthyr Cycling Club</t>
        </is>
      </c>
      <c r="D342" t="inlineStr">
        <is>
          <t>19</t>
        </is>
      </c>
      <c r="E342">
        <f>HYPERLINK("https://www.britishcycling.org.uk/points?person_id=612454&amp;year=2021&amp;type=national&amp;d=6","Results")</f>
        <v/>
      </c>
    </row>
    <row r="343">
      <c r="A343" t="inlineStr">
        <is>
          <t>342</t>
        </is>
      </c>
      <c r="B343" t="inlineStr">
        <is>
          <t>Thomas Dye</t>
        </is>
      </c>
      <c r="C343" t="inlineStr">
        <is>
          <t>Cardiff Ajax CC</t>
        </is>
      </c>
      <c r="D343" t="inlineStr">
        <is>
          <t>19</t>
        </is>
      </c>
      <c r="E343">
        <f>HYPERLINK("https://www.britishcycling.org.uk/points?person_id=274764&amp;year=2021&amp;type=national&amp;d=6","Results")</f>
        <v/>
      </c>
    </row>
    <row r="344">
      <c r="A344" t="inlineStr">
        <is>
          <t>343</t>
        </is>
      </c>
      <c r="B344" t="inlineStr">
        <is>
          <t>Daniel Farquhar</t>
        </is>
      </c>
      <c r="C344" t="inlineStr">
        <is>
          <t>Albarosa Cycling Club</t>
        </is>
      </c>
      <c r="D344" t="inlineStr">
        <is>
          <t>19</t>
        </is>
      </c>
      <c r="E344">
        <f>HYPERLINK("https://www.britishcycling.org.uk/points?person_id=51974&amp;year=2021&amp;type=national&amp;d=6","Results")</f>
        <v/>
      </c>
    </row>
    <row r="345">
      <c r="A345" t="inlineStr">
        <is>
          <t>344</t>
        </is>
      </c>
      <c r="B345" t="inlineStr">
        <is>
          <t>Peter Janak</t>
        </is>
      </c>
      <c r="C345" t="inlineStr"/>
      <c r="D345" t="inlineStr">
        <is>
          <t>19</t>
        </is>
      </c>
      <c r="E345">
        <f>HYPERLINK("https://www.britishcycling.org.uk/points?person_id=523407&amp;year=2021&amp;type=national&amp;d=6","Results")</f>
        <v/>
      </c>
    </row>
    <row r="346">
      <c r="A346" t="inlineStr">
        <is>
          <t>345</t>
        </is>
      </c>
      <c r="B346" t="inlineStr">
        <is>
          <t>Daniel Weale</t>
        </is>
      </c>
      <c r="C346" t="inlineStr">
        <is>
          <t>VC Deal</t>
        </is>
      </c>
      <c r="D346" t="inlineStr">
        <is>
          <t>19</t>
        </is>
      </c>
      <c r="E346">
        <f>HYPERLINK("https://www.britishcycling.org.uk/points?person_id=139152&amp;year=2021&amp;type=national&amp;d=6","Results")</f>
        <v/>
      </c>
    </row>
    <row r="347">
      <c r="A347" t="inlineStr">
        <is>
          <t>346</t>
        </is>
      </c>
      <c r="B347" t="inlineStr">
        <is>
          <t>Euan Cameron</t>
        </is>
      </c>
      <c r="C347" t="inlineStr">
        <is>
          <t>Shibden Cycling Club</t>
        </is>
      </c>
      <c r="D347" t="inlineStr">
        <is>
          <t>18</t>
        </is>
      </c>
      <c r="E347">
        <f>HYPERLINK("https://www.britishcycling.org.uk/points?person_id=32594&amp;year=2021&amp;type=national&amp;d=6","Results")</f>
        <v/>
      </c>
    </row>
    <row r="348">
      <c r="A348" t="inlineStr">
        <is>
          <t>347</t>
        </is>
      </c>
      <c r="B348" t="inlineStr">
        <is>
          <t>Nathaniel Cooke</t>
        </is>
      </c>
      <c r="C348" t="inlineStr">
        <is>
          <t>Sunday Echappée</t>
        </is>
      </c>
      <c r="D348" t="inlineStr">
        <is>
          <t>18</t>
        </is>
      </c>
      <c r="E348">
        <f>HYPERLINK("https://www.britishcycling.org.uk/points?person_id=344225&amp;year=2021&amp;type=national&amp;d=6","Results")</f>
        <v/>
      </c>
    </row>
    <row r="349">
      <c r="A349" t="inlineStr">
        <is>
          <t>348</t>
        </is>
      </c>
      <c r="B349" t="inlineStr">
        <is>
          <t>Bobby Cowsill</t>
        </is>
      </c>
      <c r="C349" t="inlineStr">
        <is>
          <t>Kibosh</t>
        </is>
      </c>
      <c r="D349" t="inlineStr">
        <is>
          <t>18</t>
        </is>
      </c>
      <c r="E349">
        <f>HYPERLINK("https://www.britishcycling.org.uk/points?person_id=465985&amp;year=2021&amp;type=national&amp;d=6","Results")</f>
        <v/>
      </c>
    </row>
    <row r="350">
      <c r="A350" t="inlineStr">
        <is>
          <t>349</t>
        </is>
      </c>
      <c r="B350" t="inlineStr">
        <is>
          <t>Ollie Maynard</t>
        </is>
      </c>
      <c r="C350" t="inlineStr">
        <is>
          <t>St Ives CC</t>
        </is>
      </c>
      <c r="D350" t="inlineStr">
        <is>
          <t>18</t>
        </is>
      </c>
      <c r="E350">
        <f>HYPERLINK("https://www.britishcycling.org.uk/points?person_id=673320&amp;year=2021&amp;type=national&amp;d=6","Results")</f>
        <v/>
      </c>
    </row>
    <row r="351">
      <c r="A351" t="inlineStr">
        <is>
          <t>350</t>
        </is>
      </c>
      <c r="B351" t="inlineStr">
        <is>
          <t>Duncan Murdison</t>
        </is>
      </c>
      <c r="C351" t="inlineStr">
        <is>
          <t>Mid Cornwall Cycling Club</t>
        </is>
      </c>
      <c r="D351" t="inlineStr">
        <is>
          <t>18</t>
        </is>
      </c>
      <c r="E351">
        <f>HYPERLINK("https://www.britishcycling.org.uk/points?person_id=397295&amp;year=2021&amp;type=national&amp;d=6","Results")</f>
        <v/>
      </c>
    </row>
    <row r="352">
      <c r="A352" t="inlineStr">
        <is>
          <t>351</t>
        </is>
      </c>
      <c r="B352" t="inlineStr">
        <is>
          <t>Michael Newton</t>
        </is>
      </c>
      <c r="C352" t="inlineStr">
        <is>
          <t>Barnsley RC</t>
        </is>
      </c>
      <c r="D352" t="inlineStr">
        <is>
          <t>18</t>
        </is>
      </c>
      <c r="E352">
        <f>HYPERLINK("https://www.britishcycling.org.uk/points?person_id=21369&amp;year=2021&amp;type=national&amp;d=6","Results")</f>
        <v/>
      </c>
    </row>
    <row r="353">
      <c r="A353" t="inlineStr">
        <is>
          <t>352</t>
        </is>
      </c>
      <c r="B353" t="inlineStr">
        <is>
          <t>Daniel Powell</t>
        </is>
      </c>
      <c r="C353" t="inlineStr">
        <is>
          <t>Cardiff Ajax CC</t>
        </is>
      </c>
      <c r="D353" t="inlineStr">
        <is>
          <t>18</t>
        </is>
      </c>
      <c r="E353">
        <f>HYPERLINK("https://www.britishcycling.org.uk/points?person_id=191169&amp;year=2021&amp;type=national&amp;d=6","Results")</f>
        <v/>
      </c>
    </row>
    <row r="354">
      <c r="A354" t="inlineStr">
        <is>
          <t>353</t>
        </is>
      </c>
      <c r="B354" t="inlineStr">
        <is>
          <t>Luke Prenelle</t>
        </is>
      </c>
      <c r="C354" t="inlineStr">
        <is>
          <t>VC Londres</t>
        </is>
      </c>
      <c r="D354" t="inlineStr">
        <is>
          <t>18</t>
        </is>
      </c>
      <c r="E354">
        <f>HYPERLINK("https://www.britishcycling.org.uk/points?person_id=189907&amp;year=2021&amp;type=national&amp;d=6","Results")</f>
        <v/>
      </c>
    </row>
    <row r="355">
      <c r="A355" t="inlineStr">
        <is>
          <t>354</t>
        </is>
      </c>
      <c r="B355" t="inlineStr">
        <is>
          <t>David Roper</t>
        </is>
      </c>
      <c r="C355" t="inlineStr">
        <is>
          <t>Ride 24 - 7</t>
        </is>
      </c>
      <c r="D355" t="inlineStr">
        <is>
          <t>18</t>
        </is>
      </c>
      <c r="E355">
        <f>HYPERLINK("https://www.britishcycling.org.uk/points?person_id=25660&amp;year=2021&amp;type=national&amp;d=6","Results")</f>
        <v/>
      </c>
    </row>
    <row r="356">
      <c r="A356" t="inlineStr">
        <is>
          <t>355</t>
        </is>
      </c>
      <c r="B356" t="inlineStr">
        <is>
          <t>Matthew Smith</t>
        </is>
      </c>
      <c r="C356" t="inlineStr">
        <is>
          <t>Muckle Cycle Club</t>
        </is>
      </c>
      <c r="D356" t="inlineStr">
        <is>
          <t>18</t>
        </is>
      </c>
      <c r="E356">
        <f>HYPERLINK("https://www.britishcycling.org.uk/points?person_id=819868&amp;year=2021&amp;type=national&amp;d=6","Results")</f>
        <v/>
      </c>
    </row>
    <row r="357">
      <c r="A357" t="inlineStr">
        <is>
          <t>356</t>
        </is>
      </c>
      <c r="B357" t="inlineStr">
        <is>
          <t>Matthew Toman</t>
        </is>
      </c>
      <c r="C357" t="inlineStr">
        <is>
          <t>Secret-Training.cc</t>
        </is>
      </c>
      <c r="D357" t="inlineStr">
        <is>
          <t>18</t>
        </is>
      </c>
      <c r="E357">
        <f>HYPERLINK("https://www.britishcycling.org.uk/points?person_id=390789&amp;year=2021&amp;type=national&amp;d=6","Results")</f>
        <v/>
      </c>
    </row>
    <row r="358">
      <c r="A358" t="inlineStr">
        <is>
          <t>357</t>
        </is>
      </c>
      <c r="B358" t="inlineStr">
        <is>
          <t>Jim Vernon</t>
        </is>
      </c>
      <c r="C358" t="inlineStr">
        <is>
          <t>Welland Valley CC</t>
        </is>
      </c>
      <c r="D358" t="inlineStr">
        <is>
          <t>18</t>
        </is>
      </c>
      <c r="E358">
        <f>HYPERLINK("https://www.britishcycling.org.uk/points?person_id=837962&amp;year=2021&amp;type=national&amp;d=6","Results")</f>
        <v/>
      </c>
    </row>
    <row r="359">
      <c r="A359" t="inlineStr">
        <is>
          <t>358</t>
        </is>
      </c>
      <c r="B359" t="inlineStr">
        <is>
          <t>Richard Wiggins</t>
        </is>
      </c>
      <c r="C359" t="inlineStr">
        <is>
          <t>Team Milton Keynes</t>
        </is>
      </c>
      <c r="D359" t="inlineStr">
        <is>
          <t>18</t>
        </is>
      </c>
      <c r="E359">
        <f>HYPERLINK("https://www.britishcycling.org.uk/points?person_id=588679&amp;year=2021&amp;type=national&amp;d=6","Results")</f>
        <v/>
      </c>
    </row>
    <row r="360">
      <c r="A360" t="inlineStr">
        <is>
          <t>359</t>
        </is>
      </c>
      <c r="B360" t="inlineStr">
        <is>
          <t>Alan Wylie</t>
        </is>
      </c>
      <c r="C360" t="inlineStr">
        <is>
          <t>Musette Cafe Race Team</t>
        </is>
      </c>
      <c r="D360" t="inlineStr">
        <is>
          <t>18</t>
        </is>
      </c>
      <c r="E360">
        <f>HYPERLINK("https://www.britishcycling.org.uk/points?person_id=263599&amp;year=2021&amp;type=national&amp;d=6","Results")</f>
        <v/>
      </c>
    </row>
    <row r="361">
      <c r="A361" t="inlineStr">
        <is>
          <t>360</t>
        </is>
      </c>
      <c r="B361" t="inlineStr">
        <is>
          <t>Jamie Harris</t>
        </is>
      </c>
      <c r="C361" t="inlineStr">
        <is>
          <t>Wigmore CC</t>
        </is>
      </c>
      <c r="D361" t="inlineStr">
        <is>
          <t>17</t>
        </is>
      </c>
      <c r="E361">
        <f>HYPERLINK("https://www.britishcycling.org.uk/points?person_id=588122&amp;year=2021&amp;type=national&amp;d=6","Results")</f>
        <v/>
      </c>
    </row>
    <row r="362">
      <c r="A362" t="inlineStr">
        <is>
          <t>361</t>
        </is>
      </c>
      <c r="B362" t="inlineStr">
        <is>
          <t>Peter Hawkins</t>
        </is>
      </c>
      <c r="C362" t="inlineStr">
        <is>
          <t>Muckle Cycle Club</t>
        </is>
      </c>
      <c r="D362" t="inlineStr">
        <is>
          <t>17</t>
        </is>
      </c>
      <c r="E362">
        <f>HYPERLINK("https://www.britishcycling.org.uk/points?person_id=240950&amp;year=2021&amp;type=national&amp;d=6","Results")</f>
        <v/>
      </c>
    </row>
    <row r="363">
      <c r="A363" t="inlineStr">
        <is>
          <t>362</t>
        </is>
      </c>
      <c r="B363" t="inlineStr">
        <is>
          <t>John MacDonald</t>
        </is>
      </c>
      <c r="C363" t="inlineStr">
        <is>
          <t>Chorlton Velo</t>
        </is>
      </c>
      <c r="D363" t="inlineStr">
        <is>
          <t>17</t>
        </is>
      </c>
      <c r="E363">
        <f>HYPERLINK("https://www.britishcycling.org.uk/points?person_id=290678&amp;year=2021&amp;type=national&amp;d=6","Results")</f>
        <v/>
      </c>
    </row>
    <row r="364">
      <c r="A364" t="inlineStr">
        <is>
          <t>363</t>
        </is>
      </c>
      <c r="B364" t="inlineStr">
        <is>
          <t>Ryan Parkinson</t>
        </is>
      </c>
      <c r="C364" t="inlineStr">
        <is>
          <t>Muckle Cycle Club</t>
        </is>
      </c>
      <c r="D364" t="inlineStr">
        <is>
          <t>17</t>
        </is>
      </c>
      <c r="E364">
        <f>HYPERLINK("https://www.britishcycling.org.uk/points?person_id=655812&amp;year=2021&amp;type=national&amp;d=6","Results")</f>
        <v/>
      </c>
    </row>
    <row r="365">
      <c r="A365" t="inlineStr">
        <is>
          <t>364</t>
        </is>
      </c>
      <c r="B365" t="inlineStr">
        <is>
          <t>Daniel Butlin</t>
        </is>
      </c>
      <c r="C365" t="inlineStr">
        <is>
          <t>EvoVelo Karbona</t>
        </is>
      </c>
      <c r="D365" t="inlineStr">
        <is>
          <t>16</t>
        </is>
      </c>
      <c r="E365">
        <f>HYPERLINK("https://www.britishcycling.org.uk/points?person_id=487820&amp;year=2021&amp;type=national&amp;d=6","Results")</f>
        <v/>
      </c>
    </row>
    <row r="366">
      <c r="A366" t="inlineStr">
        <is>
          <t>365</t>
        </is>
      </c>
      <c r="B366" t="inlineStr">
        <is>
          <t>Liam Cahill</t>
        </is>
      </c>
      <c r="C366" t="inlineStr">
        <is>
          <t>Reflex Racing</t>
        </is>
      </c>
      <c r="D366" t="inlineStr">
        <is>
          <t>16</t>
        </is>
      </c>
      <c r="E366">
        <f>HYPERLINK("https://www.britishcycling.org.uk/points?person_id=197391&amp;year=2021&amp;type=national&amp;d=6","Results")</f>
        <v/>
      </c>
    </row>
    <row r="367">
      <c r="A367" t="inlineStr">
        <is>
          <t>366</t>
        </is>
      </c>
      <c r="B367" t="inlineStr">
        <is>
          <t>Tom Ford</t>
        </is>
      </c>
      <c r="C367" t="inlineStr">
        <is>
          <t>Muckle Cycle Club</t>
        </is>
      </c>
      <c r="D367" t="inlineStr">
        <is>
          <t>16</t>
        </is>
      </c>
      <c r="E367">
        <f>HYPERLINK("https://www.britishcycling.org.uk/points?person_id=312461&amp;year=2021&amp;type=national&amp;d=6","Results")</f>
        <v/>
      </c>
    </row>
    <row r="368">
      <c r="A368" t="inlineStr">
        <is>
          <t>367</t>
        </is>
      </c>
      <c r="B368" t="inlineStr">
        <is>
          <t>John Isaac</t>
        </is>
      </c>
      <c r="C368" t="inlineStr">
        <is>
          <t>Audlem Cycling Club</t>
        </is>
      </c>
      <c r="D368" t="inlineStr">
        <is>
          <t>16</t>
        </is>
      </c>
      <c r="E368">
        <f>HYPERLINK("https://www.britishcycling.org.uk/points?person_id=106865&amp;year=2021&amp;type=national&amp;d=6","Results")</f>
        <v/>
      </c>
    </row>
    <row r="369">
      <c r="A369" t="inlineStr">
        <is>
          <t>368</t>
        </is>
      </c>
      <c r="B369" t="inlineStr">
        <is>
          <t>Carl Jolly</t>
        </is>
      </c>
      <c r="C369" t="inlineStr">
        <is>
          <t>73Degrees CC</t>
        </is>
      </c>
      <c r="D369" t="inlineStr">
        <is>
          <t>16</t>
        </is>
      </c>
      <c r="E369">
        <f>HYPERLINK("https://www.britishcycling.org.uk/points?person_id=60481&amp;year=2021&amp;type=national&amp;d=6","Results")</f>
        <v/>
      </c>
    </row>
    <row r="370">
      <c r="A370" t="inlineStr">
        <is>
          <t>369</t>
        </is>
      </c>
      <c r="B370" t="inlineStr">
        <is>
          <t>Tom Knight</t>
        </is>
      </c>
      <c r="C370" t="inlineStr">
        <is>
          <t>Dynamic Rides CC</t>
        </is>
      </c>
      <c r="D370" t="inlineStr">
        <is>
          <t>16</t>
        </is>
      </c>
      <c r="E370">
        <f>HYPERLINK("https://www.britishcycling.org.uk/points?person_id=60909&amp;year=2021&amp;type=national&amp;d=6","Results")</f>
        <v/>
      </c>
    </row>
    <row r="371">
      <c r="A371" t="inlineStr">
        <is>
          <t>370</t>
        </is>
      </c>
      <c r="B371" t="inlineStr">
        <is>
          <t>Richard Mathie</t>
        </is>
      </c>
      <c r="C371" t="inlineStr">
        <is>
          <t>Penge Cycle Club</t>
        </is>
      </c>
      <c r="D371" t="inlineStr">
        <is>
          <t>16</t>
        </is>
      </c>
      <c r="E371">
        <f>HYPERLINK("https://www.britishcycling.org.uk/points?person_id=451343&amp;year=2021&amp;type=national&amp;d=6","Results")</f>
        <v/>
      </c>
    </row>
    <row r="372">
      <c r="A372" t="inlineStr">
        <is>
          <t>371</t>
        </is>
      </c>
      <c r="B372" t="inlineStr">
        <is>
          <t>Richard McDonald</t>
        </is>
      </c>
      <c r="C372" t="inlineStr">
        <is>
          <t>Vanelli-Project Go</t>
        </is>
      </c>
      <c r="D372" t="inlineStr">
        <is>
          <t>16</t>
        </is>
      </c>
      <c r="E372">
        <f>HYPERLINK("https://www.britishcycling.org.uk/points?person_id=76589&amp;year=2021&amp;type=national&amp;d=6","Results")</f>
        <v/>
      </c>
    </row>
    <row r="373">
      <c r="A373" t="inlineStr">
        <is>
          <t>372</t>
        </is>
      </c>
      <c r="B373" t="inlineStr">
        <is>
          <t>Jack Ramsbottom</t>
        </is>
      </c>
      <c r="C373" t="inlineStr">
        <is>
          <t>Caffi Gruff</t>
        </is>
      </c>
      <c r="D373" t="inlineStr">
        <is>
          <t>16</t>
        </is>
      </c>
      <c r="E373">
        <f>HYPERLINK("https://www.britishcycling.org.uk/points?person_id=224581&amp;year=2021&amp;type=national&amp;d=6","Results")</f>
        <v/>
      </c>
    </row>
    <row r="374">
      <c r="A374" t="inlineStr">
        <is>
          <t>373</t>
        </is>
      </c>
      <c r="B374" t="inlineStr">
        <is>
          <t>Sam Sayers</t>
        </is>
      </c>
      <c r="C374" t="inlineStr"/>
      <c r="D374" t="inlineStr">
        <is>
          <t>16</t>
        </is>
      </c>
      <c r="E374">
        <f>HYPERLINK("https://www.britishcycling.org.uk/points?person_id=33153&amp;year=2021&amp;type=national&amp;d=6","Results")</f>
        <v/>
      </c>
    </row>
    <row r="375">
      <c r="A375" t="inlineStr">
        <is>
          <t>374</t>
        </is>
      </c>
      <c r="B375" t="inlineStr">
        <is>
          <t>William Tidball</t>
        </is>
      </c>
      <c r="C375" t="inlineStr">
        <is>
          <t>Team Inspired</t>
        </is>
      </c>
      <c r="D375" t="inlineStr">
        <is>
          <t>16</t>
        </is>
      </c>
      <c r="E375">
        <f>HYPERLINK("https://www.britishcycling.org.uk/points?person_id=13138&amp;year=2021&amp;type=national&amp;d=6","Results")</f>
        <v/>
      </c>
    </row>
    <row r="376">
      <c r="A376" t="inlineStr">
        <is>
          <t>375</t>
        </is>
      </c>
      <c r="B376" t="inlineStr">
        <is>
          <t>Joshua Van Nierop</t>
        </is>
      </c>
      <c r="C376" t="inlineStr">
        <is>
          <t>Welland Valley CC</t>
        </is>
      </c>
      <c r="D376" t="inlineStr">
        <is>
          <t>16</t>
        </is>
      </c>
      <c r="E376">
        <f>HYPERLINK("https://www.britishcycling.org.uk/points?person_id=74470&amp;year=2021&amp;type=national&amp;d=6","Results")</f>
        <v/>
      </c>
    </row>
    <row r="377">
      <c r="A377" t="inlineStr">
        <is>
          <t>376</t>
        </is>
      </c>
      <c r="B377" t="inlineStr">
        <is>
          <t>Glen Whittington</t>
        </is>
      </c>
      <c r="C377" t="inlineStr">
        <is>
          <t>Southborough &amp; District Whls</t>
        </is>
      </c>
      <c r="D377" t="inlineStr">
        <is>
          <t>16</t>
        </is>
      </c>
      <c r="E377">
        <f>HYPERLINK("https://www.britishcycling.org.uk/points?person_id=102480&amp;year=2021&amp;type=national&amp;d=6","Results")</f>
        <v/>
      </c>
    </row>
    <row r="378">
      <c r="A378" t="inlineStr">
        <is>
          <t>377</t>
        </is>
      </c>
      <c r="B378" t="inlineStr">
        <is>
          <t>Martin Brown</t>
        </is>
      </c>
      <c r="C378" t="inlineStr">
        <is>
          <t>Smiley's Flight Club</t>
        </is>
      </c>
      <c r="D378" t="inlineStr">
        <is>
          <t>15</t>
        </is>
      </c>
      <c r="E378">
        <f>HYPERLINK("https://www.britishcycling.org.uk/points?person_id=56042&amp;year=2021&amp;type=national&amp;d=6","Results")</f>
        <v/>
      </c>
    </row>
    <row r="379">
      <c r="A379" t="inlineStr">
        <is>
          <t>378</t>
        </is>
      </c>
      <c r="B379" t="inlineStr">
        <is>
          <t>Andrew Lindsay</t>
        </is>
      </c>
      <c r="C379" t="inlineStr">
        <is>
          <t>Surrey Hills Cycleworks</t>
        </is>
      </c>
      <c r="D379" t="inlineStr">
        <is>
          <t>15</t>
        </is>
      </c>
      <c r="E379">
        <f>HYPERLINK("https://www.britishcycling.org.uk/points?person_id=256947&amp;year=2021&amp;type=national&amp;d=6","Results")</f>
        <v/>
      </c>
    </row>
    <row r="380">
      <c r="A380" t="inlineStr">
        <is>
          <t>379</t>
        </is>
      </c>
      <c r="B380" t="inlineStr">
        <is>
          <t>Josh Palfreyman</t>
        </is>
      </c>
      <c r="C380" t="inlineStr">
        <is>
          <t>Cambridge Junior Cycling Club</t>
        </is>
      </c>
      <c r="D380" t="inlineStr">
        <is>
          <t>15</t>
        </is>
      </c>
      <c r="E380">
        <f>HYPERLINK("https://www.britishcycling.org.uk/points?person_id=516188&amp;year=2021&amp;type=national&amp;d=6","Results")</f>
        <v/>
      </c>
    </row>
    <row r="381">
      <c r="A381" t="inlineStr">
        <is>
          <t>380</t>
        </is>
      </c>
      <c r="B381" t="inlineStr">
        <is>
          <t>Mark Walker</t>
        </is>
      </c>
      <c r="C381" t="inlineStr">
        <is>
          <t>Watford Velo Sport</t>
        </is>
      </c>
      <c r="D381" t="inlineStr">
        <is>
          <t>15</t>
        </is>
      </c>
      <c r="E381">
        <f>HYPERLINK("https://www.britishcycling.org.uk/points?person_id=657428&amp;year=2021&amp;type=national&amp;d=6","Results")</f>
        <v/>
      </c>
    </row>
    <row r="382">
      <c r="A382" t="inlineStr">
        <is>
          <t>381</t>
        </is>
      </c>
      <c r="B382" t="inlineStr">
        <is>
          <t>Matthew Wilson</t>
        </is>
      </c>
      <c r="C382" t="inlineStr">
        <is>
          <t>Team Milton Keynes</t>
        </is>
      </c>
      <c r="D382" t="inlineStr">
        <is>
          <t>15</t>
        </is>
      </c>
      <c r="E382">
        <f>HYPERLINK("https://www.britishcycling.org.uk/points?person_id=735485&amp;year=2021&amp;type=national&amp;d=6","Results")</f>
        <v/>
      </c>
    </row>
    <row r="383">
      <c r="A383" t="inlineStr">
        <is>
          <t>382</t>
        </is>
      </c>
      <c r="B383" t="inlineStr">
        <is>
          <t>Jack Wyllie</t>
        </is>
      </c>
      <c r="C383" t="inlineStr">
        <is>
          <t>TAAP Cervelo</t>
        </is>
      </c>
      <c r="D383" t="inlineStr">
        <is>
          <t>15</t>
        </is>
      </c>
      <c r="E383">
        <f>HYPERLINK("https://www.britishcycling.org.uk/points?person_id=651722&amp;year=2021&amp;type=national&amp;d=6","Results")</f>
        <v/>
      </c>
    </row>
    <row r="384">
      <c r="A384" t="inlineStr">
        <is>
          <t>383</t>
        </is>
      </c>
      <c r="B384" t="inlineStr">
        <is>
          <t>Joshua Backhouse</t>
        </is>
      </c>
      <c r="C384" t="inlineStr">
        <is>
          <t>Lincoln Wheelers CC</t>
        </is>
      </c>
      <c r="D384" t="inlineStr">
        <is>
          <t>14</t>
        </is>
      </c>
      <c r="E384">
        <f>HYPERLINK("https://www.britishcycling.org.uk/points?person_id=404233&amp;year=2021&amp;type=national&amp;d=6","Results")</f>
        <v/>
      </c>
    </row>
    <row r="385">
      <c r="A385" t="inlineStr">
        <is>
          <t>384</t>
        </is>
      </c>
      <c r="B385" t="inlineStr">
        <is>
          <t>James Bush</t>
        </is>
      </c>
      <c r="C385" t="inlineStr">
        <is>
          <t>Cambridge CC</t>
        </is>
      </c>
      <c r="D385" t="inlineStr">
        <is>
          <t>14</t>
        </is>
      </c>
      <c r="E385">
        <f>HYPERLINK("https://www.britishcycling.org.uk/points?person_id=770263&amp;year=2021&amp;type=national&amp;d=6","Results")</f>
        <v/>
      </c>
    </row>
    <row r="386">
      <c r="A386" t="inlineStr">
        <is>
          <t>385</t>
        </is>
      </c>
      <c r="B386" t="inlineStr">
        <is>
          <t>Rupert Graham</t>
        </is>
      </c>
      <c r="C386" t="inlineStr">
        <is>
          <t>Spirit BSS</t>
        </is>
      </c>
      <c r="D386" t="inlineStr">
        <is>
          <t>14</t>
        </is>
      </c>
      <c r="E386">
        <f>HYPERLINK("https://www.britishcycling.org.uk/points?person_id=419110&amp;year=2021&amp;type=national&amp;d=6","Results")</f>
        <v/>
      </c>
    </row>
    <row r="387">
      <c r="A387" t="inlineStr">
        <is>
          <t>386</t>
        </is>
      </c>
      <c r="B387" t="inlineStr">
        <is>
          <t>Thomas Hastings</t>
        </is>
      </c>
      <c r="C387" t="inlineStr">
        <is>
          <t>Royal Navy &amp; Royal Marines CA</t>
        </is>
      </c>
      <c r="D387" t="inlineStr">
        <is>
          <t>14</t>
        </is>
      </c>
      <c r="E387">
        <f>HYPERLINK("https://www.britishcycling.org.uk/points?person_id=962634&amp;year=2021&amp;type=national&amp;d=6","Results")</f>
        <v/>
      </c>
    </row>
    <row r="388">
      <c r="A388" t="inlineStr">
        <is>
          <t>387</t>
        </is>
      </c>
      <c r="B388" t="inlineStr">
        <is>
          <t>Rory Munn</t>
        </is>
      </c>
      <c r="C388" t="inlineStr">
        <is>
          <t>Dyson Cycles</t>
        </is>
      </c>
      <c r="D388" t="inlineStr">
        <is>
          <t>14</t>
        </is>
      </c>
      <c r="E388">
        <f>HYPERLINK("https://www.britishcycling.org.uk/points?person_id=353126&amp;year=2021&amp;type=national&amp;d=6","Results")</f>
        <v/>
      </c>
    </row>
    <row r="389">
      <c r="A389" t="inlineStr">
        <is>
          <t>388</t>
        </is>
      </c>
      <c r="B389" t="inlineStr">
        <is>
          <t>Ben Nott</t>
        </is>
      </c>
      <c r="C389" t="inlineStr"/>
      <c r="D389" t="inlineStr">
        <is>
          <t>14</t>
        </is>
      </c>
      <c r="E389">
        <f>HYPERLINK("https://www.britishcycling.org.uk/points?person_id=179284&amp;year=2021&amp;type=national&amp;d=6","Results")</f>
        <v/>
      </c>
    </row>
    <row r="390">
      <c r="A390" t="inlineStr">
        <is>
          <t>389</t>
        </is>
      </c>
      <c r="B390" t="inlineStr">
        <is>
          <t>Ben Ramsden</t>
        </is>
      </c>
      <c r="C390" t="inlineStr">
        <is>
          <t>Shibden Cycling Club</t>
        </is>
      </c>
      <c r="D390" t="inlineStr">
        <is>
          <t>14</t>
        </is>
      </c>
      <c r="E390">
        <f>HYPERLINK("https://www.britishcycling.org.uk/points?person_id=298270&amp;year=2021&amp;type=national&amp;d=6","Results")</f>
        <v/>
      </c>
    </row>
    <row r="391">
      <c r="A391" t="inlineStr">
        <is>
          <t>390</t>
        </is>
      </c>
      <c r="B391" t="inlineStr">
        <is>
          <t>William Scott</t>
        </is>
      </c>
      <c r="C391" t="inlineStr">
        <is>
          <t>Richardsons Trek DAS</t>
        </is>
      </c>
      <c r="D391" t="inlineStr">
        <is>
          <t>14</t>
        </is>
      </c>
      <c r="E391">
        <f>HYPERLINK("https://www.britishcycling.org.uk/points?person_id=196735&amp;year=2021&amp;type=national&amp;d=6","Results")</f>
        <v/>
      </c>
    </row>
    <row r="392">
      <c r="A392" t="inlineStr">
        <is>
          <t>391</t>
        </is>
      </c>
      <c r="B392" t="inlineStr">
        <is>
          <t>Wilfred Sinclair</t>
        </is>
      </c>
      <c r="C392" t="inlineStr">
        <is>
          <t>Velo 1860</t>
        </is>
      </c>
      <c r="D392" t="inlineStr">
        <is>
          <t>14</t>
        </is>
      </c>
      <c r="E392">
        <f>HYPERLINK("https://www.britishcycling.org.uk/points?person_id=1550&amp;year=2021&amp;type=national&amp;d=6","Results")</f>
        <v/>
      </c>
    </row>
    <row r="393">
      <c r="A393" t="inlineStr">
        <is>
          <t>392</t>
        </is>
      </c>
      <c r="B393" t="inlineStr">
        <is>
          <t>Dave Saunders</t>
        </is>
      </c>
      <c r="C393" t="inlineStr">
        <is>
          <t>Mid Shropshire Wheelers</t>
        </is>
      </c>
      <c r="D393" t="inlineStr">
        <is>
          <t>13</t>
        </is>
      </c>
      <c r="E393">
        <f>HYPERLINK("https://www.britishcycling.org.uk/points?person_id=106107&amp;year=2021&amp;type=national&amp;d=6","Results")</f>
        <v/>
      </c>
    </row>
    <row r="394">
      <c r="A394" t="inlineStr">
        <is>
          <t>393</t>
        </is>
      </c>
      <c r="B394" t="inlineStr">
        <is>
          <t>Graham Wadsworth</t>
        </is>
      </c>
      <c r="C394" t="inlineStr"/>
      <c r="D394" t="inlineStr">
        <is>
          <t>13</t>
        </is>
      </c>
      <c r="E394">
        <f>HYPERLINK("https://www.britishcycling.org.uk/points?person_id=11728&amp;year=2021&amp;type=national&amp;d=6","Results")</f>
        <v/>
      </c>
    </row>
    <row r="395">
      <c r="A395" t="inlineStr">
        <is>
          <t>394</t>
        </is>
      </c>
      <c r="B395" t="inlineStr">
        <is>
          <t>Sebastian Bacon</t>
        </is>
      </c>
      <c r="C395" t="inlineStr">
        <is>
          <t>Wolverhampton Wheelers</t>
        </is>
      </c>
      <c r="D395" t="inlineStr">
        <is>
          <t>12</t>
        </is>
      </c>
      <c r="E395">
        <f>HYPERLINK("https://www.britishcycling.org.uk/points?person_id=77668&amp;year=2021&amp;type=national&amp;d=6","Results")</f>
        <v/>
      </c>
    </row>
    <row r="396">
      <c r="A396" t="inlineStr">
        <is>
          <t>395</t>
        </is>
      </c>
      <c r="B396" t="inlineStr">
        <is>
          <t>Jim Davies</t>
        </is>
      </c>
      <c r="C396" t="inlineStr">
        <is>
          <t>Kendal Cycle Club</t>
        </is>
      </c>
      <c r="D396" t="inlineStr">
        <is>
          <t>12</t>
        </is>
      </c>
      <c r="E396">
        <f>HYPERLINK("https://www.britishcycling.org.uk/points?person_id=735728&amp;year=2021&amp;type=national&amp;d=6","Results")</f>
        <v/>
      </c>
    </row>
    <row r="397">
      <c r="A397" t="inlineStr">
        <is>
          <t>396</t>
        </is>
      </c>
      <c r="B397" t="inlineStr">
        <is>
          <t>Alan Duncan</t>
        </is>
      </c>
      <c r="C397" t="inlineStr">
        <is>
          <t>Sherwood Pines Cycles Forme</t>
        </is>
      </c>
      <c r="D397" t="inlineStr">
        <is>
          <t>12</t>
        </is>
      </c>
      <c r="E397">
        <f>HYPERLINK("https://www.britishcycling.org.uk/points?person_id=289725&amp;year=2021&amp;type=national&amp;d=6","Results")</f>
        <v/>
      </c>
    </row>
    <row r="398">
      <c r="A398" t="inlineStr">
        <is>
          <t>397</t>
        </is>
      </c>
      <c r="B398" t="inlineStr">
        <is>
          <t>Jamie Francis</t>
        </is>
      </c>
      <c r="C398" t="inlineStr">
        <is>
          <t>UpShift Nutrition Race Team</t>
        </is>
      </c>
      <c r="D398" t="inlineStr">
        <is>
          <t>12</t>
        </is>
      </c>
      <c r="E398">
        <f>HYPERLINK("https://www.britishcycling.org.uk/points?person_id=122753&amp;year=2021&amp;type=national&amp;d=6","Results")</f>
        <v/>
      </c>
    </row>
    <row r="399">
      <c r="A399" t="inlineStr">
        <is>
          <t>398</t>
        </is>
      </c>
      <c r="B399" t="inlineStr">
        <is>
          <t>Thomas Gloag</t>
        </is>
      </c>
      <c r="C399" t="inlineStr">
        <is>
          <t>TRINITY Road Racing</t>
        </is>
      </c>
      <c r="D399" t="inlineStr">
        <is>
          <t>12</t>
        </is>
      </c>
      <c r="E399">
        <f>HYPERLINK("https://www.britishcycling.org.uk/points?person_id=178990&amp;year=2021&amp;type=national&amp;d=6","Results")</f>
        <v/>
      </c>
    </row>
    <row r="400">
      <c r="A400" t="inlineStr">
        <is>
          <t>399</t>
        </is>
      </c>
      <c r="B400" t="inlineStr">
        <is>
          <t>Jeremy Godfrey</t>
        </is>
      </c>
      <c r="C400" t="inlineStr"/>
      <c r="D400" t="inlineStr">
        <is>
          <t>12</t>
        </is>
      </c>
      <c r="E400">
        <f>HYPERLINK("https://www.britishcycling.org.uk/points?person_id=690906&amp;year=2021&amp;type=national&amp;d=6","Results")</f>
        <v/>
      </c>
    </row>
    <row r="401">
      <c r="A401" t="inlineStr">
        <is>
          <t>400</t>
        </is>
      </c>
      <c r="B401" t="inlineStr">
        <is>
          <t>Derek Hughes</t>
        </is>
      </c>
      <c r="C401" t="inlineStr">
        <is>
          <t>Glasgow Green Cycle Club</t>
        </is>
      </c>
      <c r="D401" t="inlineStr">
        <is>
          <t>12</t>
        </is>
      </c>
      <c r="E401">
        <f>HYPERLINK("https://www.britishcycling.org.uk/points?person_id=444069&amp;year=2021&amp;type=national&amp;d=6","Results")</f>
        <v/>
      </c>
    </row>
    <row r="402">
      <c r="A402" t="inlineStr">
        <is>
          <t>401</t>
        </is>
      </c>
      <c r="B402" t="inlineStr">
        <is>
          <t>Harry Jordan</t>
        </is>
      </c>
      <c r="C402" t="inlineStr">
        <is>
          <t>Otley CC</t>
        </is>
      </c>
      <c r="D402" t="inlineStr">
        <is>
          <t>12</t>
        </is>
      </c>
      <c r="E402">
        <f>HYPERLINK("https://www.britishcycling.org.uk/points?person_id=376344&amp;year=2021&amp;type=national&amp;d=6","Results")</f>
        <v/>
      </c>
    </row>
    <row r="403">
      <c r="A403" t="inlineStr">
        <is>
          <t>402</t>
        </is>
      </c>
      <c r="B403" t="inlineStr">
        <is>
          <t>Harry Jukes</t>
        </is>
      </c>
      <c r="C403" t="inlineStr">
        <is>
          <t>Mid Devon CC</t>
        </is>
      </c>
      <c r="D403" t="inlineStr">
        <is>
          <t>12</t>
        </is>
      </c>
      <c r="E403">
        <f>HYPERLINK("https://www.britishcycling.org.uk/points?person_id=646313&amp;year=2021&amp;type=national&amp;d=6","Results")</f>
        <v/>
      </c>
    </row>
    <row r="404">
      <c r="A404" t="inlineStr">
        <is>
          <t>403</t>
        </is>
      </c>
      <c r="B404" t="inlineStr">
        <is>
          <t>Adam Nichols</t>
        </is>
      </c>
      <c r="C404" t="inlineStr">
        <is>
          <t>Exeter Wheelers</t>
        </is>
      </c>
      <c r="D404" t="inlineStr">
        <is>
          <t>12</t>
        </is>
      </c>
      <c r="E404">
        <f>HYPERLINK("https://www.britishcycling.org.uk/points?person_id=242202&amp;year=2021&amp;type=national&amp;d=6","Results")</f>
        <v/>
      </c>
    </row>
    <row r="405">
      <c r="A405" t="inlineStr">
        <is>
          <t>404</t>
        </is>
      </c>
      <c r="B405" t="inlineStr">
        <is>
          <t>Diogo Pacheco</t>
        </is>
      </c>
      <c r="C405" t="inlineStr">
        <is>
          <t>Exeter Wheelers</t>
        </is>
      </c>
      <c r="D405" t="inlineStr">
        <is>
          <t>12</t>
        </is>
      </c>
      <c r="E405">
        <f>HYPERLINK("https://www.britishcycling.org.uk/points?person_id=1016931&amp;year=2021&amp;type=national&amp;d=6","Results")</f>
        <v/>
      </c>
    </row>
    <row r="406">
      <c r="A406" t="inlineStr">
        <is>
          <t>405</t>
        </is>
      </c>
      <c r="B406" t="inlineStr">
        <is>
          <t>Finlay Preece</t>
        </is>
      </c>
      <c r="C406" t="inlineStr">
        <is>
          <t>Clancy Briggs Cycling Academy</t>
        </is>
      </c>
      <c r="D406" t="inlineStr">
        <is>
          <t>12</t>
        </is>
      </c>
      <c r="E406">
        <f>HYPERLINK("https://www.britishcycling.org.uk/points?person_id=292891&amp;year=2021&amp;type=national&amp;d=6","Results")</f>
        <v/>
      </c>
    </row>
    <row r="407">
      <c r="A407" t="inlineStr">
        <is>
          <t>406</t>
        </is>
      </c>
      <c r="B407" t="inlineStr">
        <is>
          <t>Harry Preston</t>
        </is>
      </c>
      <c r="C407" t="inlineStr">
        <is>
          <t>Backyardbikeshop.com</t>
        </is>
      </c>
      <c r="D407" t="inlineStr">
        <is>
          <t>12</t>
        </is>
      </c>
      <c r="E407">
        <f>HYPERLINK("https://www.britishcycling.org.uk/points?person_id=871375&amp;year=2021&amp;type=national&amp;d=6","Results")</f>
        <v/>
      </c>
    </row>
    <row r="408">
      <c r="A408" t="inlineStr">
        <is>
          <t>407</t>
        </is>
      </c>
      <c r="B408" t="inlineStr">
        <is>
          <t>Bradley Shenton</t>
        </is>
      </c>
      <c r="C408" t="inlineStr">
        <is>
          <t>Partenza - Nude Espresso RT</t>
        </is>
      </c>
      <c r="D408" t="inlineStr">
        <is>
          <t>12</t>
        </is>
      </c>
      <c r="E408">
        <f>HYPERLINK("https://www.britishcycling.org.uk/points?person_id=754037&amp;year=2021&amp;type=national&amp;d=6","Results")</f>
        <v/>
      </c>
    </row>
    <row r="409">
      <c r="A409" t="inlineStr">
        <is>
          <t>408</t>
        </is>
      </c>
      <c r="B409" t="inlineStr">
        <is>
          <t>Zachary Smith</t>
        </is>
      </c>
      <c r="C409" t="inlineStr">
        <is>
          <t>Kendal Cycle Club</t>
        </is>
      </c>
      <c r="D409" t="inlineStr">
        <is>
          <t>12</t>
        </is>
      </c>
      <c r="E409">
        <f>HYPERLINK("https://www.britishcycling.org.uk/points?person_id=138957&amp;year=2021&amp;type=national&amp;d=6","Results")</f>
        <v/>
      </c>
    </row>
    <row r="410">
      <c r="A410" t="inlineStr">
        <is>
          <t>409</t>
        </is>
      </c>
      <c r="B410" t="inlineStr">
        <is>
          <t>Michael Stimson</t>
        </is>
      </c>
      <c r="C410" t="inlineStr">
        <is>
          <t>Maillot Noir CC</t>
        </is>
      </c>
      <c r="D410" t="inlineStr">
        <is>
          <t>12</t>
        </is>
      </c>
      <c r="E410">
        <f>HYPERLINK("https://www.britishcycling.org.uk/points?person_id=533869&amp;year=2021&amp;type=national&amp;d=6","Results")</f>
        <v/>
      </c>
    </row>
    <row r="411">
      <c r="A411" t="inlineStr">
        <is>
          <t>410</t>
        </is>
      </c>
      <c r="B411" t="inlineStr">
        <is>
          <t>Lewis Baldwin</t>
        </is>
      </c>
      <c r="C411" t="inlineStr">
        <is>
          <t>Avid Sport</t>
        </is>
      </c>
      <c r="D411" t="inlineStr">
        <is>
          <t>11</t>
        </is>
      </c>
      <c r="E411">
        <f>HYPERLINK("https://www.britishcycling.org.uk/points?person_id=756637&amp;year=2021&amp;type=national&amp;d=6","Results")</f>
        <v/>
      </c>
    </row>
    <row r="412">
      <c r="A412" t="inlineStr">
        <is>
          <t>411</t>
        </is>
      </c>
      <c r="B412" t="inlineStr">
        <is>
          <t>Michael Charlton</t>
        </is>
      </c>
      <c r="C412" t="inlineStr">
        <is>
          <t>Barnesbury CC</t>
        </is>
      </c>
      <c r="D412" t="inlineStr">
        <is>
          <t>11</t>
        </is>
      </c>
      <c r="E412">
        <f>HYPERLINK("https://www.britishcycling.org.uk/points?person_id=782062&amp;year=2021&amp;type=national&amp;d=6","Results")</f>
        <v/>
      </c>
    </row>
    <row r="413">
      <c r="A413" t="inlineStr">
        <is>
          <t>412</t>
        </is>
      </c>
      <c r="B413" t="inlineStr">
        <is>
          <t>Nathan Cozens</t>
        </is>
      </c>
      <c r="C413" t="inlineStr">
        <is>
          <t>Brighton Mitre CC</t>
        </is>
      </c>
      <c r="D413" t="inlineStr">
        <is>
          <t>11</t>
        </is>
      </c>
      <c r="E413">
        <f>HYPERLINK("https://www.britishcycling.org.uk/points?person_id=987321&amp;year=2021&amp;type=national&amp;d=6","Results")</f>
        <v/>
      </c>
    </row>
    <row r="414">
      <c r="A414" t="inlineStr">
        <is>
          <t>413</t>
        </is>
      </c>
      <c r="B414" t="inlineStr">
        <is>
          <t>Fred Gill</t>
        </is>
      </c>
      <c r="C414" t="inlineStr">
        <is>
          <t>Brother UK-Orientation marketing</t>
        </is>
      </c>
      <c r="D414" t="inlineStr">
        <is>
          <t>11</t>
        </is>
      </c>
      <c r="E414">
        <f>HYPERLINK("https://www.britishcycling.org.uk/points?person_id=291768&amp;year=2021&amp;type=national&amp;d=6","Results")</f>
        <v/>
      </c>
    </row>
    <row r="415">
      <c r="A415" t="inlineStr">
        <is>
          <t>414</t>
        </is>
      </c>
      <c r="B415" t="inlineStr">
        <is>
          <t>Dean Hendry</t>
        </is>
      </c>
      <c r="C415" t="inlineStr">
        <is>
          <t>GS Mossa</t>
        </is>
      </c>
      <c r="D415" t="inlineStr">
        <is>
          <t>11</t>
        </is>
      </c>
      <c r="E415">
        <f>HYPERLINK("https://www.britishcycling.org.uk/points?person_id=336174&amp;year=2021&amp;type=national&amp;d=6","Results")</f>
        <v/>
      </c>
    </row>
    <row r="416">
      <c r="A416" t="inlineStr">
        <is>
          <t>415</t>
        </is>
      </c>
      <c r="B416" t="inlineStr">
        <is>
          <t>Daniel Ingham</t>
        </is>
      </c>
      <c r="C416" t="inlineStr">
        <is>
          <t>VC VELDRIJDEN</t>
        </is>
      </c>
      <c r="D416" t="inlineStr">
        <is>
          <t>11</t>
        </is>
      </c>
      <c r="E416">
        <f>HYPERLINK("https://www.britishcycling.org.uk/points?person_id=736433&amp;year=2021&amp;type=national&amp;d=6","Results")</f>
        <v/>
      </c>
    </row>
    <row r="417">
      <c r="A417" t="inlineStr">
        <is>
          <t>416</t>
        </is>
      </c>
      <c r="B417" t="inlineStr">
        <is>
          <t>Joshua Meyland</t>
        </is>
      </c>
      <c r="C417" t="inlineStr">
        <is>
          <t>OCTAVE</t>
        </is>
      </c>
      <c r="D417" t="inlineStr">
        <is>
          <t>11</t>
        </is>
      </c>
      <c r="E417">
        <f>HYPERLINK("https://www.britishcycling.org.uk/points?person_id=863940&amp;year=2021&amp;type=national&amp;d=6","Results")</f>
        <v/>
      </c>
    </row>
    <row r="418">
      <c r="A418" t="inlineStr">
        <is>
          <t>417</t>
        </is>
      </c>
      <c r="B418" t="inlineStr">
        <is>
          <t>Christian Boon</t>
        </is>
      </c>
      <c r="C418" t="inlineStr">
        <is>
          <t>Fossa Racing</t>
        </is>
      </c>
      <c r="D418" t="inlineStr">
        <is>
          <t>10</t>
        </is>
      </c>
      <c r="E418">
        <f>HYPERLINK("https://www.britishcycling.org.uk/points?person_id=103246&amp;year=2021&amp;type=national&amp;d=6","Results")</f>
        <v/>
      </c>
    </row>
    <row r="419">
      <c r="A419" t="inlineStr">
        <is>
          <t>418</t>
        </is>
      </c>
      <c r="B419" t="inlineStr">
        <is>
          <t>Cameron Carthew</t>
        </is>
      </c>
      <c r="C419" t="inlineStr">
        <is>
          <t>Wigmore CC</t>
        </is>
      </c>
      <c r="D419" t="inlineStr">
        <is>
          <t>10</t>
        </is>
      </c>
      <c r="E419">
        <f>HYPERLINK("https://www.britishcycling.org.uk/points?person_id=46331&amp;year=2021&amp;type=national&amp;d=6","Results")</f>
        <v/>
      </c>
    </row>
    <row r="420">
      <c r="A420" t="inlineStr">
        <is>
          <t>419</t>
        </is>
      </c>
      <c r="B420" t="inlineStr">
        <is>
          <t>Joshua Craven</t>
        </is>
      </c>
      <c r="C420" t="inlineStr">
        <is>
          <t>Muckle Cycle Club</t>
        </is>
      </c>
      <c r="D420" t="inlineStr">
        <is>
          <t>10</t>
        </is>
      </c>
      <c r="E420">
        <f>HYPERLINK("https://www.britishcycling.org.uk/points?person_id=130739&amp;year=2021&amp;type=national&amp;d=6","Results")</f>
        <v/>
      </c>
    </row>
    <row r="421">
      <c r="A421" t="inlineStr">
        <is>
          <t>420</t>
        </is>
      </c>
      <c r="B421" t="inlineStr">
        <is>
          <t>Matthew Dennis</t>
        </is>
      </c>
      <c r="C421" t="inlineStr">
        <is>
          <t>Team Tor 2000 Kalas</t>
        </is>
      </c>
      <c r="D421" t="inlineStr">
        <is>
          <t>10</t>
        </is>
      </c>
      <c r="E421">
        <f>HYPERLINK("https://www.britishcycling.org.uk/points?person_id=545183&amp;year=2021&amp;type=national&amp;d=6","Results")</f>
        <v/>
      </c>
    </row>
    <row r="422">
      <c r="A422" t="inlineStr">
        <is>
          <t>421</t>
        </is>
      </c>
      <c r="B422" t="inlineStr">
        <is>
          <t>Matthew Dewey</t>
        </is>
      </c>
      <c r="C422" t="inlineStr"/>
      <c r="D422" t="inlineStr">
        <is>
          <t>10</t>
        </is>
      </c>
      <c r="E422">
        <f>HYPERLINK("https://www.britishcycling.org.uk/points?person_id=50263&amp;year=2021&amp;type=national&amp;d=6","Results")</f>
        <v/>
      </c>
    </row>
    <row r="423">
      <c r="A423" t="inlineStr">
        <is>
          <t>422</t>
        </is>
      </c>
      <c r="B423" t="inlineStr">
        <is>
          <t>Alexander Dobiecki</t>
        </is>
      </c>
      <c r="C423" t="inlineStr">
        <is>
          <t>Crawley Wheelers Race Team</t>
        </is>
      </c>
      <c r="D423" t="inlineStr">
        <is>
          <t>10</t>
        </is>
      </c>
      <c r="E423">
        <f>HYPERLINK("https://www.britishcycling.org.uk/points?person_id=457541&amp;year=2021&amp;type=national&amp;d=6","Results")</f>
        <v/>
      </c>
    </row>
    <row r="424">
      <c r="A424" t="inlineStr">
        <is>
          <t>423</t>
        </is>
      </c>
      <c r="B424" t="inlineStr">
        <is>
          <t>Thomas Eke</t>
        </is>
      </c>
      <c r="C424" t="inlineStr">
        <is>
          <t>Ziggurat Racing</t>
        </is>
      </c>
      <c r="D424" t="inlineStr">
        <is>
          <t>10</t>
        </is>
      </c>
      <c r="E424">
        <f>HYPERLINK("https://www.britishcycling.org.uk/points?person_id=440234&amp;year=2021&amp;type=national&amp;d=6","Results")</f>
        <v/>
      </c>
    </row>
    <row r="425">
      <c r="A425" t="inlineStr">
        <is>
          <t>424</t>
        </is>
      </c>
      <c r="B425" t="inlineStr">
        <is>
          <t>Luke Houghton</t>
        </is>
      </c>
      <c r="C425" t="inlineStr">
        <is>
          <t>Verulam - reallymoving.com</t>
        </is>
      </c>
      <c r="D425" t="inlineStr">
        <is>
          <t>10</t>
        </is>
      </c>
      <c r="E425">
        <f>HYPERLINK("https://www.britishcycling.org.uk/points?person_id=381552&amp;year=2021&amp;type=national&amp;d=6","Results")</f>
        <v/>
      </c>
    </row>
    <row r="426">
      <c r="A426" t="inlineStr">
        <is>
          <t>425</t>
        </is>
      </c>
      <c r="B426" t="inlineStr">
        <is>
          <t>Isaac Hudson</t>
        </is>
      </c>
      <c r="C426" t="inlineStr">
        <is>
          <t>UpShift Nutrition Race Team</t>
        </is>
      </c>
      <c r="D426" t="inlineStr">
        <is>
          <t>10</t>
        </is>
      </c>
      <c r="E426">
        <f>HYPERLINK("https://www.britishcycling.org.uk/points?person_id=541463&amp;year=2021&amp;type=national&amp;d=6","Results")</f>
        <v/>
      </c>
    </row>
    <row r="427">
      <c r="A427" t="inlineStr">
        <is>
          <t>426</t>
        </is>
      </c>
      <c r="B427" t="inlineStr">
        <is>
          <t>Olly Hunt</t>
        </is>
      </c>
      <c r="C427" t="inlineStr">
        <is>
          <t>Ellmore Factory Racing</t>
        </is>
      </c>
      <c r="D427" t="inlineStr">
        <is>
          <t>10</t>
        </is>
      </c>
      <c r="E427">
        <f>HYPERLINK("https://www.britishcycling.org.uk/points?person_id=769060&amp;year=2021&amp;type=national&amp;d=6","Results")</f>
        <v/>
      </c>
    </row>
    <row r="428">
      <c r="A428" t="inlineStr">
        <is>
          <t>427</t>
        </is>
      </c>
      <c r="B428" t="inlineStr">
        <is>
          <t>Henry James</t>
        </is>
      </c>
      <c r="C428" t="inlineStr">
        <is>
          <t>Crawley Wheelers Race Team</t>
        </is>
      </c>
      <c r="D428" t="inlineStr">
        <is>
          <t>10</t>
        </is>
      </c>
      <c r="E428">
        <f>HYPERLINK("https://www.britishcycling.org.uk/points?person_id=621617&amp;year=2021&amp;type=national&amp;d=6","Results")</f>
        <v/>
      </c>
    </row>
    <row r="429">
      <c r="A429" t="inlineStr">
        <is>
          <t>428</t>
        </is>
      </c>
      <c r="B429" t="inlineStr">
        <is>
          <t>Angus Lee</t>
        </is>
      </c>
      <c r="C429" t="inlineStr">
        <is>
          <t>La Cassette Cycling</t>
        </is>
      </c>
      <c r="D429" t="inlineStr">
        <is>
          <t>10</t>
        </is>
      </c>
      <c r="E429">
        <f>HYPERLINK("https://www.britishcycling.org.uk/points?person_id=999786&amp;year=2021&amp;type=national&amp;d=6","Results")</f>
        <v/>
      </c>
    </row>
    <row r="430">
      <c r="A430" t="inlineStr">
        <is>
          <t>429</t>
        </is>
      </c>
      <c r="B430" t="inlineStr">
        <is>
          <t>Adam Lightfoot</t>
        </is>
      </c>
      <c r="C430" t="inlineStr">
        <is>
          <t>University of Exeter Cycling Club</t>
        </is>
      </c>
      <c r="D430" t="inlineStr">
        <is>
          <t>10</t>
        </is>
      </c>
      <c r="E430">
        <f>HYPERLINK("https://www.britishcycling.org.uk/points?person_id=116849&amp;year=2021&amp;type=national&amp;d=6","Results")</f>
        <v/>
      </c>
    </row>
    <row r="431">
      <c r="A431" t="inlineStr">
        <is>
          <t>430</t>
        </is>
      </c>
      <c r="B431" t="inlineStr">
        <is>
          <t>Fraser Martin</t>
        </is>
      </c>
      <c r="C431" t="inlineStr">
        <is>
          <t>Wheelbase CabTech Castelli</t>
        </is>
      </c>
      <c r="D431" t="inlineStr">
        <is>
          <t>10</t>
        </is>
      </c>
      <c r="E431">
        <f>HYPERLINK("https://www.britishcycling.org.uk/points?person_id=131630&amp;year=2021&amp;type=national&amp;d=6","Results")</f>
        <v/>
      </c>
    </row>
    <row r="432">
      <c r="A432" t="inlineStr">
        <is>
          <t>431</t>
        </is>
      </c>
      <c r="B432" t="inlineStr">
        <is>
          <t>Calum Moir</t>
        </is>
      </c>
      <c r="C432" t="inlineStr">
        <is>
          <t>Welwyn Wheelers CC</t>
        </is>
      </c>
      <c r="D432" t="inlineStr">
        <is>
          <t>10</t>
        </is>
      </c>
      <c r="E432">
        <f>HYPERLINK("https://www.britishcycling.org.uk/points?person_id=255500&amp;year=2021&amp;type=national&amp;d=6","Results")</f>
        <v/>
      </c>
    </row>
    <row r="433">
      <c r="A433" t="inlineStr">
        <is>
          <t>432</t>
        </is>
      </c>
      <c r="B433" t="inlineStr">
        <is>
          <t>Sam Nanopoulos</t>
        </is>
      </c>
      <c r="C433" t="inlineStr"/>
      <c r="D433" t="inlineStr">
        <is>
          <t>10</t>
        </is>
      </c>
      <c r="E433">
        <f>HYPERLINK("https://www.britishcycling.org.uk/points?person_id=578018&amp;year=2021&amp;type=national&amp;d=6","Results")</f>
        <v/>
      </c>
    </row>
    <row r="434">
      <c r="A434" t="inlineStr">
        <is>
          <t>433</t>
        </is>
      </c>
      <c r="B434" t="inlineStr">
        <is>
          <t>Elliot Roberts</t>
        </is>
      </c>
      <c r="C434" t="inlineStr">
        <is>
          <t>Malvern Cycle Sport</t>
        </is>
      </c>
      <c r="D434" t="inlineStr">
        <is>
          <t>10</t>
        </is>
      </c>
      <c r="E434">
        <f>HYPERLINK("https://www.britishcycling.org.uk/points?person_id=534618&amp;year=2021&amp;type=national&amp;d=6","Results")</f>
        <v/>
      </c>
    </row>
    <row r="435">
      <c r="A435" t="inlineStr">
        <is>
          <t>434</t>
        </is>
      </c>
      <c r="B435" t="inlineStr">
        <is>
          <t>Craig Rogers</t>
        </is>
      </c>
      <c r="C435" t="inlineStr">
        <is>
          <t>Cambridge University CC</t>
        </is>
      </c>
      <c r="D435" t="inlineStr">
        <is>
          <t>10</t>
        </is>
      </c>
      <c r="E435">
        <f>HYPERLINK("https://www.britishcycling.org.uk/points?person_id=130574&amp;year=2021&amp;type=national&amp;d=6","Results")</f>
        <v/>
      </c>
    </row>
    <row r="436">
      <c r="A436" t="inlineStr">
        <is>
          <t>435</t>
        </is>
      </c>
      <c r="B436" t="inlineStr">
        <is>
          <t>Alessandro Sella</t>
        </is>
      </c>
      <c r="C436" t="inlineStr">
        <is>
          <t>Lee Valley Youth Cycling Club</t>
        </is>
      </c>
      <c r="D436" t="inlineStr">
        <is>
          <t>10</t>
        </is>
      </c>
      <c r="E436">
        <f>HYPERLINK("https://www.britishcycling.org.uk/points?person_id=224105&amp;year=2021&amp;type=national&amp;d=6","Results")</f>
        <v/>
      </c>
    </row>
    <row r="437">
      <c r="A437" t="inlineStr">
        <is>
          <t>436</t>
        </is>
      </c>
      <c r="B437" t="inlineStr">
        <is>
          <t>Matt Taylor</t>
        </is>
      </c>
      <c r="C437" t="inlineStr">
        <is>
          <t>OVB</t>
        </is>
      </c>
      <c r="D437" t="inlineStr">
        <is>
          <t>10</t>
        </is>
      </c>
      <c r="E437">
        <f>HYPERLINK("https://www.britishcycling.org.uk/points?person_id=724651&amp;year=2021&amp;type=national&amp;d=6","Results")</f>
        <v/>
      </c>
    </row>
    <row r="438">
      <c r="A438" t="inlineStr">
        <is>
          <t>437</t>
        </is>
      </c>
      <c r="B438" t="inlineStr">
        <is>
          <t>Sean Townsend</t>
        </is>
      </c>
      <c r="C438" t="inlineStr">
        <is>
          <t>The Ark Cycles</t>
        </is>
      </c>
      <c r="D438" t="inlineStr">
        <is>
          <t>10</t>
        </is>
      </c>
      <c r="E438">
        <f>HYPERLINK("https://www.britishcycling.org.uk/points?person_id=108701&amp;year=2021&amp;type=national&amp;d=6","Results")</f>
        <v/>
      </c>
    </row>
    <row r="439">
      <c r="A439" t="inlineStr">
        <is>
          <t>438</t>
        </is>
      </c>
      <c r="B439" t="inlineStr">
        <is>
          <t>Josh Wakeling</t>
        </is>
      </c>
      <c r="C439" t="inlineStr">
        <is>
          <t>TWB - ON TIME RACE TEAM</t>
        </is>
      </c>
      <c r="D439" t="inlineStr">
        <is>
          <t>10</t>
        </is>
      </c>
      <c r="E439">
        <f>HYPERLINK("https://www.britishcycling.org.uk/points?person_id=314152&amp;year=2021&amp;type=national&amp;d=6","Results")</f>
        <v/>
      </c>
    </row>
    <row r="440">
      <c r="A440" t="inlineStr">
        <is>
          <t>439</t>
        </is>
      </c>
      <c r="B440" t="inlineStr">
        <is>
          <t>Jake Womersley</t>
        </is>
      </c>
      <c r="C440" t="inlineStr">
        <is>
          <t>Shibden Cycling Club</t>
        </is>
      </c>
      <c r="D440" t="inlineStr">
        <is>
          <t>10</t>
        </is>
      </c>
      <c r="E440">
        <f>HYPERLINK("https://www.britishcycling.org.uk/points?person_id=38117&amp;year=2021&amp;type=national&amp;d=6","Results")</f>
        <v/>
      </c>
    </row>
    <row r="441">
      <c r="A441" t="inlineStr">
        <is>
          <t>440</t>
        </is>
      </c>
      <c r="B441" t="inlineStr">
        <is>
          <t>Benjamin Colley</t>
        </is>
      </c>
      <c r="C441" t="inlineStr">
        <is>
          <t>Newport Shropshire CC</t>
        </is>
      </c>
      <c r="D441" t="inlineStr">
        <is>
          <t>9</t>
        </is>
      </c>
      <c r="E441">
        <f>HYPERLINK("https://www.britishcycling.org.uk/points?person_id=168569&amp;year=2021&amp;type=national&amp;d=6","Results")</f>
        <v/>
      </c>
    </row>
    <row r="442">
      <c r="A442" t="inlineStr">
        <is>
          <t>441</t>
        </is>
      </c>
      <c r="B442" t="inlineStr">
        <is>
          <t>Jordan Daniels</t>
        </is>
      </c>
      <c r="C442" t="inlineStr"/>
      <c r="D442" t="inlineStr">
        <is>
          <t>9</t>
        </is>
      </c>
      <c r="E442">
        <f>HYPERLINK("https://www.britishcycling.org.uk/points?person_id=709056&amp;year=2021&amp;type=national&amp;d=6","Results")</f>
        <v/>
      </c>
    </row>
    <row r="443">
      <c r="A443" t="inlineStr">
        <is>
          <t>442</t>
        </is>
      </c>
      <c r="B443" t="inlineStr">
        <is>
          <t>Ben Dowson</t>
        </is>
      </c>
      <c r="C443" t="inlineStr">
        <is>
          <t>Richmond Cycling Club</t>
        </is>
      </c>
      <c r="D443" t="inlineStr">
        <is>
          <t>9</t>
        </is>
      </c>
      <c r="E443">
        <f>HYPERLINK("https://www.britishcycling.org.uk/points?person_id=36722&amp;year=2021&amp;type=national&amp;d=6","Results")</f>
        <v/>
      </c>
    </row>
    <row r="444">
      <c r="A444" t="inlineStr">
        <is>
          <t>443</t>
        </is>
      </c>
      <c r="B444" t="inlineStr">
        <is>
          <t>Iain Fisher</t>
        </is>
      </c>
      <c r="C444" t="inlineStr">
        <is>
          <t>Ayr Roads Cycling Club</t>
        </is>
      </c>
      <c r="D444" t="inlineStr">
        <is>
          <t>9</t>
        </is>
      </c>
      <c r="E444">
        <f>HYPERLINK("https://www.britishcycling.org.uk/points?person_id=533963&amp;year=2021&amp;type=national&amp;d=6","Results")</f>
        <v/>
      </c>
    </row>
    <row r="445">
      <c r="A445" t="inlineStr">
        <is>
          <t>444</t>
        </is>
      </c>
      <c r="B445" t="inlineStr">
        <is>
          <t>Beranger Fric</t>
        </is>
      </c>
      <c r="C445" t="inlineStr">
        <is>
          <t>Dulwich Paragon CC</t>
        </is>
      </c>
      <c r="D445" t="inlineStr">
        <is>
          <t>9</t>
        </is>
      </c>
      <c r="E445">
        <f>HYPERLINK("https://www.britishcycling.org.uk/points?person_id=770911&amp;year=2021&amp;type=national&amp;d=6","Results")</f>
        <v/>
      </c>
    </row>
    <row r="446">
      <c r="A446" t="inlineStr">
        <is>
          <t>445</t>
        </is>
      </c>
      <c r="B446" t="inlineStr">
        <is>
          <t>Elliot Gough</t>
        </is>
      </c>
      <c r="C446" t="inlineStr">
        <is>
          <t>KTM UK Factory MTB Team</t>
        </is>
      </c>
      <c r="D446" t="inlineStr">
        <is>
          <t>9</t>
        </is>
      </c>
      <c r="E446">
        <f>HYPERLINK("https://www.britishcycling.org.uk/points?person_id=384501&amp;year=2021&amp;type=national&amp;d=6","Results")</f>
        <v/>
      </c>
    </row>
    <row r="447">
      <c r="A447" t="inlineStr">
        <is>
          <t>446</t>
        </is>
      </c>
      <c r="B447" t="inlineStr">
        <is>
          <t>Josh Griffiths</t>
        </is>
      </c>
      <c r="C447" t="inlineStr">
        <is>
          <t>Bristol South CC</t>
        </is>
      </c>
      <c r="D447" t="inlineStr">
        <is>
          <t>9</t>
        </is>
      </c>
      <c r="E447">
        <f>HYPERLINK("https://www.britishcycling.org.uk/points?person_id=355638&amp;year=2021&amp;type=national&amp;d=6","Results")</f>
        <v/>
      </c>
    </row>
    <row r="448">
      <c r="A448" t="inlineStr">
        <is>
          <t>447</t>
        </is>
      </c>
      <c r="B448" t="inlineStr">
        <is>
          <t>Benjamin Hallam</t>
        </is>
      </c>
      <c r="C448" t="inlineStr"/>
      <c r="D448" t="inlineStr">
        <is>
          <t>9</t>
        </is>
      </c>
      <c r="E448">
        <f>HYPERLINK("https://www.britishcycling.org.uk/points?person_id=38343&amp;year=2021&amp;type=national&amp;d=6","Results")</f>
        <v/>
      </c>
    </row>
    <row r="449">
      <c r="A449" t="inlineStr">
        <is>
          <t>448</t>
        </is>
      </c>
      <c r="B449" t="inlineStr">
        <is>
          <t>Gavin James</t>
        </is>
      </c>
      <c r="C449" t="inlineStr">
        <is>
          <t>CC Luton</t>
        </is>
      </c>
      <c r="D449" t="inlineStr">
        <is>
          <t>9</t>
        </is>
      </c>
      <c r="E449">
        <f>HYPERLINK("https://www.britishcycling.org.uk/points?person_id=247653&amp;year=2021&amp;type=national&amp;d=6","Results")</f>
        <v/>
      </c>
    </row>
    <row r="450">
      <c r="A450" t="inlineStr">
        <is>
          <t>449</t>
        </is>
      </c>
      <c r="B450" t="inlineStr">
        <is>
          <t>George Marshall</t>
        </is>
      </c>
      <c r="C450" t="inlineStr">
        <is>
          <t>Cardiff JIF</t>
        </is>
      </c>
      <c r="D450" t="inlineStr">
        <is>
          <t>9</t>
        </is>
      </c>
      <c r="E450">
        <f>HYPERLINK("https://www.britishcycling.org.uk/points?person_id=238437&amp;year=2021&amp;type=national&amp;d=6","Results")</f>
        <v/>
      </c>
    </row>
    <row r="451">
      <c r="A451" t="inlineStr">
        <is>
          <t>450</t>
        </is>
      </c>
      <c r="B451" t="inlineStr">
        <is>
          <t>Stuart Matthews</t>
        </is>
      </c>
      <c r="C451" t="inlineStr">
        <is>
          <t>Infinity Cycles</t>
        </is>
      </c>
      <c r="D451" t="inlineStr">
        <is>
          <t>9</t>
        </is>
      </c>
      <c r="E451">
        <f>HYPERLINK("https://www.britishcycling.org.uk/points?person_id=536631&amp;year=2021&amp;type=national&amp;d=6","Results")</f>
        <v/>
      </c>
    </row>
    <row r="452">
      <c r="A452" t="inlineStr">
        <is>
          <t>451</t>
        </is>
      </c>
      <c r="B452" t="inlineStr">
        <is>
          <t>Joshua Murphy</t>
        </is>
      </c>
      <c r="C452" t="inlineStr">
        <is>
          <t>Lakes RC</t>
        </is>
      </c>
      <c r="D452" t="inlineStr">
        <is>
          <t>9</t>
        </is>
      </c>
      <c r="E452">
        <f>HYPERLINK("https://www.britishcycling.org.uk/points?person_id=549501&amp;year=2021&amp;type=national&amp;d=6","Results")</f>
        <v/>
      </c>
    </row>
    <row r="453">
      <c r="A453" t="inlineStr">
        <is>
          <t>452</t>
        </is>
      </c>
      <c r="B453" t="inlineStr">
        <is>
          <t>Anthony O'Boyle</t>
        </is>
      </c>
      <c r="C453" t="inlineStr"/>
      <c r="D453" t="inlineStr">
        <is>
          <t>9</t>
        </is>
      </c>
      <c r="E453">
        <f>HYPERLINK("https://www.britishcycling.org.uk/points?person_id=76795&amp;year=2021&amp;type=national&amp;d=6","Results")</f>
        <v/>
      </c>
    </row>
    <row r="454">
      <c r="A454" t="inlineStr">
        <is>
          <t>453</t>
        </is>
      </c>
      <c r="B454" t="inlineStr">
        <is>
          <t>Ian Russell</t>
        </is>
      </c>
      <c r="C454" t="inlineStr"/>
      <c r="D454" t="inlineStr">
        <is>
          <t>9</t>
        </is>
      </c>
      <c r="E454">
        <f>HYPERLINK("https://www.britishcycling.org.uk/points?person_id=537563&amp;year=2021&amp;type=national&amp;d=6","Results")</f>
        <v/>
      </c>
    </row>
    <row r="455">
      <c r="A455" t="inlineStr">
        <is>
          <t>454</t>
        </is>
      </c>
      <c r="B455" t="inlineStr">
        <is>
          <t>Mark Stevens</t>
        </is>
      </c>
      <c r="C455" t="inlineStr"/>
      <c r="D455" t="inlineStr">
        <is>
          <t>9</t>
        </is>
      </c>
      <c r="E455">
        <f>HYPERLINK("https://www.britishcycling.org.uk/points?person_id=350528&amp;year=2021&amp;type=national&amp;d=6","Results")</f>
        <v/>
      </c>
    </row>
    <row r="456">
      <c r="A456" t="inlineStr">
        <is>
          <t>455</t>
        </is>
      </c>
      <c r="B456" t="inlineStr">
        <is>
          <t>Benjamin Beynon</t>
        </is>
      </c>
      <c r="C456" t="inlineStr">
        <is>
          <t>ROTOR Race Team</t>
        </is>
      </c>
      <c r="D456" t="inlineStr">
        <is>
          <t>8</t>
        </is>
      </c>
      <c r="E456">
        <f>HYPERLINK("https://www.britishcycling.org.uk/points?person_id=248738&amp;year=2021&amp;type=national&amp;d=6","Results")</f>
        <v/>
      </c>
    </row>
    <row r="457">
      <c r="A457" t="inlineStr">
        <is>
          <t>456</t>
        </is>
      </c>
      <c r="B457" t="inlineStr">
        <is>
          <t>Joshua Brown</t>
        </is>
      </c>
      <c r="C457" t="inlineStr">
        <is>
          <t>Cambridge Junior Cycling Club</t>
        </is>
      </c>
      <c r="D457" t="inlineStr">
        <is>
          <t>8</t>
        </is>
      </c>
      <c r="E457">
        <f>HYPERLINK("https://www.britishcycling.org.uk/points?person_id=495985&amp;year=2021&amp;type=national&amp;d=6","Results")</f>
        <v/>
      </c>
    </row>
    <row r="458">
      <c r="A458" t="inlineStr">
        <is>
          <t>457</t>
        </is>
      </c>
      <c r="B458" t="inlineStr">
        <is>
          <t>Joshua Cordon</t>
        </is>
      </c>
      <c r="C458" t="inlineStr">
        <is>
          <t>100 Just Ride</t>
        </is>
      </c>
      <c r="D458" t="inlineStr">
        <is>
          <t>8</t>
        </is>
      </c>
      <c r="E458">
        <f>HYPERLINK("https://www.britishcycling.org.uk/points?person_id=469008&amp;year=2021&amp;type=national&amp;d=6","Results")</f>
        <v/>
      </c>
    </row>
    <row r="459">
      <c r="A459" t="inlineStr">
        <is>
          <t>458</t>
        </is>
      </c>
      <c r="B459" t="inlineStr">
        <is>
          <t>Jonathan Green</t>
        </is>
      </c>
      <c r="C459" t="inlineStr"/>
      <c r="D459" t="inlineStr">
        <is>
          <t>8</t>
        </is>
      </c>
      <c r="E459">
        <f>HYPERLINK("https://www.britishcycling.org.uk/points?person_id=38287&amp;year=2021&amp;type=national&amp;d=6","Results")</f>
        <v/>
      </c>
    </row>
    <row r="460">
      <c r="A460" t="inlineStr">
        <is>
          <t>459</t>
        </is>
      </c>
      <c r="B460" t="inlineStr">
        <is>
          <t>Benjamin Hinchliffe</t>
        </is>
      </c>
      <c r="C460" t="inlineStr">
        <is>
          <t>Welwyn Wheelers CC</t>
        </is>
      </c>
      <c r="D460" t="inlineStr">
        <is>
          <t>8</t>
        </is>
      </c>
      <c r="E460">
        <f>HYPERLINK("https://www.britishcycling.org.uk/points?person_id=184454&amp;year=2021&amp;type=national&amp;d=6","Results")</f>
        <v/>
      </c>
    </row>
    <row r="461">
      <c r="A461" t="inlineStr">
        <is>
          <t>460</t>
        </is>
      </c>
      <c r="B461" t="inlineStr">
        <is>
          <t>Dom Jackson</t>
        </is>
      </c>
      <c r="C461" t="inlineStr">
        <is>
          <t>Kingston Wheelers CC</t>
        </is>
      </c>
      <c r="D461" t="inlineStr">
        <is>
          <t>8</t>
        </is>
      </c>
      <c r="E461">
        <f>HYPERLINK("https://www.britishcycling.org.uk/points?person_id=970357&amp;year=2021&amp;type=national&amp;d=6","Results")</f>
        <v/>
      </c>
    </row>
    <row r="462">
      <c r="A462" t="inlineStr">
        <is>
          <t>461</t>
        </is>
      </c>
      <c r="B462" t="inlineStr">
        <is>
          <t>Luke Manning</t>
        </is>
      </c>
      <c r="C462" t="inlineStr">
        <is>
          <t>Stowmarket &amp; District CC</t>
        </is>
      </c>
      <c r="D462" t="inlineStr">
        <is>
          <t>8</t>
        </is>
      </c>
      <c r="E462">
        <f>HYPERLINK("https://www.britishcycling.org.uk/points?person_id=688735&amp;year=2021&amp;type=national&amp;d=6","Results")</f>
        <v/>
      </c>
    </row>
    <row r="463">
      <c r="A463" t="inlineStr">
        <is>
          <t>462</t>
        </is>
      </c>
      <c r="B463" t="inlineStr">
        <is>
          <t>Ryan Middlemiss</t>
        </is>
      </c>
      <c r="C463" t="inlineStr">
        <is>
          <t>Wheelbase CabTech Castelli</t>
        </is>
      </c>
      <c r="D463" t="inlineStr">
        <is>
          <t>8</t>
        </is>
      </c>
      <c r="E463">
        <f>HYPERLINK("https://www.britishcycling.org.uk/points?person_id=106869&amp;year=2021&amp;type=national&amp;d=6","Results")</f>
        <v/>
      </c>
    </row>
    <row r="464">
      <c r="A464" t="inlineStr">
        <is>
          <t>463</t>
        </is>
      </c>
      <c r="B464" t="inlineStr">
        <is>
          <t>Ollie Mitchell</t>
        </is>
      </c>
      <c r="C464" t="inlineStr">
        <is>
          <t>a3crg</t>
        </is>
      </c>
      <c r="D464" t="inlineStr">
        <is>
          <t>8</t>
        </is>
      </c>
      <c r="E464">
        <f>HYPERLINK("https://www.britishcycling.org.uk/points?person_id=121621&amp;year=2021&amp;type=national&amp;d=6","Results")</f>
        <v/>
      </c>
    </row>
    <row r="465">
      <c r="A465" t="inlineStr">
        <is>
          <t>464</t>
        </is>
      </c>
      <c r="B465" t="inlineStr">
        <is>
          <t>Daniel Murphy</t>
        </is>
      </c>
      <c r="C465" t="inlineStr">
        <is>
          <t>Team Milton Keynes</t>
        </is>
      </c>
      <c r="D465" t="inlineStr">
        <is>
          <t>8</t>
        </is>
      </c>
      <c r="E465">
        <f>HYPERLINK("https://www.britishcycling.org.uk/points?person_id=68243&amp;year=2021&amp;type=national&amp;d=6","Results")</f>
        <v/>
      </c>
    </row>
    <row r="466">
      <c r="A466" t="inlineStr">
        <is>
          <t>465</t>
        </is>
      </c>
      <c r="B466" t="inlineStr">
        <is>
          <t>Evan Powell</t>
        </is>
      </c>
      <c r="C466" t="inlineStr">
        <is>
          <t>Pontypool RCC</t>
        </is>
      </c>
      <c r="D466" t="inlineStr">
        <is>
          <t>8</t>
        </is>
      </c>
      <c r="E466">
        <f>HYPERLINK("https://www.britishcycling.org.uk/points?person_id=69239&amp;year=2021&amp;type=national&amp;d=6","Results")</f>
        <v/>
      </c>
    </row>
    <row r="467">
      <c r="A467" t="inlineStr">
        <is>
          <t>466</t>
        </is>
      </c>
      <c r="B467" t="inlineStr">
        <is>
          <t>Gethin Price</t>
        </is>
      </c>
      <c r="C467" t="inlineStr">
        <is>
          <t>Maindy Flyers CC</t>
        </is>
      </c>
      <c r="D467" t="inlineStr">
        <is>
          <t>8</t>
        </is>
      </c>
      <c r="E467">
        <f>HYPERLINK("https://www.britishcycling.org.uk/points?person_id=134893&amp;year=2021&amp;type=national&amp;d=6","Results")</f>
        <v/>
      </c>
    </row>
    <row r="468">
      <c r="A468" t="inlineStr">
        <is>
          <t>467</t>
        </is>
      </c>
      <c r="B468" t="inlineStr">
        <is>
          <t>Jorge Ribeiro Manso</t>
        </is>
      </c>
      <c r="C468" t="inlineStr">
        <is>
          <t>Velo Club Venta</t>
        </is>
      </c>
      <c r="D468" t="inlineStr">
        <is>
          <t>8</t>
        </is>
      </c>
      <c r="E468">
        <f>HYPERLINK("https://www.britishcycling.org.uk/points?person_id=191595&amp;year=2021&amp;type=national&amp;d=6","Results")</f>
        <v/>
      </c>
    </row>
    <row r="469">
      <c r="A469" t="inlineStr">
        <is>
          <t>468</t>
        </is>
      </c>
      <c r="B469" t="inlineStr">
        <is>
          <t>Harry Shadbolt</t>
        </is>
      </c>
      <c r="C469" t="inlineStr">
        <is>
          <t>Exeter Wheelers</t>
        </is>
      </c>
      <c r="D469" t="inlineStr">
        <is>
          <t>8</t>
        </is>
      </c>
      <c r="E469">
        <f>HYPERLINK("https://www.britishcycling.org.uk/points?person_id=935440&amp;year=2021&amp;type=national&amp;d=6","Results")</f>
        <v/>
      </c>
    </row>
    <row r="470">
      <c r="A470" t="inlineStr">
        <is>
          <t>469</t>
        </is>
      </c>
      <c r="B470" t="inlineStr">
        <is>
          <t>Greg Simcock</t>
        </is>
      </c>
      <c r="C470" t="inlineStr">
        <is>
          <t>CC Luton</t>
        </is>
      </c>
      <c r="D470" t="inlineStr">
        <is>
          <t>8</t>
        </is>
      </c>
      <c r="E470">
        <f>HYPERLINK("https://www.britishcycling.org.uk/points?person_id=78594&amp;year=2021&amp;type=national&amp;d=6","Results")</f>
        <v/>
      </c>
    </row>
    <row r="471">
      <c r="A471" t="inlineStr">
        <is>
          <t>470</t>
        </is>
      </c>
      <c r="B471" t="inlineStr">
        <is>
          <t>Benjamin Simpson</t>
        </is>
      </c>
      <c r="C471" t="inlineStr">
        <is>
          <t>Cardiff University</t>
        </is>
      </c>
      <c r="D471" t="inlineStr">
        <is>
          <t>8</t>
        </is>
      </c>
      <c r="E471">
        <f>HYPERLINK("https://www.britishcycling.org.uk/points?person_id=1011541&amp;year=2021&amp;type=national&amp;d=6","Results")</f>
        <v/>
      </c>
    </row>
    <row r="472">
      <c r="A472" t="inlineStr">
        <is>
          <t>471</t>
        </is>
      </c>
      <c r="B472" t="inlineStr">
        <is>
          <t>Kev Tonner</t>
        </is>
      </c>
      <c r="C472" t="inlineStr">
        <is>
          <t>Cotswold Veldrijden</t>
        </is>
      </c>
      <c r="D472" t="inlineStr">
        <is>
          <t>8</t>
        </is>
      </c>
      <c r="E472">
        <f>HYPERLINK("https://www.britishcycling.org.uk/points?person_id=432032&amp;year=2021&amp;type=national&amp;d=6","Results")</f>
        <v/>
      </c>
    </row>
    <row r="473">
      <c r="A473" t="inlineStr">
        <is>
          <t>472</t>
        </is>
      </c>
      <c r="B473" t="inlineStr">
        <is>
          <t>Jon White</t>
        </is>
      </c>
      <c r="C473" t="inlineStr">
        <is>
          <t>Pro Vision</t>
        </is>
      </c>
      <c r="D473" t="inlineStr">
        <is>
          <t>8</t>
        </is>
      </c>
      <c r="E473">
        <f>HYPERLINK("https://www.britishcycling.org.uk/points?person_id=72181&amp;year=2021&amp;type=national&amp;d=6","Results")</f>
        <v/>
      </c>
    </row>
    <row r="474">
      <c r="A474" t="inlineStr">
        <is>
          <t>473</t>
        </is>
      </c>
      <c r="B474" t="inlineStr">
        <is>
          <t>Patrick Clark</t>
        </is>
      </c>
      <c r="C474" t="inlineStr">
        <is>
          <t>Lifting Gear Prod- CyclesInMotion</t>
        </is>
      </c>
      <c r="D474" t="inlineStr">
        <is>
          <t>7</t>
        </is>
      </c>
      <c r="E474">
        <f>HYPERLINK("https://www.britishcycling.org.uk/points?person_id=307652&amp;year=2021&amp;type=national&amp;d=6","Results")</f>
        <v/>
      </c>
    </row>
    <row r="475">
      <c r="A475" t="inlineStr">
        <is>
          <t>474</t>
        </is>
      </c>
      <c r="B475" t="inlineStr">
        <is>
          <t>Luke Coleman</t>
        </is>
      </c>
      <c r="C475" t="inlineStr">
        <is>
          <t>Quick Release Cycling Club</t>
        </is>
      </c>
      <c r="D475" t="inlineStr">
        <is>
          <t>7</t>
        </is>
      </c>
      <c r="E475">
        <f>HYPERLINK("https://www.britishcycling.org.uk/points?person_id=228696&amp;year=2021&amp;type=national&amp;d=6","Results")</f>
        <v/>
      </c>
    </row>
    <row r="476">
      <c r="A476" t="inlineStr">
        <is>
          <t>475</t>
        </is>
      </c>
      <c r="B476" t="inlineStr">
        <is>
          <t>Preslav Dimitrov</t>
        </is>
      </c>
      <c r="C476" t="inlineStr">
        <is>
          <t>ROTOR Race Team</t>
        </is>
      </c>
      <c r="D476" t="inlineStr">
        <is>
          <t>7</t>
        </is>
      </c>
      <c r="E476">
        <f>HYPERLINK("https://www.britishcycling.org.uk/points?person_id=136407&amp;year=2021&amp;type=national&amp;d=6","Results")</f>
        <v/>
      </c>
    </row>
    <row r="477">
      <c r="A477" t="inlineStr">
        <is>
          <t>476</t>
        </is>
      </c>
      <c r="B477" t="inlineStr">
        <is>
          <t>Gavin Fowler</t>
        </is>
      </c>
      <c r="C477" t="inlineStr">
        <is>
          <t>Team Trident</t>
        </is>
      </c>
      <c r="D477" t="inlineStr">
        <is>
          <t>7</t>
        </is>
      </c>
      <c r="E477">
        <f>HYPERLINK("https://www.britishcycling.org.uk/points?person_id=617933&amp;year=2021&amp;type=national&amp;d=6","Results")</f>
        <v/>
      </c>
    </row>
    <row r="478">
      <c r="A478" t="inlineStr">
        <is>
          <t>477</t>
        </is>
      </c>
      <c r="B478" t="inlineStr">
        <is>
          <t>Kyle Gatier</t>
        </is>
      </c>
      <c r="C478" t="inlineStr">
        <is>
          <t>Beacon Roads CC</t>
        </is>
      </c>
      <c r="D478" t="inlineStr">
        <is>
          <t>7</t>
        </is>
      </c>
      <c r="E478">
        <f>HYPERLINK("https://www.britishcycling.org.uk/points?person_id=431347&amp;year=2021&amp;type=national&amp;d=6","Results")</f>
        <v/>
      </c>
    </row>
    <row r="479">
      <c r="A479" t="inlineStr">
        <is>
          <t>478</t>
        </is>
      </c>
      <c r="B479" t="inlineStr">
        <is>
          <t>Jeremy Hicks</t>
        </is>
      </c>
      <c r="C479" t="inlineStr">
        <is>
          <t>Rugby Velo</t>
        </is>
      </c>
      <c r="D479" t="inlineStr">
        <is>
          <t>7</t>
        </is>
      </c>
      <c r="E479">
        <f>HYPERLINK("https://www.britishcycling.org.uk/points?person_id=9630&amp;year=2021&amp;type=national&amp;d=6","Results")</f>
        <v/>
      </c>
    </row>
    <row r="480">
      <c r="A480" t="inlineStr">
        <is>
          <t>479</t>
        </is>
      </c>
      <c r="B480" t="inlineStr">
        <is>
          <t>Jack Kellam</t>
        </is>
      </c>
      <c r="C480" t="inlineStr">
        <is>
          <t>Cambridge University CC</t>
        </is>
      </c>
      <c r="D480" t="inlineStr">
        <is>
          <t>7</t>
        </is>
      </c>
      <c r="E480">
        <f>HYPERLINK("https://www.britishcycling.org.uk/points?person_id=630883&amp;year=2021&amp;type=national&amp;d=6","Results")</f>
        <v/>
      </c>
    </row>
    <row r="481">
      <c r="A481" t="inlineStr">
        <is>
          <t>480</t>
        </is>
      </c>
      <c r="B481" t="inlineStr">
        <is>
          <t>Martin Kober</t>
        </is>
      </c>
      <c r="C481" t="inlineStr">
        <is>
          <t>Abellio - SFA Racing Team</t>
        </is>
      </c>
      <c r="D481" t="inlineStr">
        <is>
          <t>7</t>
        </is>
      </c>
      <c r="E481">
        <f>HYPERLINK("https://www.britishcycling.org.uk/points?person_id=248207&amp;year=2021&amp;type=national&amp;d=6","Results")</f>
        <v/>
      </c>
    </row>
    <row r="482">
      <c r="A482" t="inlineStr">
        <is>
          <t>481</t>
        </is>
      </c>
      <c r="B482" t="inlineStr">
        <is>
          <t>David Lines</t>
        </is>
      </c>
      <c r="C482" t="inlineStr">
        <is>
          <t>Wheelbase CabTech Castelli</t>
        </is>
      </c>
      <c r="D482" t="inlineStr">
        <is>
          <t>7</t>
        </is>
      </c>
      <c r="E482">
        <f>HYPERLINK("https://www.britishcycling.org.uk/points?person_id=27371&amp;year=2021&amp;type=national&amp;d=6","Results")</f>
        <v/>
      </c>
    </row>
    <row r="483">
      <c r="A483" t="inlineStr">
        <is>
          <t>482</t>
        </is>
      </c>
      <c r="B483" t="inlineStr">
        <is>
          <t>Robyn Llewellyn</t>
        </is>
      </c>
      <c r="C483" t="inlineStr">
        <is>
          <t>TRASH MILE</t>
        </is>
      </c>
      <c r="D483" t="inlineStr">
        <is>
          <t>7</t>
        </is>
      </c>
      <c r="E483">
        <f>HYPERLINK("https://www.britishcycling.org.uk/points?person_id=291530&amp;year=2021&amp;type=national&amp;d=6","Results")</f>
        <v/>
      </c>
    </row>
    <row r="484">
      <c r="A484" t="inlineStr">
        <is>
          <t>483</t>
        </is>
      </c>
      <c r="B484" t="inlineStr">
        <is>
          <t>Jimmy Lund</t>
        </is>
      </c>
      <c r="C484" t="inlineStr"/>
      <c r="D484" t="inlineStr">
        <is>
          <t>7</t>
        </is>
      </c>
      <c r="E484">
        <f>HYPERLINK("https://www.britishcycling.org.uk/points?person_id=896270&amp;year=2021&amp;type=national&amp;d=6","Results")</f>
        <v/>
      </c>
    </row>
    <row r="485">
      <c r="A485" t="inlineStr">
        <is>
          <t>484</t>
        </is>
      </c>
      <c r="B485" t="inlineStr">
        <is>
          <t>Barry McGurk</t>
        </is>
      </c>
      <c r="C485" t="inlineStr"/>
      <c r="D485" t="inlineStr">
        <is>
          <t>7</t>
        </is>
      </c>
      <c r="E485">
        <f>HYPERLINK("https://www.britishcycling.org.uk/points?person_id=14183&amp;year=2021&amp;type=national&amp;d=6","Results")</f>
        <v/>
      </c>
    </row>
    <row r="486">
      <c r="A486" t="inlineStr">
        <is>
          <t>485</t>
        </is>
      </c>
      <c r="B486" t="inlineStr">
        <is>
          <t>Liam Mealey</t>
        </is>
      </c>
      <c r="C486" t="inlineStr">
        <is>
          <t>Otley CC</t>
        </is>
      </c>
      <c r="D486" t="inlineStr">
        <is>
          <t>7</t>
        </is>
      </c>
      <c r="E486">
        <f>HYPERLINK("https://www.britishcycling.org.uk/points?person_id=228234&amp;year=2021&amp;type=national&amp;d=6","Results")</f>
        <v/>
      </c>
    </row>
    <row r="487">
      <c r="A487" t="inlineStr">
        <is>
          <t>486</t>
        </is>
      </c>
      <c r="B487" t="inlineStr">
        <is>
          <t>Paul Newsome</t>
        </is>
      </c>
      <c r="C487" t="inlineStr">
        <is>
          <t>Project 51</t>
        </is>
      </c>
      <c r="D487" t="inlineStr">
        <is>
          <t>7</t>
        </is>
      </c>
      <c r="E487">
        <f>HYPERLINK("https://www.britishcycling.org.uk/points?person_id=286184&amp;year=2021&amp;type=national&amp;d=6","Results")</f>
        <v/>
      </c>
    </row>
    <row r="488">
      <c r="A488" t="inlineStr">
        <is>
          <t>487</t>
        </is>
      </c>
      <c r="B488" t="inlineStr">
        <is>
          <t>Joseph Penny</t>
        </is>
      </c>
      <c r="C488" t="inlineStr"/>
      <c r="D488" t="inlineStr">
        <is>
          <t>7</t>
        </is>
      </c>
      <c r="E488">
        <f>HYPERLINK("https://www.britishcycling.org.uk/points?person_id=1027716&amp;year=2021&amp;type=national&amp;d=6","Results")</f>
        <v/>
      </c>
    </row>
    <row r="489">
      <c r="A489" t="inlineStr">
        <is>
          <t>488</t>
        </is>
      </c>
      <c r="B489" t="inlineStr">
        <is>
          <t>Niko Raine</t>
        </is>
      </c>
      <c r="C489" t="inlineStr">
        <is>
          <t>University of Lincoln CC</t>
        </is>
      </c>
      <c r="D489" t="inlineStr">
        <is>
          <t>7</t>
        </is>
      </c>
      <c r="E489">
        <f>HYPERLINK("https://www.britishcycling.org.uk/points?person_id=899995&amp;year=2021&amp;type=national&amp;d=6","Results")</f>
        <v/>
      </c>
    </row>
    <row r="490">
      <c r="A490" t="inlineStr">
        <is>
          <t>489</t>
        </is>
      </c>
      <c r="B490" t="inlineStr">
        <is>
          <t>Thomas Ramsay</t>
        </is>
      </c>
      <c r="C490" t="inlineStr">
        <is>
          <t>Wold Top The Edge RT</t>
        </is>
      </c>
      <c r="D490" t="inlineStr">
        <is>
          <t>7</t>
        </is>
      </c>
      <c r="E490">
        <f>HYPERLINK("https://www.britishcycling.org.uk/points?person_id=186483&amp;year=2021&amp;type=national&amp;d=6","Results")</f>
        <v/>
      </c>
    </row>
    <row r="491">
      <c r="A491" t="inlineStr">
        <is>
          <t>490</t>
        </is>
      </c>
      <c r="B491" t="inlineStr">
        <is>
          <t>Beau Smith</t>
        </is>
      </c>
      <c r="C491" t="inlineStr"/>
      <c r="D491" t="inlineStr">
        <is>
          <t>7</t>
        </is>
      </c>
      <c r="E491">
        <f>HYPERLINK("https://www.britishcycling.org.uk/points?person_id=33253&amp;year=2021&amp;type=national&amp;d=6","Results")</f>
        <v/>
      </c>
    </row>
    <row r="492">
      <c r="A492" t="inlineStr">
        <is>
          <t>491</t>
        </is>
      </c>
      <c r="B492" t="inlineStr">
        <is>
          <t>Mark Staples</t>
        </is>
      </c>
      <c r="C492" t="inlineStr">
        <is>
          <t>VC VELDRIJDEN</t>
        </is>
      </c>
      <c r="D492" t="inlineStr">
        <is>
          <t>7</t>
        </is>
      </c>
      <c r="E492">
        <f>HYPERLINK("https://www.britishcycling.org.uk/points?person_id=379014&amp;year=2021&amp;type=national&amp;d=6","Results")</f>
        <v/>
      </c>
    </row>
    <row r="493">
      <c r="A493" t="inlineStr">
        <is>
          <t>492</t>
        </is>
      </c>
      <c r="B493" t="inlineStr">
        <is>
          <t>Archie Tyler</t>
        </is>
      </c>
      <c r="C493" t="inlineStr">
        <is>
          <t>Gillingham and District Wheelers</t>
        </is>
      </c>
      <c r="D493" t="inlineStr">
        <is>
          <t>7</t>
        </is>
      </c>
      <c r="E493">
        <f>HYPERLINK("https://www.britishcycling.org.uk/points?person_id=673181&amp;year=2021&amp;type=national&amp;d=6","Results")</f>
        <v/>
      </c>
    </row>
    <row r="494">
      <c r="A494" t="inlineStr">
        <is>
          <t>493</t>
        </is>
      </c>
      <c r="B494" t="inlineStr">
        <is>
          <t>Ben Vaughan</t>
        </is>
      </c>
      <c r="C494" t="inlineStr">
        <is>
          <t>Velo Club Lincoln</t>
        </is>
      </c>
      <c r="D494" t="inlineStr">
        <is>
          <t>7</t>
        </is>
      </c>
      <c r="E494">
        <f>HYPERLINK("https://www.britishcycling.org.uk/points?person_id=121254&amp;year=2021&amp;type=national&amp;d=6","Results")</f>
        <v/>
      </c>
    </row>
    <row r="495">
      <c r="A495" t="inlineStr">
        <is>
          <t>494</t>
        </is>
      </c>
      <c r="B495" t="inlineStr">
        <is>
          <t>James Williams</t>
        </is>
      </c>
      <c r="C495" t="inlineStr">
        <is>
          <t>Reflex Racing</t>
        </is>
      </c>
      <c r="D495" t="inlineStr">
        <is>
          <t>7</t>
        </is>
      </c>
      <c r="E495">
        <f>HYPERLINK("https://www.britishcycling.org.uk/points?person_id=586221&amp;year=2021&amp;type=national&amp;d=6","Results")</f>
        <v/>
      </c>
    </row>
    <row r="496">
      <c r="A496" t="inlineStr">
        <is>
          <t>495</t>
        </is>
      </c>
      <c r="B496" t="inlineStr">
        <is>
          <t>Robert Armstrong</t>
        </is>
      </c>
      <c r="C496" t="inlineStr">
        <is>
          <t>Barrow Central Wheelers</t>
        </is>
      </c>
      <c r="D496" t="inlineStr">
        <is>
          <t>6</t>
        </is>
      </c>
      <c r="E496">
        <f>HYPERLINK("https://www.britishcycling.org.uk/points?person_id=49877&amp;year=2021&amp;type=national&amp;d=6","Results")</f>
        <v/>
      </c>
    </row>
    <row r="497">
      <c r="A497" t="inlineStr">
        <is>
          <t>496</t>
        </is>
      </c>
      <c r="B497" t="inlineStr">
        <is>
          <t>Richard Davidson</t>
        </is>
      </c>
      <c r="C497" t="inlineStr">
        <is>
          <t>Muckle Cycle Club</t>
        </is>
      </c>
      <c r="D497" t="inlineStr">
        <is>
          <t>6</t>
        </is>
      </c>
      <c r="E497">
        <f>HYPERLINK("https://www.britishcycling.org.uk/points?person_id=757404&amp;year=2021&amp;type=national&amp;d=6","Results")</f>
        <v/>
      </c>
    </row>
    <row r="498">
      <c r="A498" t="inlineStr">
        <is>
          <t>497</t>
        </is>
      </c>
      <c r="B498" t="inlineStr">
        <is>
          <t>Greg Hilson</t>
        </is>
      </c>
      <c r="C498" t="inlineStr">
        <is>
          <t>OCTAVE</t>
        </is>
      </c>
      <c r="D498" t="inlineStr">
        <is>
          <t>6</t>
        </is>
      </c>
      <c r="E498">
        <f>HYPERLINK("https://www.britishcycling.org.uk/points?person_id=352298&amp;year=2021&amp;type=national&amp;d=6","Results")</f>
        <v/>
      </c>
    </row>
    <row r="499">
      <c r="A499" t="inlineStr">
        <is>
          <t>498</t>
        </is>
      </c>
      <c r="B499" t="inlineStr">
        <is>
          <t>Steven Hughes</t>
        </is>
      </c>
      <c r="C499" t="inlineStr">
        <is>
          <t>Kingston Wheelers CC</t>
        </is>
      </c>
      <c r="D499" t="inlineStr">
        <is>
          <t>6</t>
        </is>
      </c>
      <c r="E499">
        <f>HYPERLINK("https://www.britishcycling.org.uk/points?person_id=765910&amp;year=2021&amp;type=national&amp;d=6","Results")</f>
        <v/>
      </c>
    </row>
    <row r="500">
      <c r="A500" t="inlineStr">
        <is>
          <t>499</t>
        </is>
      </c>
      <c r="B500" t="inlineStr">
        <is>
          <t>Jack Ibbotson</t>
        </is>
      </c>
      <c r="C500" t="inlineStr">
        <is>
          <t>Doncaster Whls CC</t>
        </is>
      </c>
      <c r="D500" t="inlineStr">
        <is>
          <t>6</t>
        </is>
      </c>
      <c r="E500">
        <f>HYPERLINK("https://www.britishcycling.org.uk/points?person_id=57025&amp;year=2021&amp;type=national&amp;d=6","Results")</f>
        <v/>
      </c>
    </row>
    <row r="501">
      <c r="A501" t="inlineStr">
        <is>
          <t>500</t>
        </is>
      </c>
      <c r="B501" t="inlineStr">
        <is>
          <t>Matthew James</t>
        </is>
      </c>
      <c r="C501" t="inlineStr">
        <is>
          <t>Chichester City Riders (CCR)</t>
        </is>
      </c>
      <c r="D501" t="inlineStr">
        <is>
          <t>6</t>
        </is>
      </c>
      <c r="E501">
        <f>HYPERLINK("https://www.britishcycling.org.uk/points?person_id=576397&amp;year=2021&amp;type=national&amp;d=6","Results")</f>
        <v/>
      </c>
    </row>
    <row r="502">
      <c r="A502" t="inlineStr">
        <is>
          <t>501</t>
        </is>
      </c>
      <c r="B502" t="inlineStr">
        <is>
          <t>Finlay Johnson</t>
        </is>
      </c>
      <c r="C502" t="inlineStr"/>
      <c r="D502" t="inlineStr">
        <is>
          <t>6</t>
        </is>
      </c>
      <c r="E502">
        <f>HYPERLINK("https://www.britishcycling.org.uk/points?person_id=1026566&amp;year=2021&amp;type=national&amp;d=6","Results")</f>
        <v/>
      </c>
    </row>
    <row r="503">
      <c r="A503" t="inlineStr">
        <is>
          <t>502</t>
        </is>
      </c>
      <c r="B503" t="inlineStr">
        <is>
          <t>Alex Jolley</t>
        </is>
      </c>
      <c r="C503" t="inlineStr"/>
      <c r="D503" t="inlineStr">
        <is>
          <t>6</t>
        </is>
      </c>
      <c r="E503">
        <f>HYPERLINK("https://www.britishcycling.org.uk/points?person_id=102668&amp;year=2021&amp;type=national&amp;d=6","Results")</f>
        <v/>
      </c>
    </row>
    <row r="504">
      <c r="A504" t="inlineStr">
        <is>
          <t>503</t>
        </is>
      </c>
      <c r="B504" t="inlineStr">
        <is>
          <t>Grant Livingstone</t>
        </is>
      </c>
      <c r="C504" t="inlineStr">
        <is>
          <t>Warwick Lanterne Rouge C.C</t>
        </is>
      </c>
      <c r="D504" t="inlineStr">
        <is>
          <t>6</t>
        </is>
      </c>
      <c r="E504">
        <f>HYPERLINK("https://www.britishcycling.org.uk/points?person_id=656876&amp;year=2021&amp;type=national&amp;d=6","Results")</f>
        <v/>
      </c>
    </row>
    <row r="505">
      <c r="A505" t="inlineStr">
        <is>
          <t>504</t>
        </is>
      </c>
      <c r="B505" t="inlineStr">
        <is>
          <t>Dave Powell</t>
        </is>
      </c>
      <c r="C505" t="inlineStr">
        <is>
          <t>Horwich CC</t>
        </is>
      </c>
      <c r="D505" t="inlineStr">
        <is>
          <t>6</t>
        </is>
      </c>
      <c r="E505">
        <f>HYPERLINK("https://www.britishcycling.org.uk/points?person_id=169425&amp;year=2021&amp;type=national&amp;d=6","Results")</f>
        <v/>
      </c>
    </row>
    <row r="506">
      <c r="A506" t="inlineStr">
        <is>
          <t>505</t>
        </is>
      </c>
      <c r="B506" t="inlineStr">
        <is>
          <t>Lewis Revill</t>
        </is>
      </c>
      <c r="C506" t="inlineStr">
        <is>
          <t>University of Bath Cycling Club</t>
        </is>
      </c>
      <c r="D506" t="inlineStr">
        <is>
          <t>6</t>
        </is>
      </c>
      <c r="E506">
        <f>HYPERLINK("https://www.britishcycling.org.uk/points?person_id=56041&amp;year=2021&amp;type=national&amp;d=6","Results")</f>
        <v/>
      </c>
    </row>
    <row r="507">
      <c r="A507" t="inlineStr">
        <is>
          <t>506</t>
        </is>
      </c>
      <c r="B507" t="inlineStr">
        <is>
          <t>Jack Rose</t>
        </is>
      </c>
      <c r="C507" t="inlineStr">
        <is>
          <t>Team Milton Keynes</t>
        </is>
      </c>
      <c r="D507" t="inlineStr">
        <is>
          <t>6</t>
        </is>
      </c>
      <c r="E507">
        <f>HYPERLINK("https://www.britishcycling.org.uk/points?person_id=677439&amp;year=2021&amp;type=national&amp;d=6","Results")</f>
        <v/>
      </c>
    </row>
    <row r="508">
      <c r="A508" t="inlineStr">
        <is>
          <t>507</t>
        </is>
      </c>
      <c r="B508" t="inlineStr">
        <is>
          <t>George Safranauskas</t>
        </is>
      </c>
      <c r="C508" t="inlineStr">
        <is>
          <t>JRC-INTERFLON Race Team</t>
        </is>
      </c>
      <c r="D508" t="inlineStr">
        <is>
          <t>6</t>
        </is>
      </c>
      <c r="E508">
        <f>HYPERLINK("https://www.britishcycling.org.uk/points?person_id=948913&amp;year=2021&amp;type=national&amp;d=6","Results")</f>
        <v/>
      </c>
    </row>
    <row r="509">
      <c r="A509" t="inlineStr">
        <is>
          <t>508</t>
        </is>
      </c>
      <c r="B509" t="inlineStr">
        <is>
          <t>Alex Smith</t>
        </is>
      </c>
      <c r="C509" t="inlineStr">
        <is>
          <t>Port Sunlight Whls CC</t>
        </is>
      </c>
      <c r="D509" t="inlineStr">
        <is>
          <t>6</t>
        </is>
      </c>
      <c r="E509">
        <f>HYPERLINK("https://www.britishcycling.org.uk/points?person_id=210970&amp;year=2021&amp;type=national&amp;d=6","Results")</f>
        <v/>
      </c>
    </row>
    <row r="510">
      <c r="A510" t="inlineStr">
        <is>
          <t>509</t>
        </is>
      </c>
      <c r="B510" t="inlineStr">
        <is>
          <t>Dafydd Wright</t>
        </is>
      </c>
      <c r="C510" t="inlineStr">
        <is>
          <t>Caffi Gruff</t>
        </is>
      </c>
      <c r="D510" t="inlineStr">
        <is>
          <t>6</t>
        </is>
      </c>
      <c r="E510">
        <f>HYPERLINK("https://www.britishcycling.org.uk/points?person_id=316796&amp;year=2021&amp;type=national&amp;d=6","Results")</f>
        <v/>
      </c>
    </row>
    <row r="511">
      <c r="A511" t="inlineStr">
        <is>
          <t>510</t>
        </is>
      </c>
      <c r="B511" t="inlineStr">
        <is>
          <t>Harvey Young</t>
        </is>
      </c>
      <c r="C511" t="inlineStr">
        <is>
          <t>Orwell Velo</t>
        </is>
      </c>
      <c r="D511" t="inlineStr">
        <is>
          <t>6</t>
        </is>
      </c>
      <c r="E511">
        <f>HYPERLINK("https://www.britishcycling.org.uk/points?person_id=688349&amp;year=2021&amp;type=national&amp;d=6","Results")</f>
        <v/>
      </c>
    </row>
    <row r="512">
      <c r="A512" t="inlineStr">
        <is>
          <t>511</t>
        </is>
      </c>
      <c r="B512" t="inlineStr">
        <is>
          <t>Stuart Alford</t>
        </is>
      </c>
      <c r="C512" t="inlineStr">
        <is>
          <t>Warwick Lanterne Rouge C.C</t>
        </is>
      </c>
      <c r="D512" t="inlineStr">
        <is>
          <t>5</t>
        </is>
      </c>
      <c r="E512">
        <f>HYPERLINK("https://www.britishcycling.org.uk/points?person_id=370884&amp;year=2021&amp;type=national&amp;d=6","Results")</f>
        <v/>
      </c>
    </row>
    <row r="513">
      <c r="A513" t="inlineStr">
        <is>
          <t>512</t>
        </is>
      </c>
      <c r="B513" t="inlineStr">
        <is>
          <t>Cameron Biddle</t>
        </is>
      </c>
      <c r="C513" t="inlineStr">
        <is>
          <t>INFLITE</t>
        </is>
      </c>
      <c r="D513" t="inlineStr">
        <is>
          <t>5</t>
        </is>
      </c>
      <c r="E513">
        <f>HYPERLINK("https://www.britishcycling.org.uk/points?person_id=16717&amp;year=2021&amp;type=national&amp;d=6","Results")</f>
        <v/>
      </c>
    </row>
    <row r="514">
      <c r="A514" t="inlineStr">
        <is>
          <t>513</t>
        </is>
      </c>
      <c r="B514" t="inlineStr">
        <is>
          <t>Jack Crook</t>
        </is>
      </c>
      <c r="C514" t="inlineStr">
        <is>
          <t>Dolan Ellesse Race Team</t>
        </is>
      </c>
      <c r="D514" t="inlineStr">
        <is>
          <t>5</t>
        </is>
      </c>
      <c r="E514">
        <f>HYPERLINK("https://www.britishcycling.org.uk/points?person_id=200794&amp;year=2021&amp;type=national&amp;d=6","Results")</f>
        <v/>
      </c>
    </row>
    <row r="515">
      <c r="A515" t="inlineStr">
        <is>
          <t>514</t>
        </is>
      </c>
      <c r="B515" t="inlineStr">
        <is>
          <t>William Dunk</t>
        </is>
      </c>
      <c r="C515" t="inlineStr">
        <is>
          <t>Sunday Echappée</t>
        </is>
      </c>
      <c r="D515" t="inlineStr">
        <is>
          <t>5</t>
        </is>
      </c>
      <c r="E515">
        <f>HYPERLINK("https://www.britishcycling.org.uk/points?person_id=426024&amp;year=2021&amp;type=national&amp;d=6","Results")</f>
        <v/>
      </c>
    </row>
    <row r="516">
      <c r="A516" t="inlineStr">
        <is>
          <t>515</t>
        </is>
      </c>
      <c r="B516" t="inlineStr">
        <is>
          <t>Sean Gilham</t>
        </is>
      </c>
      <c r="C516" t="inlineStr"/>
      <c r="D516" t="inlineStr">
        <is>
          <t>5</t>
        </is>
      </c>
      <c r="E516">
        <f>HYPERLINK("https://www.britishcycling.org.uk/points?person_id=1033679&amp;year=2021&amp;type=national&amp;d=6","Results")</f>
        <v/>
      </c>
    </row>
    <row r="517">
      <c r="A517" t="inlineStr">
        <is>
          <t>516</t>
        </is>
      </c>
      <c r="B517" t="inlineStr">
        <is>
          <t>Samuel Marriott</t>
        </is>
      </c>
      <c r="C517" t="inlineStr">
        <is>
          <t>NSR - Nigel Smith Racing</t>
        </is>
      </c>
      <c r="D517" t="inlineStr">
        <is>
          <t>5</t>
        </is>
      </c>
      <c r="E517">
        <f>HYPERLINK("https://www.britishcycling.org.uk/points?person_id=61154&amp;year=2021&amp;type=national&amp;d=6","Results")</f>
        <v/>
      </c>
    </row>
    <row r="518">
      <c r="A518" t="inlineStr">
        <is>
          <t>517</t>
        </is>
      </c>
      <c r="B518" t="inlineStr">
        <is>
          <t>Lewis Muncaster</t>
        </is>
      </c>
      <c r="C518" t="inlineStr">
        <is>
          <t>Leicester University Cycling Team</t>
        </is>
      </c>
      <c r="D518" t="inlineStr">
        <is>
          <t>5</t>
        </is>
      </c>
      <c r="E518">
        <f>HYPERLINK("https://www.britishcycling.org.uk/points?person_id=108183&amp;year=2021&amp;type=national&amp;d=6","Results")</f>
        <v/>
      </c>
    </row>
    <row r="519">
      <c r="A519" t="inlineStr">
        <is>
          <t>518</t>
        </is>
      </c>
      <c r="B519" t="inlineStr">
        <is>
          <t>Jack Parnaby</t>
        </is>
      </c>
      <c r="C519" t="inlineStr">
        <is>
          <t>Shibden Cycling Club</t>
        </is>
      </c>
      <c r="D519" t="inlineStr">
        <is>
          <t>5</t>
        </is>
      </c>
      <c r="E519">
        <f>HYPERLINK("https://www.britishcycling.org.uk/points?person_id=870368&amp;year=2021&amp;type=national&amp;d=6","Results")</f>
        <v/>
      </c>
    </row>
    <row r="520">
      <c r="A520" t="inlineStr">
        <is>
          <t>519</t>
        </is>
      </c>
      <c r="B520" t="inlineStr">
        <is>
          <t>Neil Scott</t>
        </is>
      </c>
      <c r="C520" t="inlineStr">
        <is>
          <t>Deeside Thistle CC</t>
        </is>
      </c>
      <c r="D520" t="inlineStr">
        <is>
          <t>5</t>
        </is>
      </c>
      <c r="E520">
        <f>HYPERLINK("https://www.britishcycling.org.uk/points?person_id=246437&amp;year=2021&amp;type=national&amp;d=6","Results")</f>
        <v/>
      </c>
    </row>
    <row r="521">
      <c r="A521" t="inlineStr">
        <is>
          <t>520</t>
        </is>
      </c>
      <c r="B521" t="inlineStr">
        <is>
          <t>Joseph Shepherd</t>
        </is>
      </c>
      <c r="C521" t="inlineStr">
        <is>
          <t>New Forest CC</t>
        </is>
      </c>
      <c r="D521" t="inlineStr">
        <is>
          <t>5</t>
        </is>
      </c>
      <c r="E521">
        <f>HYPERLINK("https://www.britishcycling.org.uk/points?person_id=802540&amp;year=2021&amp;type=national&amp;d=6","Results")</f>
        <v/>
      </c>
    </row>
    <row r="522">
      <c r="A522" t="inlineStr">
        <is>
          <t>521</t>
        </is>
      </c>
      <c r="B522" t="inlineStr">
        <is>
          <t>George Sloan</t>
        </is>
      </c>
      <c r="C522" t="inlineStr">
        <is>
          <t>VC Londres</t>
        </is>
      </c>
      <c r="D522" t="inlineStr">
        <is>
          <t>5</t>
        </is>
      </c>
      <c r="E522">
        <f>HYPERLINK("https://www.britishcycling.org.uk/points?person_id=105014&amp;year=2021&amp;type=national&amp;d=6","Results")</f>
        <v/>
      </c>
    </row>
    <row r="523">
      <c r="A523" t="inlineStr">
        <is>
          <t>522</t>
        </is>
      </c>
      <c r="B523" t="inlineStr">
        <is>
          <t>Michael Tyas</t>
        </is>
      </c>
      <c r="C523" t="inlineStr">
        <is>
          <t>Hull Thursday RC</t>
        </is>
      </c>
      <c r="D523" t="inlineStr">
        <is>
          <t>5</t>
        </is>
      </c>
      <c r="E523">
        <f>HYPERLINK("https://www.britishcycling.org.uk/points?person_id=31006&amp;year=2021&amp;type=national&amp;d=6","Results")</f>
        <v/>
      </c>
    </row>
    <row r="524">
      <c r="A524" t="inlineStr">
        <is>
          <t>523</t>
        </is>
      </c>
      <c r="B524" t="inlineStr">
        <is>
          <t>Christopher Wayman</t>
        </is>
      </c>
      <c r="C524" t="inlineStr">
        <is>
          <t>Blumilk.com</t>
        </is>
      </c>
      <c r="D524" t="inlineStr">
        <is>
          <t>5</t>
        </is>
      </c>
      <c r="E524">
        <f>HYPERLINK("https://www.britishcycling.org.uk/points?person_id=257845&amp;year=2021&amp;type=national&amp;d=6","Results")</f>
        <v/>
      </c>
    </row>
    <row r="525">
      <c r="A525" t="inlineStr">
        <is>
          <t>524</t>
        </is>
      </c>
      <c r="B525" t="inlineStr">
        <is>
          <t>Paul Anderson</t>
        </is>
      </c>
      <c r="C525" t="inlineStr">
        <is>
          <t>Spokes Racing Team</t>
        </is>
      </c>
      <c r="D525" t="inlineStr">
        <is>
          <t>4</t>
        </is>
      </c>
      <c r="E525">
        <f>HYPERLINK("https://www.britishcycling.org.uk/points?person_id=59345&amp;year=2021&amp;type=national&amp;d=6","Results")</f>
        <v/>
      </c>
    </row>
    <row r="526">
      <c r="A526" t="inlineStr">
        <is>
          <t>525</t>
        </is>
      </c>
      <c r="B526" t="inlineStr">
        <is>
          <t>Thomas Bowering</t>
        </is>
      </c>
      <c r="C526" t="inlineStr">
        <is>
          <t>TAAP Cervelo</t>
        </is>
      </c>
      <c r="D526" t="inlineStr">
        <is>
          <t>4</t>
        </is>
      </c>
      <c r="E526">
        <f>HYPERLINK("https://www.britishcycling.org.uk/points?person_id=43832&amp;year=2021&amp;type=national&amp;d=6","Results")</f>
        <v/>
      </c>
    </row>
    <row r="527">
      <c r="A527" t="inlineStr">
        <is>
          <t>526</t>
        </is>
      </c>
      <c r="B527" t="inlineStr">
        <is>
          <t>Patrick Carter</t>
        </is>
      </c>
      <c r="C527" t="inlineStr">
        <is>
          <t>Ilkley Cycling Club</t>
        </is>
      </c>
      <c r="D527" t="inlineStr">
        <is>
          <t>4</t>
        </is>
      </c>
      <c r="E527">
        <f>HYPERLINK("https://www.britishcycling.org.uk/points?person_id=571741&amp;year=2021&amp;type=national&amp;d=6","Results")</f>
        <v/>
      </c>
    </row>
    <row r="528">
      <c r="A528" t="inlineStr">
        <is>
          <t>527</t>
        </is>
      </c>
      <c r="B528" t="inlineStr">
        <is>
          <t>Christopher Davey</t>
        </is>
      </c>
      <c r="C528" t="inlineStr"/>
      <c r="D528" t="inlineStr">
        <is>
          <t>4</t>
        </is>
      </c>
      <c r="E528">
        <f>HYPERLINK("https://www.britishcycling.org.uk/points?person_id=878974&amp;year=2021&amp;type=national&amp;d=6","Results")</f>
        <v/>
      </c>
    </row>
    <row r="529">
      <c r="A529" t="inlineStr">
        <is>
          <t>528</t>
        </is>
      </c>
      <c r="B529" t="inlineStr">
        <is>
          <t>Sean Dawson</t>
        </is>
      </c>
      <c r="C529" t="inlineStr">
        <is>
          <t>INFLITE</t>
        </is>
      </c>
      <c r="D529" t="inlineStr">
        <is>
          <t>4</t>
        </is>
      </c>
      <c r="E529">
        <f>HYPERLINK("https://www.britishcycling.org.uk/points?person_id=688305&amp;year=2021&amp;type=national&amp;d=6","Results")</f>
        <v/>
      </c>
    </row>
    <row r="530">
      <c r="A530" t="inlineStr">
        <is>
          <t>529</t>
        </is>
      </c>
      <c r="B530" t="inlineStr">
        <is>
          <t>Robert Jennings</t>
        </is>
      </c>
      <c r="C530" t="inlineStr">
        <is>
          <t>Hull Thursday RC</t>
        </is>
      </c>
      <c r="D530" t="inlineStr">
        <is>
          <t>4</t>
        </is>
      </c>
      <c r="E530">
        <f>HYPERLINK("https://www.britishcycling.org.uk/points?person_id=508634&amp;year=2021&amp;type=national&amp;d=6","Results")</f>
        <v/>
      </c>
    </row>
    <row r="531">
      <c r="A531" t="inlineStr">
        <is>
          <t>530</t>
        </is>
      </c>
      <c r="B531" t="inlineStr">
        <is>
          <t>Ian Legg</t>
        </is>
      </c>
      <c r="C531" t="inlineStr"/>
      <c r="D531" t="inlineStr">
        <is>
          <t>4</t>
        </is>
      </c>
      <c r="E531">
        <f>HYPERLINK("https://www.britishcycling.org.uk/points?person_id=24268&amp;year=2021&amp;type=national&amp;d=6","Results")</f>
        <v/>
      </c>
    </row>
    <row r="532">
      <c r="A532" t="inlineStr">
        <is>
          <t>531</t>
        </is>
      </c>
      <c r="B532" t="inlineStr">
        <is>
          <t>Stuart LeTissier</t>
        </is>
      </c>
      <c r="C532" t="inlineStr">
        <is>
          <t>Nova Race Team</t>
        </is>
      </c>
      <c r="D532" t="inlineStr">
        <is>
          <t>4</t>
        </is>
      </c>
      <c r="E532">
        <f>HYPERLINK("https://www.britishcycling.org.uk/points?person_id=76643&amp;year=2021&amp;type=national&amp;d=6","Results")</f>
        <v/>
      </c>
    </row>
    <row r="533">
      <c r="A533" t="inlineStr">
        <is>
          <t>532</t>
        </is>
      </c>
      <c r="B533" t="inlineStr">
        <is>
          <t>Ferdinand Mayer</t>
        </is>
      </c>
      <c r="C533" t="inlineStr"/>
      <c r="D533" t="inlineStr">
        <is>
          <t>4</t>
        </is>
      </c>
      <c r="E533">
        <f>HYPERLINK("https://www.britishcycling.org.uk/points?person_id=869684&amp;year=2021&amp;type=national&amp;d=6","Results")</f>
        <v/>
      </c>
    </row>
    <row r="534">
      <c r="A534" t="inlineStr">
        <is>
          <t>533</t>
        </is>
      </c>
      <c r="B534" t="inlineStr">
        <is>
          <t>James Norman</t>
        </is>
      </c>
      <c r="C534" t="inlineStr"/>
      <c r="D534" t="inlineStr">
        <is>
          <t>4</t>
        </is>
      </c>
      <c r="E534">
        <f>HYPERLINK("https://www.britishcycling.org.uk/points?person_id=7967&amp;year=2021&amp;type=national&amp;d=6","Results")</f>
        <v/>
      </c>
    </row>
    <row r="535">
      <c r="A535" t="inlineStr">
        <is>
          <t>534</t>
        </is>
      </c>
      <c r="B535" t="inlineStr">
        <is>
          <t>Jack Oelmann Perez</t>
        </is>
      </c>
      <c r="C535" t="inlineStr">
        <is>
          <t>Lea Valley CC</t>
        </is>
      </c>
      <c r="D535" t="inlineStr">
        <is>
          <t>4</t>
        </is>
      </c>
      <c r="E535">
        <f>HYPERLINK("https://www.britishcycling.org.uk/points?person_id=31165&amp;year=2021&amp;type=national&amp;d=6","Results")</f>
        <v/>
      </c>
    </row>
    <row r="536">
      <c r="A536" t="inlineStr">
        <is>
          <t>535</t>
        </is>
      </c>
      <c r="B536" t="inlineStr">
        <is>
          <t>Nathan Palmer</t>
        </is>
      </c>
      <c r="C536" t="inlineStr">
        <is>
          <t>De Laune CC</t>
        </is>
      </c>
      <c r="D536" t="inlineStr">
        <is>
          <t>4</t>
        </is>
      </c>
      <c r="E536">
        <f>HYPERLINK("https://www.britishcycling.org.uk/points?person_id=25848&amp;year=2021&amp;type=national&amp;d=6","Results")</f>
        <v/>
      </c>
    </row>
    <row r="537">
      <c r="A537" t="inlineStr">
        <is>
          <t>536</t>
        </is>
      </c>
      <c r="B537" t="inlineStr">
        <is>
          <t>Craig Preece</t>
        </is>
      </c>
      <c r="C537" t="inlineStr">
        <is>
          <t>Army Cycling Union</t>
        </is>
      </c>
      <c r="D537" t="inlineStr">
        <is>
          <t>4</t>
        </is>
      </c>
      <c r="E537">
        <f>HYPERLINK("https://www.britishcycling.org.uk/points?person_id=240503&amp;year=2021&amp;type=national&amp;d=6","Results")</f>
        <v/>
      </c>
    </row>
    <row r="538">
      <c r="A538" t="inlineStr">
        <is>
          <t>537</t>
        </is>
      </c>
      <c r="B538" t="inlineStr">
        <is>
          <t>Roy Rowland</t>
        </is>
      </c>
      <c r="C538" t="inlineStr">
        <is>
          <t>Loose Cannon's Conditioning</t>
        </is>
      </c>
      <c r="D538" t="inlineStr">
        <is>
          <t>4</t>
        </is>
      </c>
      <c r="E538">
        <f>HYPERLINK("https://www.britishcycling.org.uk/points?person_id=326217&amp;year=2021&amp;type=national&amp;d=6","Results")</f>
        <v/>
      </c>
    </row>
    <row r="539">
      <c r="A539" t="inlineStr">
        <is>
          <t>538</t>
        </is>
      </c>
      <c r="B539" t="inlineStr">
        <is>
          <t>Jack  Rubini</t>
        </is>
      </c>
      <c r="C539" t="inlineStr">
        <is>
          <t>La Cassette Cycling</t>
        </is>
      </c>
      <c r="D539" t="inlineStr">
        <is>
          <t>4</t>
        </is>
      </c>
      <c r="E539">
        <f>HYPERLINK("https://www.britishcycling.org.uk/points?person_id=1004998&amp;year=2021&amp;type=national&amp;d=6","Results")</f>
        <v/>
      </c>
    </row>
    <row r="540">
      <c r="A540" t="inlineStr">
        <is>
          <t>539</t>
        </is>
      </c>
      <c r="B540" t="inlineStr">
        <is>
          <t>Sam Shepherd</t>
        </is>
      </c>
      <c r="C540" t="inlineStr">
        <is>
          <t>Saint Piran Development</t>
        </is>
      </c>
      <c r="D540" t="inlineStr">
        <is>
          <t>4</t>
        </is>
      </c>
      <c r="E540">
        <f>HYPERLINK("https://www.britishcycling.org.uk/points?person_id=992073&amp;year=2021&amp;type=national&amp;d=6","Results")</f>
        <v/>
      </c>
    </row>
    <row r="541">
      <c r="A541" t="inlineStr">
        <is>
          <t>540</t>
        </is>
      </c>
      <c r="B541" t="inlineStr">
        <is>
          <t>Alex Sheppard</t>
        </is>
      </c>
      <c r="C541" t="inlineStr">
        <is>
          <t>Velo Club Montpellier</t>
        </is>
      </c>
      <c r="D541" t="inlineStr">
        <is>
          <t>4</t>
        </is>
      </c>
      <c r="E541">
        <f>HYPERLINK("https://www.britishcycling.org.uk/points?person_id=254767&amp;year=2021&amp;type=national&amp;d=6","Results")</f>
        <v/>
      </c>
    </row>
    <row r="542">
      <c r="A542" t="inlineStr">
        <is>
          <t>541</t>
        </is>
      </c>
      <c r="B542" t="inlineStr">
        <is>
          <t>Ben Staley</t>
        </is>
      </c>
      <c r="C542" t="inlineStr">
        <is>
          <t>North Devon Wheelers</t>
        </is>
      </c>
      <c r="D542" t="inlineStr">
        <is>
          <t>4</t>
        </is>
      </c>
      <c r="E542">
        <f>HYPERLINK("https://www.britishcycling.org.uk/points?person_id=51539&amp;year=2021&amp;type=national&amp;d=6","Results")</f>
        <v/>
      </c>
    </row>
    <row r="543">
      <c r="A543" t="inlineStr">
        <is>
          <t>542</t>
        </is>
      </c>
      <c r="B543" t="inlineStr">
        <is>
          <t>Ryan Symington</t>
        </is>
      </c>
      <c r="C543" t="inlineStr">
        <is>
          <t>Get On Your Bike (GOYB)</t>
        </is>
      </c>
      <c r="D543" t="inlineStr">
        <is>
          <t>4</t>
        </is>
      </c>
      <c r="E543">
        <f>HYPERLINK("https://www.britishcycling.org.uk/points?person_id=295027&amp;year=2021&amp;type=national&amp;d=6","Results")</f>
        <v/>
      </c>
    </row>
    <row r="544">
      <c r="A544" t="inlineStr">
        <is>
          <t>543</t>
        </is>
      </c>
      <c r="B544" t="inlineStr">
        <is>
          <t>Lewis Tarnai-Wilson</t>
        </is>
      </c>
      <c r="C544" t="inlineStr">
        <is>
          <t>Ashfield RC</t>
        </is>
      </c>
      <c r="D544" t="inlineStr">
        <is>
          <t>4</t>
        </is>
      </c>
      <c r="E544">
        <f>HYPERLINK("https://www.britishcycling.org.uk/points?person_id=105391&amp;year=2021&amp;type=national&amp;d=6","Results")</f>
        <v/>
      </c>
    </row>
    <row r="545">
      <c r="A545" t="inlineStr">
        <is>
          <t>544</t>
        </is>
      </c>
      <c r="B545" t="inlineStr">
        <is>
          <t>Barry Wilson</t>
        </is>
      </c>
      <c r="C545" t="inlineStr"/>
      <c r="D545" t="inlineStr">
        <is>
          <t>4</t>
        </is>
      </c>
      <c r="E545">
        <f>HYPERLINK("https://www.britishcycling.org.uk/points?person_id=13558&amp;year=2021&amp;type=national&amp;d=6","Results")</f>
        <v/>
      </c>
    </row>
    <row r="546">
      <c r="A546" t="inlineStr">
        <is>
          <t>545</t>
        </is>
      </c>
      <c r="B546" t="inlineStr">
        <is>
          <t>Denis Zaboronsky</t>
        </is>
      </c>
      <c r="C546" t="inlineStr">
        <is>
          <t>Bristol CX</t>
        </is>
      </c>
      <c r="D546" t="inlineStr">
        <is>
          <t>4</t>
        </is>
      </c>
      <c r="E546">
        <f>HYPERLINK("https://www.britishcycling.org.uk/points?person_id=808616&amp;year=2021&amp;type=national&amp;d=6","Results")</f>
        <v/>
      </c>
    </row>
    <row r="547">
      <c r="A547" t="inlineStr">
        <is>
          <t>546</t>
        </is>
      </c>
      <c r="B547" t="inlineStr">
        <is>
          <t>Thomas Ayers</t>
        </is>
      </c>
      <c r="C547" t="inlineStr">
        <is>
          <t>Cycle Club Ashwell (CCA)</t>
        </is>
      </c>
      <c r="D547" t="inlineStr">
        <is>
          <t>3</t>
        </is>
      </c>
      <c r="E547">
        <f>HYPERLINK("https://www.britishcycling.org.uk/points?person_id=449280&amp;year=2021&amp;type=national&amp;d=6","Results")</f>
        <v/>
      </c>
    </row>
    <row r="548">
      <c r="A548" t="inlineStr">
        <is>
          <t>547</t>
        </is>
      </c>
      <c r="B548" t="inlineStr">
        <is>
          <t>Paul Barrett</t>
        </is>
      </c>
      <c r="C548" t="inlineStr">
        <is>
          <t>Velo Culture</t>
        </is>
      </c>
      <c r="D548" t="inlineStr">
        <is>
          <t>3</t>
        </is>
      </c>
      <c r="E548">
        <f>HYPERLINK("https://www.britishcycling.org.uk/points?person_id=344908&amp;year=2021&amp;type=national&amp;d=6","Results")</f>
        <v/>
      </c>
    </row>
    <row r="549">
      <c r="A549" t="inlineStr">
        <is>
          <t>548</t>
        </is>
      </c>
      <c r="B549" t="inlineStr">
        <is>
          <t>Oliver Bates</t>
        </is>
      </c>
      <c r="C549" t="inlineStr"/>
      <c r="D549" t="inlineStr">
        <is>
          <t>3</t>
        </is>
      </c>
      <c r="E549">
        <f>HYPERLINK("https://www.britishcycling.org.uk/points?person_id=193912&amp;year=2021&amp;type=national&amp;d=6","Results")</f>
        <v/>
      </c>
    </row>
    <row r="550">
      <c r="A550" t="inlineStr">
        <is>
          <t>549</t>
        </is>
      </c>
      <c r="B550" t="inlineStr">
        <is>
          <t>George Bemand</t>
        </is>
      </c>
      <c r="C550" t="inlineStr">
        <is>
          <t>VCEquipe-FlixOralHygiene-Propulse</t>
        </is>
      </c>
      <c r="D550" t="inlineStr">
        <is>
          <t>3</t>
        </is>
      </c>
      <c r="E550">
        <f>HYPERLINK("https://www.britishcycling.org.uk/points?person_id=625541&amp;year=2021&amp;type=national&amp;d=6","Results")</f>
        <v/>
      </c>
    </row>
    <row r="551">
      <c r="A551" t="inlineStr">
        <is>
          <t>550</t>
        </is>
      </c>
      <c r="B551" t="inlineStr">
        <is>
          <t>George Bradley</t>
        </is>
      </c>
      <c r="C551" t="inlineStr">
        <is>
          <t>Peckham Cycle Club</t>
        </is>
      </c>
      <c r="D551" t="inlineStr">
        <is>
          <t>3</t>
        </is>
      </c>
      <c r="E551">
        <f>HYPERLINK("https://www.britishcycling.org.uk/points?person_id=909892&amp;year=2021&amp;type=national&amp;d=6","Results")</f>
        <v/>
      </c>
    </row>
    <row r="552">
      <c r="A552" t="inlineStr">
        <is>
          <t>551</t>
        </is>
      </c>
      <c r="B552" t="inlineStr">
        <is>
          <t>Joshua Brown</t>
        </is>
      </c>
      <c r="C552" t="inlineStr">
        <is>
          <t>Tofauti Everyone Active</t>
        </is>
      </c>
      <c r="D552" t="inlineStr">
        <is>
          <t>3</t>
        </is>
      </c>
      <c r="E552">
        <f>HYPERLINK("https://www.britishcycling.org.uk/points?person_id=553849&amp;year=2021&amp;type=national&amp;d=6","Results")</f>
        <v/>
      </c>
    </row>
    <row r="553">
      <c r="A553" t="inlineStr">
        <is>
          <t>552</t>
        </is>
      </c>
      <c r="B553" t="inlineStr">
        <is>
          <t>Cameron Brown</t>
        </is>
      </c>
      <c r="C553" t="inlineStr">
        <is>
          <t>Spokes Racing Team</t>
        </is>
      </c>
      <c r="D553" t="inlineStr">
        <is>
          <t>3</t>
        </is>
      </c>
      <c r="E553">
        <f>HYPERLINK("https://www.britishcycling.org.uk/points?person_id=265461&amp;year=2021&amp;type=national&amp;d=6","Results")</f>
        <v/>
      </c>
    </row>
    <row r="554">
      <c r="A554" t="inlineStr">
        <is>
          <t>553</t>
        </is>
      </c>
      <c r="B554" t="inlineStr">
        <is>
          <t>Sebastian Charlesworth</t>
        </is>
      </c>
      <c r="C554" t="inlineStr">
        <is>
          <t>Army Cycling Union</t>
        </is>
      </c>
      <c r="D554" t="inlineStr">
        <is>
          <t>3</t>
        </is>
      </c>
      <c r="E554">
        <f>HYPERLINK("https://www.britishcycling.org.uk/points?person_id=261070&amp;year=2021&amp;type=national&amp;d=6","Results")</f>
        <v/>
      </c>
    </row>
    <row r="555">
      <c r="A555" t="inlineStr">
        <is>
          <t>554</t>
        </is>
      </c>
      <c r="B555" t="inlineStr">
        <is>
          <t>Dylan Curtis</t>
        </is>
      </c>
      <c r="C555" t="inlineStr">
        <is>
          <t>Merthyr Cycling Club</t>
        </is>
      </c>
      <c r="D555" t="inlineStr">
        <is>
          <t>3</t>
        </is>
      </c>
      <c r="E555">
        <f>HYPERLINK("https://www.britishcycling.org.uk/points?person_id=664058&amp;year=2021&amp;type=national&amp;d=6","Results")</f>
        <v/>
      </c>
    </row>
    <row r="556">
      <c r="A556" t="inlineStr">
        <is>
          <t>555</t>
        </is>
      </c>
      <c r="B556" t="inlineStr">
        <is>
          <t>Sean Dodsworth</t>
        </is>
      </c>
      <c r="C556" t="inlineStr">
        <is>
          <t>Army Cycling Union</t>
        </is>
      </c>
      <c r="D556" t="inlineStr">
        <is>
          <t>3</t>
        </is>
      </c>
      <c r="E556">
        <f>HYPERLINK("https://www.britishcycling.org.uk/points?person_id=977010&amp;year=2021&amp;type=national&amp;d=6","Results")</f>
        <v/>
      </c>
    </row>
    <row r="557">
      <c r="A557" t="inlineStr">
        <is>
          <t>556</t>
        </is>
      </c>
      <c r="B557" t="inlineStr">
        <is>
          <t>Philip Gleave</t>
        </is>
      </c>
      <c r="C557" t="inlineStr">
        <is>
          <t>Congleton CC</t>
        </is>
      </c>
      <c r="D557" t="inlineStr">
        <is>
          <t>3</t>
        </is>
      </c>
      <c r="E557">
        <f>HYPERLINK("https://www.britishcycling.org.uk/points?person_id=440780&amp;year=2021&amp;type=national&amp;d=6","Results")</f>
        <v/>
      </c>
    </row>
    <row r="558">
      <c r="A558" t="inlineStr">
        <is>
          <t>557</t>
        </is>
      </c>
      <c r="B558" t="inlineStr">
        <is>
          <t>Tim Guy</t>
        </is>
      </c>
      <c r="C558" t="inlineStr">
        <is>
          <t>Norwich Racing Team</t>
        </is>
      </c>
      <c r="D558" t="inlineStr">
        <is>
          <t>3</t>
        </is>
      </c>
      <c r="E558">
        <f>HYPERLINK("https://www.britishcycling.org.uk/points?person_id=71003&amp;year=2021&amp;type=national&amp;d=6","Results")</f>
        <v/>
      </c>
    </row>
    <row r="559">
      <c r="A559" t="inlineStr">
        <is>
          <t>558</t>
        </is>
      </c>
      <c r="B559" t="inlineStr">
        <is>
          <t>David Haygarth</t>
        </is>
      </c>
      <c r="C559" t="inlineStr">
        <is>
          <t>Wheelbase CabTech Castelli</t>
        </is>
      </c>
      <c r="D559" t="inlineStr">
        <is>
          <t>3</t>
        </is>
      </c>
      <c r="E559">
        <f>HYPERLINK("https://www.britishcycling.org.uk/points?person_id=70096&amp;year=2021&amp;type=national&amp;d=6","Results")</f>
        <v/>
      </c>
    </row>
    <row r="560">
      <c r="A560" t="inlineStr">
        <is>
          <t>559</t>
        </is>
      </c>
      <c r="B560" t="inlineStr">
        <is>
          <t>Nick Herlihy</t>
        </is>
      </c>
      <c r="C560" t="inlineStr"/>
      <c r="D560" t="inlineStr">
        <is>
          <t>3</t>
        </is>
      </c>
      <c r="E560">
        <f>HYPERLINK("https://www.britishcycling.org.uk/points?person_id=21673&amp;year=2021&amp;type=national&amp;d=6","Results")</f>
        <v/>
      </c>
    </row>
    <row r="561">
      <c r="A561" t="inlineStr">
        <is>
          <t>560</t>
        </is>
      </c>
      <c r="B561" t="inlineStr">
        <is>
          <t>Thomas Geoffrey Lea</t>
        </is>
      </c>
      <c r="C561" t="inlineStr">
        <is>
          <t>CC London</t>
        </is>
      </c>
      <c r="D561" t="inlineStr">
        <is>
          <t>3</t>
        </is>
      </c>
      <c r="E561">
        <f>HYPERLINK("https://www.britishcycling.org.uk/points?person_id=856816&amp;year=2021&amp;type=national&amp;d=6","Results")</f>
        <v/>
      </c>
    </row>
    <row r="562">
      <c r="A562" t="inlineStr">
        <is>
          <t>561</t>
        </is>
      </c>
      <c r="B562" t="inlineStr">
        <is>
          <t>Tom Lightfoot</t>
        </is>
      </c>
      <c r="C562" t="inlineStr">
        <is>
          <t>Reading CC</t>
        </is>
      </c>
      <c r="D562" t="inlineStr">
        <is>
          <t>3</t>
        </is>
      </c>
      <c r="E562">
        <f>HYPERLINK("https://www.britishcycling.org.uk/points?person_id=1002899&amp;year=2021&amp;type=national&amp;d=6","Results")</f>
        <v/>
      </c>
    </row>
    <row r="563">
      <c r="A563" t="inlineStr">
        <is>
          <t>562</t>
        </is>
      </c>
      <c r="B563" t="inlineStr">
        <is>
          <t>James Little</t>
        </is>
      </c>
      <c r="C563" t="inlineStr">
        <is>
          <t>Holmfirth Cycling Club</t>
        </is>
      </c>
      <c r="D563" t="inlineStr">
        <is>
          <t>3</t>
        </is>
      </c>
      <c r="E563">
        <f>HYPERLINK("https://www.britishcycling.org.uk/points?person_id=372075&amp;year=2021&amp;type=national&amp;d=6","Results")</f>
        <v/>
      </c>
    </row>
    <row r="564">
      <c r="A564" t="inlineStr">
        <is>
          <t>563</t>
        </is>
      </c>
      <c r="B564" t="inlineStr">
        <is>
          <t>Ben McMullen</t>
        </is>
      </c>
      <c r="C564" t="inlineStr">
        <is>
          <t>The Cycling Academy</t>
        </is>
      </c>
      <c r="D564" t="inlineStr">
        <is>
          <t>3</t>
        </is>
      </c>
      <c r="E564">
        <f>HYPERLINK("https://www.britishcycling.org.uk/points?person_id=299512&amp;year=2021&amp;type=national&amp;d=6","Results")</f>
        <v/>
      </c>
    </row>
    <row r="565">
      <c r="A565" t="inlineStr">
        <is>
          <t>564</t>
        </is>
      </c>
      <c r="B565" t="inlineStr">
        <is>
          <t>Michael Murray</t>
        </is>
      </c>
      <c r="C565" t="inlineStr">
        <is>
          <t>Brighton Excelsior CC</t>
        </is>
      </c>
      <c r="D565" t="inlineStr">
        <is>
          <t>3</t>
        </is>
      </c>
      <c r="E565">
        <f>HYPERLINK("https://www.britishcycling.org.uk/points?person_id=50404&amp;year=2021&amp;type=national&amp;d=6","Results")</f>
        <v/>
      </c>
    </row>
    <row r="566">
      <c r="A566" t="inlineStr">
        <is>
          <t>565</t>
        </is>
      </c>
      <c r="B566" t="inlineStr">
        <is>
          <t>Matthew Rivers</t>
        </is>
      </c>
      <c r="C566" t="inlineStr">
        <is>
          <t>Athlon CC</t>
        </is>
      </c>
      <c r="D566" t="inlineStr">
        <is>
          <t>3</t>
        </is>
      </c>
      <c r="E566">
        <f>HYPERLINK("https://www.britishcycling.org.uk/points?person_id=473681&amp;year=2021&amp;type=national&amp;d=6","Results")</f>
        <v/>
      </c>
    </row>
    <row r="567">
      <c r="A567" t="inlineStr">
        <is>
          <t>566</t>
        </is>
      </c>
      <c r="B567" t="inlineStr">
        <is>
          <t>James Robertson</t>
        </is>
      </c>
      <c r="C567" t="inlineStr">
        <is>
          <t>Ross-Shire RCC</t>
        </is>
      </c>
      <c r="D567" t="inlineStr">
        <is>
          <t>3</t>
        </is>
      </c>
      <c r="E567">
        <f>HYPERLINK("https://www.britishcycling.org.uk/points?person_id=423653&amp;year=2021&amp;type=national&amp;d=6","Results")</f>
        <v/>
      </c>
    </row>
    <row r="568">
      <c r="A568" t="inlineStr">
        <is>
          <t>567</t>
        </is>
      </c>
      <c r="B568" t="inlineStr">
        <is>
          <t>Brendan Roe</t>
        </is>
      </c>
      <c r="C568" t="inlineStr">
        <is>
          <t>Dunfermline CC</t>
        </is>
      </c>
      <c r="D568" t="inlineStr">
        <is>
          <t>3</t>
        </is>
      </c>
      <c r="E568">
        <f>HYPERLINK("https://www.britishcycling.org.uk/points?person_id=31707&amp;year=2021&amp;type=national&amp;d=6","Results")</f>
        <v/>
      </c>
    </row>
    <row r="569">
      <c r="A569" t="inlineStr">
        <is>
          <t>568</t>
        </is>
      </c>
      <c r="B569" t="inlineStr">
        <is>
          <t>Noah Smith</t>
        </is>
      </c>
      <c r="C569" t="inlineStr">
        <is>
          <t>6AM Cycling</t>
        </is>
      </c>
      <c r="D569" t="inlineStr">
        <is>
          <t>3</t>
        </is>
      </c>
      <c r="E569">
        <f>HYPERLINK("https://www.britishcycling.org.uk/points?person_id=107481&amp;year=2021&amp;type=national&amp;d=6","Results")</f>
        <v/>
      </c>
    </row>
    <row r="570">
      <c r="A570" t="inlineStr">
        <is>
          <t>569</t>
        </is>
      </c>
      <c r="B570" t="inlineStr">
        <is>
          <t>Leigh Smith</t>
        </is>
      </c>
      <c r="C570" t="inlineStr">
        <is>
          <t>Equipe Velo</t>
        </is>
      </c>
      <c r="D570" t="inlineStr">
        <is>
          <t>3</t>
        </is>
      </c>
      <c r="E570">
        <f>HYPERLINK("https://www.britishcycling.org.uk/points?person_id=38453&amp;year=2021&amp;type=national&amp;d=6","Results")</f>
        <v/>
      </c>
    </row>
    <row r="571">
      <c r="A571" t="inlineStr">
        <is>
          <t>570</t>
        </is>
      </c>
      <c r="B571" t="inlineStr">
        <is>
          <t>Tom Stevenson</t>
        </is>
      </c>
      <c r="C571" t="inlineStr">
        <is>
          <t>Amicus 13</t>
        </is>
      </c>
      <c r="D571" t="inlineStr">
        <is>
          <t>3</t>
        </is>
      </c>
      <c r="E571">
        <f>HYPERLINK("https://www.britishcycling.org.uk/points?person_id=970303&amp;year=2021&amp;type=national&amp;d=6","Results")</f>
        <v/>
      </c>
    </row>
    <row r="572">
      <c r="A572" t="inlineStr">
        <is>
          <t>571</t>
        </is>
      </c>
      <c r="B572" t="inlineStr">
        <is>
          <t>Andy Wakeling</t>
        </is>
      </c>
      <c r="C572" t="inlineStr">
        <is>
          <t>Hub Vélo</t>
        </is>
      </c>
      <c r="D572" t="inlineStr">
        <is>
          <t>3</t>
        </is>
      </c>
      <c r="E572">
        <f>HYPERLINK("https://www.britishcycling.org.uk/points?person_id=678620&amp;year=2021&amp;type=national&amp;d=6","Results")</f>
        <v/>
      </c>
    </row>
    <row r="573">
      <c r="A573" t="inlineStr">
        <is>
          <t>572</t>
        </is>
      </c>
      <c r="B573" t="inlineStr">
        <is>
          <t>Karl Wooffindin</t>
        </is>
      </c>
      <c r="C573" t="inlineStr">
        <is>
          <t>Lifting Gear Prod- CyclesInMotion</t>
        </is>
      </c>
      <c r="D573" t="inlineStr">
        <is>
          <t>3</t>
        </is>
      </c>
      <c r="E573">
        <f>HYPERLINK("https://www.britishcycling.org.uk/points?person_id=203405&amp;year=2021&amp;type=national&amp;d=6","Results")</f>
        <v/>
      </c>
    </row>
    <row r="574">
      <c r="A574" t="inlineStr">
        <is>
          <t>573</t>
        </is>
      </c>
      <c r="B574" t="inlineStr">
        <is>
          <t>Rupert Baker</t>
        </is>
      </c>
      <c r="C574" t="inlineStr">
        <is>
          <t>Mono CC</t>
        </is>
      </c>
      <c r="D574" t="inlineStr">
        <is>
          <t>2</t>
        </is>
      </c>
      <c r="E574">
        <f>HYPERLINK("https://www.britishcycling.org.uk/points?person_id=287191&amp;year=2021&amp;type=national&amp;d=6","Results")</f>
        <v/>
      </c>
    </row>
    <row r="575">
      <c r="A575" t="inlineStr">
        <is>
          <t>574</t>
        </is>
      </c>
      <c r="B575" t="inlineStr">
        <is>
          <t>Thomas Bardill</t>
        </is>
      </c>
      <c r="C575" t="inlineStr">
        <is>
          <t>Cycling Club Hackney</t>
        </is>
      </c>
      <c r="D575" t="inlineStr">
        <is>
          <t>2</t>
        </is>
      </c>
      <c r="E575">
        <f>HYPERLINK("https://www.britishcycling.org.uk/points?person_id=321242&amp;year=2021&amp;type=national&amp;d=6","Results")</f>
        <v/>
      </c>
    </row>
    <row r="576">
      <c r="A576" t="inlineStr">
        <is>
          <t>575</t>
        </is>
      </c>
      <c r="B576" t="inlineStr">
        <is>
          <t>Matthew Brammeier</t>
        </is>
      </c>
      <c r="C576" t="inlineStr"/>
      <c r="D576" t="inlineStr">
        <is>
          <t>2</t>
        </is>
      </c>
      <c r="E576">
        <f>HYPERLINK("https://www.britishcycling.org.uk/points?person_id=4329&amp;year=2021&amp;type=national&amp;d=6","Results")</f>
        <v/>
      </c>
    </row>
    <row r="577">
      <c r="A577" t="inlineStr">
        <is>
          <t>576</t>
        </is>
      </c>
      <c r="B577" t="inlineStr">
        <is>
          <t>Ryan Brannen</t>
        </is>
      </c>
      <c r="C577" t="inlineStr">
        <is>
          <t>555 RAAW Gravity Racing (UCI MTB Team)</t>
        </is>
      </c>
      <c r="D577" t="inlineStr">
        <is>
          <t>2</t>
        </is>
      </c>
      <c r="E577">
        <f>HYPERLINK("https://www.britishcycling.org.uk/points?person_id=195731&amp;year=2021&amp;type=national&amp;d=6","Results")</f>
        <v/>
      </c>
    </row>
    <row r="578">
      <c r="A578" t="inlineStr">
        <is>
          <t>577</t>
        </is>
      </c>
      <c r="B578" t="inlineStr">
        <is>
          <t>Sebastian Carr</t>
        </is>
      </c>
      <c r="C578" t="inlineStr">
        <is>
          <t>VCGH</t>
        </is>
      </c>
      <c r="D578" t="inlineStr">
        <is>
          <t>2</t>
        </is>
      </c>
      <c r="E578">
        <f>HYPERLINK("https://www.britishcycling.org.uk/points?person_id=651988&amp;year=2021&amp;type=national&amp;d=6","Results")</f>
        <v/>
      </c>
    </row>
    <row r="579">
      <c r="A579" t="inlineStr">
        <is>
          <t>578</t>
        </is>
      </c>
      <c r="B579" t="inlineStr">
        <is>
          <t>Kyle Cartmell</t>
        </is>
      </c>
      <c r="C579" t="inlineStr">
        <is>
          <t>RT23</t>
        </is>
      </c>
      <c r="D579" t="inlineStr">
        <is>
          <t>2</t>
        </is>
      </c>
      <c r="E579">
        <f>HYPERLINK("https://www.britishcycling.org.uk/points?person_id=334920&amp;year=2021&amp;type=national&amp;d=6","Results")</f>
        <v/>
      </c>
    </row>
    <row r="580">
      <c r="A580" t="inlineStr">
        <is>
          <t>579</t>
        </is>
      </c>
      <c r="B580" t="inlineStr">
        <is>
          <t>Joel Corbishley</t>
        </is>
      </c>
      <c r="C580" t="inlineStr">
        <is>
          <t>Team Milton Keynes</t>
        </is>
      </c>
      <c r="D580" t="inlineStr">
        <is>
          <t>2</t>
        </is>
      </c>
      <c r="E580">
        <f>HYPERLINK("https://www.britishcycling.org.uk/points?person_id=263088&amp;year=2021&amp;type=national&amp;d=6","Results")</f>
        <v/>
      </c>
    </row>
    <row r="581">
      <c r="A581" t="inlineStr">
        <is>
          <t>580</t>
        </is>
      </c>
      <c r="B581" t="inlineStr">
        <is>
          <t>Ross Fawcett</t>
        </is>
      </c>
      <c r="C581" t="inlineStr">
        <is>
          <t>Orwell Velo</t>
        </is>
      </c>
      <c r="D581" t="inlineStr">
        <is>
          <t>2</t>
        </is>
      </c>
      <c r="E581">
        <f>HYPERLINK("https://www.britishcycling.org.uk/points?person_id=186393&amp;year=2021&amp;type=national&amp;d=6","Results")</f>
        <v/>
      </c>
    </row>
    <row r="582">
      <c r="A582" t="inlineStr">
        <is>
          <t>581</t>
        </is>
      </c>
      <c r="B582" t="inlineStr">
        <is>
          <t>Aaron Hemsley</t>
        </is>
      </c>
      <c r="C582" t="inlineStr">
        <is>
          <t>Dulwich Paragon CC</t>
        </is>
      </c>
      <c r="D582" t="inlineStr">
        <is>
          <t>2</t>
        </is>
      </c>
      <c r="E582">
        <f>HYPERLINK("https://www.britishcycling.org.uk/points?person_id=250953&amp;year=2021&amp;type=national&amp;d=6","Results")</f>
        <v/>
      </c>
    </row>
    <row r="583">
      <c r="A583" t="inlineStr">
        <is>
          <t>582</t>
        </is>
      </c>
      <c r="B583" t="inlineStr">
        <is>
          <t>Robert Henry</t>
        </is>
      </c>
      <c r="C583" t="inlineStr">
        <is>
          <t>Strada 2020</t>
        </is>
      </c>
      <c r="D583" t="inlineStr">
        <is>
          <t>2</t>
        </is>
      </c>
      <c r="E583">
        <f>HYPERLINK("https://www.britishcycling.org.uk/points?person_id=981204&amp;year=2021&amp;type=national&amp;d=6","Results")</f>
        <v/>
      </c>
    </row>
    <row r="584">
      <c r="A584" t="inlineStr">
        <is>
          <t>583</t>
        </is>
      </c>
      <c r="B584" t="inlineStr">
        <is>
          <t>Shaun Jarvis</t>
        </is>
      </c>
      <c r="C584" t="inlineStr"/>
      <c r="D584" t="inlineStr">
        <is>
          <t>2</t>
        </is>
      </c>
      <c r="E584">
        <f>HYPERLINK("https://www.britishcycling.org.uk/points?person_id=991303&amp;year=2021&amp;type=national&amp;d=6","Results")</f>
        <v/>
      </c>
    </row>
    <row r="585">
      <c r="A585" t="inlineStr">
        <is>
          <t>584</t>
        </is>
      </c>
      <c r="B585" t="inlineStr">
        <is>
          <t>Martin Lenney</t>
        </is>
      </c>
      <c r="C585" t="inlineStr">
        <is>
          <t>Penzance Wheelers</t>
        </is>
      </c>
      <c r="D585" t="inlineStr">
        <is>
          <t>2</t>
        </is>
      </c>
      <c r="E585">
        <f>HYPERLINK("https://www.britishcycling.org.uk/points?person_id=24845&amp;year=2021&amp;type=national&amp;d=6","Results")</f>
        <v/>
      </c>
    </row>
    <row r="586">
      <c r="A586" t="inlineStr">
        <is>
          <t>585</t>
        </is>
      </c>
      <c r="B586" t="inlineStr">
        <is>
          <t>Benjamin Livesey</t>
        </is>
      </c>
      <c r="C586" t="inlineStr">
        <is>
          <t>Cog Set Papyrus Racing Club</t>
        </is>
      </c>
      <c r="D586" t="inlineStr">
        <is>
          <t>2</t>
        </is>
      </c>
      <c r="E586">
        <f>HYPERLINK("https://www.britishcycling.org.uk/points?person_id=387309&amp;year=2021&amp;type=national&amp;d=6","Results")</f>
        <v/>
      </c>
    </row>
    <row r="587">
      <c r="A587" t="inlineStr">
        <is>
          <t>586</t>
        </is>
      </c>
      <c r="B587" t="inlineStr">
        <is>
          <t>Chris Main</t>
        </is>
      </c>
      <c r="C587" t="inlineStr">
        <is>
          <t>Deeside Thistle CC</t>
        </is>
      </c>
      <c r="D587" t="inlineStr">
        <is>
          <t>2</t>
        </is>
      </c>
      <c r="E587">
        <f>HYPERLINK("https://www.britishcycling.org.uk/points?person_id=410735&amp;year=2021&amp;type=national&amp;d=6","Results")</f>
        <v/>
      </c>
    </row>
    <row r="588">
      <c r="A588" t="inlineStr">
        <is>
          <t>587</t>
        </is>
      </c>
      <c r="B588" t="inlineStr">
        <is>
          <t>Robert McAlinden</t>
        </is>
      </c>
      <c r="C588" t="inlineStr">
        <is>
          <t>Spalding Cycling Club</t>
        </is>
      </c>
      <c r="D588" t="inlineStr">
        <is>
          <t>2</t>
        </is>
      </c>
      <c r="E588">
        <f>HYPERLINK("https://www.britishcycling.org.uk/points?person_id=758823&amp;year=2021&amp;type=national&amp;d=6","Results")</f>
        <v/>
      </c>
    </row>
    <row r="589">
      <c r="A589" t="inlineStr">
        <is>
          <t>588</t>
        </is>
      </c>
      <c r="B589" t="inlineStr">
        <is>
          <t>Harry Myers</t>
        </is>
      </c>
      <c r="C589" t="inlineStr">
        <is>
          <t>Trek Sheffield Fox Valley</t>
        </is>
      </c>
      <c r="D589" t="inlineStr">
        <is>
          <t>2</t>
        </is>
      </c>
      <c r="E589">
        <f>HYPERLINK("https://www.britishcycling.org.uk/points?person_id=288658&amp;year=2021&amp;type=national&amp;d=6","Results")</f>
        <v/>
      </c>
    </row>
    <row r="590">
      <c r="A590" t="inlineStr">
        <is>
          <t>589</t>
        </is>
      </c>
      <c r="B590" t="inlineStr">
        <is>
          <t>Andrew Roberts</t>
        </is>
      </c>
      <c r="C590" t="inlineStr">
        <is>
          <t>Settle Wheelers</t>
        </is>
      </c>
      <c r="D590" t="inlineStr">
        <is>
          <t>2</t>
        </is>
      </c>
      <c r="E590">
        <f>HYPERLINK("https://www.britishcycling.org.uk/points?person_id=739182&amp;year=2021&amp;type=national&amp;d=6","Results")</f>
        <v/>
      </c>
    </row>
    <row r="591">
      <c r="A591" t="inlineStr">
        <is>
          <t>590</t>
        </is>
      </c>
      <c r="B591" t="inlineStr">
        <is>
          <t>Murray Swanson</t>
        </is>
      </c>
      <c r="C591" t="inlineStr">
        <is>
          <t>Livingston Cycling Club</t>
        </is>
      </c>
      <c r="D591" t="inlineStr">
        <is>
          <t>2</t>
        </is>
      </c>
      <c r="E591">
        <f>HYPERLINK("https://www.britishcycling.org.uk/points?person_id=733322&amp;year=2021&amp;type=national&amp;d=6","Results")</f>
        <v/>
      </c>
    </row>
    <row r="592">
      <c r="A592" t="inlineStr">
        <is>
          <t>591</t>
        </is>
      </c>
      <c r="B592" t="inlineStr">
        <is>
          <t>Eli Tucker</t>
        </is>
      </c>
      <c r="C592" t="inlineStr">
        <is>
          <t>Southampton University Road Club</t>
        </is>
      </c>
      <c r="D592" t="inlineStr">
        <is>
          <t>2</t>
        </is>
      </c>
      <c r="E592">
        <f>HYPERLINK("https://www.britishcycling.org.uk/points?person_id=277814&amp;year=2021&amp;type=national&amp;d=6","Results")</f>
        <v/>
      </c>
    </row>
    <row r="593">
      <c r="A593" t="inlineStr">
        <is>
          <t>592</t>
        </is>
      </c>
      <c r="B593" t="inlineStr">
        <is>
          <t>Christopher Wren</t>
        </is>
      </c>
      <c r="C593" t="inlineStr">
        <is>
          <t>LBRCC (Leighton Buzzard Road CC)</t>
        </is>
      </c>
      <c r="D593" t="inlineStr">
        <is>
          <t>2</t>
        </is>
      </c>
      <c r="E593">
        <f>HYPERLINK("https://www.britishcycling.org.uk/points?person_id=173841&amp;year=2021&amp;type=national&amp;d=6","Results")</f>
        <v/>
      </c>
    </row>
    <row r="594">
      <c r="A594" t="inlineStr">
        <is>
          <t>593</t>
        </is>
      </c>
      <c r="B594" t="inlineStr">
        <is>
          <t>Declan Brady</t>
        </is>
      </c>
      <c r="C594" t="inlineStr">
        <is>
          <t>Bury Clarion Cycling Club</t>
        </is>
      </c>
      <c r="D594" t="inlineStr">
        <is>
          <t>1</t>
        </is>
      </c>
      <c r="E594">
        <f>HYPERLINK("https://www.britishcycling.org.uk/points?person_id=304610&amp;year=2021&amp;type=national&amp;d=6","Results")</f>
        <v/>
      </c>
    </row>
    <row r="595">
      <c r="A595" t="inlineStr">
        <is>
          <t>594</t>
        </is>
      </c>
      <c r="B595" t="inlineStr">
        <is>
          <t>Danny Clifford</t>
        </is>
      </c>
      <c r="C595" t="inlineStr"/>
      <c r="D595" t="inlineStr">
        <is>
          <t>1</t>
        </is>
      </c>
      <c r="E595">
        <f>HYPERLINK("https://www.britishcycling.org.uk/points?person_id=969892&amp;year=2021&amp;type=national&amp;d=6","Results")</f>
        <v/>
      </c>
    </row>
    <row r="596">
      <c r="A596" t="inlineStr">
        <is>
          <t>595</t>
        </is>
      </c>
      <c r="B596" t="inlineStr">
        <is>
          <t>Grant Dyer</t>
        </is>
      </c>
      <c r="C596" t="inlineStr">
        <is>
          <t>Didcot Phoenix CC</t>
        </is>
      </c>
      <c r="D596" t="inlineStr">
        <is>
          <t>1</t>
        </is>
      </c>
      <c r="E596">
        <f>HYPERLINK("https://www.britishcycling.org.uk/points?person_id=238026&amp;year=2021&amp;type=national&amp;d=6","Results")</f>
        <v/>
      </c>
    </row>
    <row r="597">
      <c r="A597" t="inlineStr">
        <is>
          <t>596</t>
        </is>
      </c>
      <c r="B597" t="inlineStr">
        <is>
          <t>Mark Emsley</t>
        </is>
      </c>
      <c r="C597" t="inlineStr">
        <is>
          <t>Team TMC - Strada Wheels</t>
        </is>
      </c>
      <c r="D597" t="inlineStr">
        <is>
          <t>1</t>
        </is>
      </c>
      <c r="E597">
        <f>HYPERLINK("https://www.britishcycling.org.uk/points?person_id=134142&amp;year=2021&amp;type=national&amp;d=6","Results")</f>
        <v/>
      </c>
    </row>
    <row r="598">
      <c r="A598" t="inlineStr">
        <is>
          <t>597</t>
        </is>
      </c>
      <c r="B598" t="inlineStr">
        <is>
          <t>Thomas Green</t>
        </is>
      </c>
      <c r="C598" t="inlineStr">
        <is>
          <t>Solihull CC</t>
        </is>
      </c>
      <c r="D598" t="inlineStr">
        <is>
          <t>1</t>
        </is>
      </c>
      <c r="E598">
        <f>HYPERLINK("https://www.britishcycling.org.uk/points?person_id=196869&amp;year=2021&amp;type=national&amp;d=6","Results")</f>
        <v/>
      </c>
    </row>
    <row r="599">
      <c r="A599" t="inlineStr">
        <is>
          <t>598</t>
        </is>
      </c>
      <c r="B599" t="inlineStr">
        <is>
          <t>Mark Hanson</t>
        </is>
      </c>
      <c r="C599" t="inlineStr">
        <is>
          <t>Paceline Cycles North</t>
        </is>
      </c>
      <c r="D599" t="inlineStr">
        <is>
          <t>1</t>
        </is>
      </c>
      <c r="E599">
        <f>HYPERLINK("https://www.britishcycling.org.uk/points?person_id=550817&amp;year=2021&amp;type=national&amp;d=6","Results")</f>
        <v/>
      </c>
    </row>
    <row r="600">
      <c r="A600" t="inlineStr">
        <is>
          <t>599</t>
        </is>
      </c>
      <c r="B600" t="inlineStr">
        <is>
          <t>Doug Keyte</t>
        </is>
      </c>
      <c r="C600" t="inlineStr">
        <is>
          <t>Royal Navy &amp; Royal Marines CA</t>
        </is>
      </c>
      <c r="D600" t="inlineStr">
        <is>
          <t>1</t>
        </is>
      </c>
      <c r="E600">
        <f>HYPERLINK("https://www.britishcycling.org.uk/points?person_id=655261&amp;year=2021&amp;type=national&amp;d=6","Results")</f>
        <v/>
      </c>
    </row>
    <row r="601">
      <c r="A601" t="inlineStr">
        <is>
          <t>600</t>
        </is>
      </c>
      <c r="B601" t="inlineStr">
        <is>
          <t>Cameron Keyworth</t>
        </is>
      </c>
      <c r="C601" t="inlineStr">
        <is>
          <t>Lindsey Roads Cycling Club</t>
        </is>
      </c>
      <c r="D601" t="inlineStr">
        <is>
          <t>1</t>
        </is>
      </c>
      <c r="E601">
        <f>HYPERLINK("https://www.britishcycling.org.uk/points?person_id=471361&amp;year=2021&amp;type=national&amp;d=6","Results")</f>
        <v/>
      </c>
    </row>
    <row r="602">
      <c r="A602" t="inlineStr">
        <is>
          <t>601</t>
        </is>
      </c>
      <c r="B602" t="inlineStr">
        <is>
          <t>Sam Leng</t>
        </is>
      </c>
      <c r="C602" t="inlineStr">
        <is>
          <t>AIMS Cycling</t>
        </is>
      </c>
      <c r="D602" t="inlineStr">
        <is>
          <t>1</t>
        </is>
      </c>
      <c r="E602">
        <f>HYPERLINK("https://www.britishcycling.org.uk/points?person_id=248274&amp;year=2021&amp;type=national&amp;d=6","Results")</f>
        <v/>
      </c>
    </row>
    <row r="603">
      <c r="A603" t="inlineStr">
        <is>
          <t>602</t>
        </is>
      </c>
      <c r="B603" t="inlineStr">
        <is>
          <t>Ed Matysiak</t>
        </is>
      </c>
      <c r="C603" t="inlineStr">
        <is>
          <t>HFD Cycling</t>
        </is>
      </c>
      <c r="D603" t="inlineStr">
        <is>
          <t>1</t>
        </is>
      </c>
      <c r="E603">
        <f>HYPERLINK("https://www.britishcycling.org.uk/points?person_id=269504&amp;year=2021&amp;type=national&amp;d=6","Results")</f>
        <v/>
      </c>
    </row>
    <row r="604">
      <c r="A604" t="inlineStr">
        <is>
          <t>603</t>
        </is>
      </c>
      <c r="B604" t="inlineStr">
        <is>
          <t>Louis Moorehead</t>
        </is>
      </c>
      <c r="C604" t="inlineStr">
        <is>
          <t>Ronde Cycling Club</t>
        </is>
      </c>
      <c r="D604" t="inlineStr">
        <is>
          <t>1</t>
        </is>
      </c>
      <c r="E604">
        <f>HYPERLINK("https://www.britishcycling.org.uk/points?person_id=618653&amp;year=2021&amp;type=national&amp;d=6","Results")</f>
        <v/>
      </c>
    </row>
    <row r="605">
      <c r="A605" t="inlineStr">
        <is>
          <t>604</t>
        </is>
      </c>
      <c r="B605" t="inlineStr">
        <is>
          <t>Max O'Connor</t>
        </is>
      </c>
      <c r="C605" t="inlineStr">
        <is>
          <t>Thames Velo</t>
        </is>
      </c>
      <c r="D605" t="inlineStr">
        <is>
          <t>1</t>
        </is>
      </c>
      <c r="E605">
        <f>HYPERLINK("https://www.britishcycling.org.uk/points?person_id=304405&amp;year=2021&amp;type=national&amp;d=6","Results")</f>
        <v/>
      </c>
    </row>
    <row r="606">
      <c r="A606" t="inlineStr">
        <is>
          <t>605</t>
        </is>
      </c>
      <c r="B606" t="inlineStr">
        <is>
          <t>Arion Oates</t>
        </is>
      </c>
      <c r="C606" t="inlineStr"/>
      <c r="D606" t="inlineStr">
        <is>
          <t>1</t>
        </is>
      </c>
      <c r="E606">
        <f>HYPERLINK("https://www.britishcycling.org.uk/points?person_id=983891&amp;year=2021&amp;type=national&amp;d=6","Results")</f>
        <v/>
      </c>
    </row>
    <row r="607">
      <c r="A607" t="inlineStr">
        <is>
          <t>606</t>
        </is>
      </c>
      <c r="B607" t="inlineStr">
        <is>
          <t>Ben Pym</t>
        </is>
      </c>
      <c r="C607" t="inlineStr">
        <is>
          <t>Nova Race Team</t>
        </is>
      </c>
      <c r="D607" t="inlineStr">
        <is>
          <t>1</t>
        </is>
      </c>
      <c r="E607">
        <f>HYPERLINK("https://www.britishcycling.org.uk/points?person_id=353956&amp;year=2021&amp;type=national&amp;d=6","Results")</f>
        <v/>
      </c>
    </row>
    <row r="608">
      <c r="A608" t="inlineStr">
        <is>
          <t>607</t>
        </is>
      </c>
      <c r="B608" t="inlineStr">
        <is>
          <t>Brendan Schofield</t>
        </is>
      </c>
      <c r="C608" t="inlineStr">
        <is>
          <t>Abingdon Race Team</t>
        </is>
      </c>
      <c r="D608" t="inlineStr">
        <is>
          <t>1</t>
        </is>
      </c>
      <c r="E608">
        <f>HYPERLINK("https://www.britishcycling.org.uk/points?person_id=646060&amp;year=2021&amp;type=national&amp;d=6","Results")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41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Paul Lloyd</t>
        </is>
      </c>
      <c r="C2" t="inlineStr">
        <is>
          <t>Banjo Cycles/Raceware</t>
        </is>
      </c>
      <c r="D2" t="inlineStr">
        <is>
          <t>1034</t>
        </is>
      </c>
      <c r="E2">
        <f>HYPERLINK("https://www.britishcycling.org.uk/points?person_id=64633&amp;year=2021&amp;type=national&amp;d=6","Results")</f>
        <v/>
      </c>
    </row>
    <row r="3">
      <c r="A3" t="inlineStr">
        <is>
          <t>2</t>
        </is>
      </c>
      <c r="B3" t="inlineStr">
        <is>
          <t>David Earth</t>
        </is>
      </c>
      <c r="C3" t="inlineStr">
        <is>
          <t>Rose Race Team</t>
        </is>
      </c>
      <c r="D3" t="inlineStr">
        <is>
          <t>882</t>
        </is>
      </c>
      <c r="E3">
        <f>HYPERLINK("https://www.britishcycling.org.uk/points?person_id=63660&amp;year=2021&amp;type=national&amp;d=6","Results")</f>
        <v/>
      </c>
    </row>
    <row r="4">
      <c r="A4" t="inlineStr">
        <is>
          <t>3</t>
        </is>
      </c>
      <c r="B4" t="inlineStr">
        <is>
          <t>Adrian Lansley</t>
        </is>
      </c>
      <c r="C4" t="inlineStr">
        <is>
          <t>Pedalon.co.uk</t>
        </is>
      </c>
      <c r="D4" t="inlineStr">
        <is>
          <t>732</t>
        </is>
      </c>
      <c r="E4">
        <f>HYPERLINK("https://www.britishcycling.org.uk/points?person_id=29240&amp;year=2021&amp;type=national&amp;d=6","Results")</f>
        <v/>
      </c>
    </row>
    <row r="5">
      <c r="A5" t="inlineStr">
        <is>
          <t>4</t>
        </is>
      </c>
      <c r="B5" t="inlineStr">
        <is>
          <t>Ian Taylor</t>
        </is>
      </c>
      <c r="C5" t="inlineStr">
        <is>
          <t>Shibden Cycling Club</t>
        </is>
      </c>
      <c r="D5" t="inlineStr">
        <is>
          <t>639</t>
        </is>
      </c>
      <c r="E5">
        <f>HYPERLINK("https://www.britishcycling.org.uk/points?person_id=30980&amp;year=2021&amp;type=national&amp;d=6","Results")</f>
        <v/>
      </c>
    </row>
    <row r="6">
      <c r="A6" t="inlineStr">
        <is>
          <t>5</t>
        </is>
      </c>
      <c r="B6" t="inlineStr">
        <is>
          <t>Stephen Gibson</t>
        </is>
      </c>
      <c r="C6" t="inlineStr">
        <is>
          <t>4T+ Cyclopark</t>
        </is>
      </c>
      <c r="D6" t="inlineStr">
        <is>
          <t>632</t>
        </is>
      </c>
      <c r="E6">
        <f>HYPERLINK("https://www.britishcycling.org.uk/points?person_id=325174&amp;year=2021&amp;type=national&amp;d=6","Results")</f>
        <v/>
      </c>
    </row>
    <row r="7">
      <c r="A7" t="inlineStr">
        <is>
          <t>6</t>
        </is>
      </c>
      <c r="B7" t="inlineStr">
        <is>
          <t>Tony Fawcett</t>
        </is>
      </c>
      <c r="C7" t="inlineStr">
        <is>
          <t>SCOTT Racing</t>
        </is>
      </c>
      <c r="D7" t="inlineStr">
        <is>
          <t>602</t>
        </is>
      </c>
      <c r="E7">
        <f>HYPERLINK("https://www.britishcycling.org.uk/points?person_id=17723&amp;year=2021&amp;type=national&amp;d=6","Results")</f>
        <v/>
      </c>
    </row>
    <row r="8">
      <c r="A8" t="inlineStr">
        <is>
          <t>7</t>
        </is>
      </c>
      <c r="B8" t="inlineStr">
        <is>
          <t>Paul Oldham</t>
        </is>
      </c>
      <c r="C8" t="inlineStr">
        <is>
          <t>Hope Factory Racing</t>
        </is>
      </c>
      <c r="D8" t="inlineStr">
        <is>
          <t>530</t>
        </is>
      </c>
      <c r="E8">
        <f>HYPERLINK("https://www.britishcycling.org.uk/points?person_id=7344&amp;year=2021&amp;type=national&amp;d=6","Results")</f>
        <v/>
      </c>
    </row>
    <row r="9">
      <c r="A9" t="inlineStr">
        <is>
          <t>8</t>
        </is>
      </c>
      <c r="B9" t="inlineStr">
        <is>
          <t>Dave Powell</t>
        </is>
      </c>
      <c r="C9" t="inlineStr">
        <is>
          <t>Horwich CC</t>
        </is>
      </c>
      <c r="D9" t="inlineStr">
        <is>
          <t>530</t>
        </is>
      </c>
      <c r="E9">
        <f>HYPERLINK("https://www.britishcycling.org.uk/points?person_id=169425&amp;year=2021&amp;type=national&amp;d=6","Results")</f>
        <v/>
      </c>
    </row>
    <row r="10">
      <c r="A10" t="inlineStr">
        <is>
          <t>9</t>
        </is>
      </c>
      <c r="B10" t="inlineStr">
        <is>
          <t>Robert Jebb</t>
        </is>
      </c>
      <c r="C10" t="inlineStr">
        <is>
          <t>Hope Factory Racing</t>
        </is>
      </c>
      <c r="D10" t="inlineStr">
        <is>
          <t>520</t>
        </is>
      </c>
      <c r="E10">
        <f>HYPERLINK("https://www.britishcycling.org.uk/points?person_id=39724&amp;year=2021&amp;type=national&amp;d=6","Results")</f>
        <v/>
      </c>
    </row>
    <row r="11">
      <c r="A11" t="inlineStr">
        <is>
          <t>10</t>
        </is>
      </c>
      <c r="B11" t="inlineStr">
        <is>
          <t>Daniel Guest</t>
        </is>
      </c>
      <c r="C11" t="inlineStr">
        <is>
          <t>Morvelo Magspeed Racing</t>
        </is>
      </c>
      <c r="D11" t="inlineStr">
        <is>
          <t>499</t>
        </is>
      </c>
      <c r="E11">
        <f>HYPERLINK("https://www.britishcycling.org.uk/points?person_id=20406&amp;year=2021&amp;type=national&amp;d=6","Results")</f>
        <v/>
      </c>
    </row>
    <row r="12">
      <c r="A12" t="inlineStr">
        <is>
          <t>11</t>
        </is>
      </c>
      <c r="B12" t="inlineStr">
        <is>
          <t>James Allaway</t>
        </is>
      </c>
      <c r="C12" t="inlineStr">
        <is>
          <t>Pedalon.co.uk</t>
        </is>
      </c>
      <c r="D12" t="inlineStr">
        <is>
          <t>467</t>
        </is>
      </c>
      <c r="E12">
        <f>HYPERLINK("https://www.britishcycling.org.uk/points?person_id=323426&amp;year=2021&amp;type=national&amp;d=6","Results")</f>
        <v/>
      </c>
    </row>
    <row r="13">
      <c r="A13" t="inlineStr">
        <is>
          <t>12</t>
        </is>
      </c>
      <c r="B13" t="inlineStr">
        <is>
          <t>Jules Birks</t>
        </is>
      </c>
      <c r="C13" t="inlineStr">
        <is>
          <t>VC Londres</t>
        </is>
      </c>
      <c r="D13" t="inlineStr">
        <is>
          <t>450</t>
        </is>
      </c>
      <c r="E13">
        <f>HYPERLINK("https://www.britishcycling.org.uk/points?person_id=7809&amp;year=2021&amp;type=national&amp;d=6","Results")</f>
        <v/>
      </c>
    </row>
    <row r="14">
      <c r="A14" t="inlineStr">
        <is>
          <t>13</t>
        </is>
      </c>
      <c r="B14" t="inlineStr">
        <is>
          <t>Andrew Wearing</t>
        </is>
      </c>
      <c r="C14" t="inlineStr">
        <is>
          <t>Kenilworth Wheelers CC</t>
        </is>
      </c>
      <c r="D14" t="inlineStr">
        <is>
          <t>408</t>
        </is>
      </c>
      <c r="E14">
        <f>HYPERLINK("https://www.britishcycling.org.uk/points?person_id=9842&amp;year=2021&amp;type=national&amp;d=6","Results")</f>
        <v/>
      </c>
    </row>
    <row r="15">
      <c r="A15" t="inlineStr">
        <is>
          <t>14</t>
        </is>
      </c>
      <c r="B15" t="inlineStr">
        <is>
          <t>James Thompson</t>
        </is>
      </c>
      <c r="C15" t="inlineStr">
        <is>
          <t>Rutland CC</t>
        </is>
      </c>
      <c r="D15" t="inlineStr">
        <is>
          <t>407</t>
        </is>
      </c>
      <c r="E15">
        <f>HYPERLINK("https://www.britishcycling.org.uk/points?person_id=14968&amp;year=2021&amp;type=national&amp;d=6","Results")</f>
        <v/>
      </c>
    </row>
    <row r="16">
      <c r="A16" t="inlineStr">
        <is>
          <t>15</t>
        </is>
      </c>
      <c r="B16" t="inlineStr">
        <is>
          <t>Gareth Whittall</t>
        </is>
      </c>
      <c r="C16" t="inlineStr"/>
      <c r="D16" t="inlineStr">
        <is>
          <t>406</t>
        </is>
      </c>
      <c r="E16">
        <f>HYPERLINK("https://www.britishcycling.org.uk/points?person_id=721&amp;year=2021&amp;type=national&amp;d=6","Results")</f>
        <v/>
      </c>
    </row>
    <row r="17">
      <c r="A17" t="inlineStr">
        <is>
          <t>16</t>
        </is>
      </c>
      <c r="B17" t="inlineStr">
        <is>
          <t>Richard Middleton</t>
        </is>
      </c>
      <c r="C17" t="inlineStr">
        <is>
          <t>Shibden Cycling Club</t>
        </is>
      </c>
      <c r="D17" t="inlineStr">
        <is>
          <t>403</t>
        </is>
      </c>
      <c r="E17">
        <f>HYPERLINK("https://www.britishcycling.org.uk/points?person_id=315217&amp;year=2021&amp;type=national&amp;d=6","Results")</f>
        <v/>
      </c>
    </row>
    <row r="18">
      <c r="A18" t="inlineStr">
        <is>
          <t>17</t>
        </is>
      </c>
      <c r="B18" t="inlineStr">
        <is>
          <t>Chris Ames</t>
        </is>
      </c>
      <c r="C18" t="inlineStr">
        <is>
          <t>Machen Miggly Moos MTB Club</t>
        </is>
      </c>
      <c r="D18" t="inlineStr">
        <is>
          <t>402</t>
        </is>
      </c>
      <c r="E18">
        <f>HYPERLINK("https://www.britishcycling.org.uk/points?person_id=12397&amp;year=2021&amp;type=national&amp;d=6","Results")</f>
        <v/>
      </c>
    </row>
    <row r="19">
      <c r="A19" t="inlineStr">
        <is>
          <t>18</t>
        </is>
      </c>
      <c r="B19" t="inlineStr">
        <is>
          <t>Ed Moseley</t>
        </is>
      </c>
      <c r="C19" t="inlineStr">
        <is>
          <t>Malvern Cycle Sport</t>
        </is>
      </c>
      <c r="D19" t="inlineStr">
        <is>
          <t>400</t>
        </is>
      </c>
      <c r="E19">
        <f>HYPERLINK("https://www.britishcycling.org.uk/points?person_id=76157&amp;year=2021&amp;type=national&amp;d=6","Results")</f>
        <v/>
      </c>
    </row>
    <row r="20">
      <c r="A20" t="inlineStr">
        <is>
          <t>19</t>
        </is>
      </c>
      <c r="B20" t="inlineStr">
        <is>
          <t>Lewis Craven</t>
        </is>
      </c>
      <c r="C20" t="inlineStr">
        <is>
          <t>Wheelbase CabTech Castelli</t>
        </is>
      </c>
      <c r="D20" t="inlineStr">
        <is>
          <t>394</t>
        </is>
      </c>
      <c r="E20">
        <f>HYPERLINK("https://www.britishcycling.org.uk/points?person_id=79292&amp;year=2021&amp;type=national&amp;d=6","Results")</f>
        <v/>
      </c>
    </row>
    <row r="21">
      <c r="A21" t="inlineStr">
        <is>
          <t>20</t>
        </is>
      </c>
      <c r="B21" t="inlineStr">
        <is>
          <t>Mark Preston</t>
        </is>
      </c>
      <c r="C21" t="inlineStr">
        <is>
          <t>PainTrain Lincoln</t>
        </is>
      </c>
      <c r="D21" t="inlineStr">
        <is>
          <t>388</t>
        </is>
      </c>
      <c r="E21">
        <f>HYPERLINK("https://www.britishcycling.org.uk/points?person_id=73475&amp;year=2021&amp;type=national&amp;d=6","Results")</f>
        <v/>
      </c>
    </row>
    <row r="22">
      <c r="A22" t="inlineStr">
        <is>
          <t>21</t>
        </is>
      </c>
      <c r="B22" t="inlineStr">
        <is>
          <t>Matthew Webber</t>
        </is>
      </c>
      <c r="C22" t="inlineStr">
        <is>
          <t>Forest Side Riders</t>
        </is>
      </c>
      <c r="D22" t="inlineStr">
        <is>
          <t>355</t>
        </is>
      </c>
      <c r="E22">
        <f>HYPERLINK("https://www.britishcycling.org.uk/points?person_id=25714&amp;year=2021&amp;type=national&amp;d=6","Results")</f>
        <v/>
      </c>
    </row>
    <row r="23">
      <c r="A23" t="inlineStr">
        <is>
          <t>22</t>
        </is>
      </c>
      <c r="B23" t="inlineStr">
        <is>
          <t>Philip Holwell</t>
        </is>
      </c>
      <c r="C23" t="inlineStr">
        <is>
          <t>Peak Road Club</t>
        </is>
      </c>
      <c r="D23" t="inlineStr">
        <is>
          <t>349</t>
        </is>
      </c>
      <c r="E23">
        <f>HYPERLINK("https://www.britishcycling.org.uk/points?person_id=20732&amp;year=2021&amp;type=national&amp;d=6","Results")</f>
        <v/>
      </c>
    </row>
    <row r="24">
      <c r="A24" t="inlineStr">
        <is>
          <t>23</t>
        </is>
      </c>
      <c r="B24" t="inlineStr">
        <is>
          <t>Ben Eedy</t>
        </is>
      </c>
      <c r="C24" t="inlineStr">
        <is>
          <t>Team Empella Cyclo-Cross.Com</t>
        </is>
      </c>
      <c r="D24" t="inlineStr">
        <is>
          <t>348</t>
        </is>
      </c>
      <c r="E24">
        <f>HYPERLINK("https://www.britishcycling.org.uk/points?person_id=47407&amp;year=2021&amp;type=national&amp;d=6","Results")</f>
        <v/>
      </c>
    </row>
    <row r="25">
      <c r="A25" t="inlineStr">
        <is>
          <t>24</t>
        </is>
      </c>
      <c r="B25" t="inlineStr">
        <is>
          <t>James Dear</t>
        </is>
      </c>
      <c r="C25" t="inlineStr">
        <is>
          <t>Destination Bike RT</t>
        </is>
      </c>
      <c r="D25" t="inlineStr">
        <is>
          <t>345</t>
        </is>
      </c>
      <c r="E25">
        <f>HYPERLINK("https://www.britishcycling.org.uk/points?person_id=71029&amp;year=2021&amp;type=national&amp;d=6","Results")</f>
        <v/>
      </c>
    </row>
    <row r="26">
      <c r="A26" t="inlineStr">
        <is>
          <t>25</t>
        </is>
      </c>
      <c r="B26" t="inlineStr">
        <is>
          <t>Stuart Pryce</t>
        </is>
      </c>
      <c r="C26" t="inlineStr">
        <is>
          <t>DAP Cycling Club</t>
        </is>
      </c>
      <c r="D26" t="inlineStr">
        <is>
          <t>338</t>
        </is>
      </c>
      <c r="E26">
        <f>HYPERLINK("https://www.britishcycling.org.uk/points?person_id=63785&amp;year=2021&amp;type=national&amp;d=6","Results")</f>
        <v/>
      </c>
    </row>
    <row r="27">
      <c r="A27" t="inlineStr">
        <is>
          <t>26</t>
        </is>
      </c>
      <c r="B27" t="inlineStr">
        <is>
          <t>Jason Painton</t>
        </is>
      </c>
      <c r="C27" t="inlineStr">
        <is>
          <t>Cotswold Cycles RT</t>
        </is>
      </c>
      <c r="D27" t="inlineStr">
        <is>
          <t>332</t>
        </is>
      </c>
      <c r="E27">
        <f>HYPERLINK("https://www.britishcycling.org.uk/points?person_id=29009&amp;year=2021&amp;type=national&amp;d=6","Results")</f>
        <v/>
      </c>
    </row>
    <row r="28">
      <c r="A28" t="inlineStr">
        <is>
          <t>27</t>
        </is>
      </c>
      <c r="B28" t="inlineStr">
        <is>
          <t>Dean Hitchings</t>
        </is>
      </c>
      <c r="C28" t="inlineStr">
        <is>
          <t>Cotswold Cycles RT</t>
        </is>
      </c>
      <c r="D28" t="inlineStr">
        <is>
          <t>325</t>
        </is>
      </c>
      <c r="E28">
        <f>HYPERLINK("https://www.britishcycling.org.uk/points?person_id=15620&amp;year=2021&amp;type=national&amp;d=6","Results")</f>
        <v/>
      </c>
    </row>
    <row r="29">
      <c r="A29" t="inlineStr">
        <is>
          <t>28</t>
        </is>
      </c>
      <c r="B29" t="inlineStr">
        <is>
          <t>Bartlomiej Kieres</t>
        </is>
      </c>
      <c r="C29" t="inlineStr">
        <is>
          <t>Bourne Whls CC</t>
        </is>
      </c>
      <c r="D29" t="inlineStr">
        <is>
          <t>315</t>
        </is>
      </c>
      <c r="E29">
        <f>HYPERLINK("https://www.britishcycling.org.uk/points?person_id=55360&amp;year=2021&amp;type=national&amp;d=6","Results")</f>
        <v/>
      </c>
    </row>
    <row r="30">
      <c r="A30" t="inlineStr">
        <is>
          <t>29</t>
        </is>
      </c>
      <c r="B30" t="inlineStr">
        <is>
          <t>Crispin Doyle</t>
        </is>
      </c>
      <c r="C30" t="inlineStr">
        <is>
          <t>Montezuma's Race Team</t>
        </is>
      </c>
      <c r="D30" t="inlineStr">
        <is>
          <t>308</t>
        </is>
      </c>
      <c r="E30">
        <f>HYPERLINK("https://www.britishcycling.org.uk/points?person_id=3157&amp;year=2021&amp;type=national&amp;d=6","Results")</f>
        <v/>
      </c>
    </row>
    <row r="31">
      <c r="A31" t="inlineStr">
        <is>
          <t>30</t>
        </is>
      </c>
      <c r="B31" t="inlineStr">
        <is>
          <t>Graeme Wardale</t>
        </is>
      </c>
      <c r="C31" t="inlineStr">
        <is>
          <t>South Shields Velo Cycling Club</t>
        </is>
      </c>
      <c r="D31" t="inlineStr">
        <is>
          <t>307</t>
        </is>
      </c>
      <c r="E31">
        <f>HYPERLINK("https://www.britishcycling.org.uk/points?person_id=563310&amp;year=2021&amp;type=national&amp;d=6","Results")</f>
        <v/>
      </c>
    </row>
    <row r="32">
      <c r="A32" t="inlineStr">
        <is>
          <t>31</t>
        </is>
      </c>
      <c r="B32" t="inlineStr">
        <is>
          <t>Simon Burgess</t>
        </is>
      </c>
      <c r="C32" t="inlineStr">
        <is>
          <t>Bristol CX</t>
        </is>
      </c>
      <c r="D32" t="inlineStr">
        <is>
          <t>306</t>
        </is>
      </c>
      <c r="E32">
        <f>HYPERLINK("https://www.britishcycling.org.uk/points?person_id=3985&amp;year=2021&amp;type=national&amp;d=6","Results")</f>
        <v/>
      </c>
    </row>
    <row r="33">
      <c r="A33" t="inlineStr">
        <is>
          <t>32</t>
        </is>
      </c>
      <c r="B33" t="inlineStr">
        <is>
          <t>David Spencer</t>
        </is>
      </c>
      <c r="C33" t="inlineStr">
        <is>
          <t>Velo Club Venta</t>
        </is>
      </c>
      <c r="D33" t="inlineStr">
        <is>
          <t>303</t>
        </is>
      </c>
      <c r="E33">
        <f>HYPERLINK("https://www.britishcycling.org.uk/points?person_id=311966&amp;year=2021&amp;type=national&amp;d=6","Results")</f>
        <v/>
      </c>
    </row>
    <row r="34">
      <c r="A34" t="inlineStr">
        <is>
          <t>33</t>
        </is>
      </c>
      <c r="B34" t="inlineStr">
        <is>
          <t>Roger Prior</t>
        </is>
      </c>
      <c r="C34" t="inlineStr">
        <is>
          <t>Team Empella Cyclo-Cross.Com</t>
        </is>
      </c>
      <c r="D34" t="inlineStr">
        <is>
          <t>291</t>
        </is>
      </c>
      <c r="E34">
        <f>HYPERLINK("https://www.britishcycling.org.uk/points?person_id=107121&amp;year=2021&amp;type=national&amp;d=6","Results")</f>
        <v/>
      </c>
    </row>
    <row r="35">
      <c r="A35" t="inlineStr">
        <is>
          <t>34</t>
        </is>
      </c>
      <c r="B35" t="inlineStr">
        <is>
          <t>Matt J Smith</t>
        </is>
      </c>
      <c r="C35" t="inlineStr">
        <is>
          <t>WDMBC</t>
        </is>
      </c>
      <c r="D35" t="inlineStr">
        <is>
          <t>272</t>
        </is>
      </c>
      <c r="E35">
        <f>HYPERLINK("https://www.britishcycling.org.uk/points?person_id=458925&amp;year=2021&amp;type=national&amp;d=6","Results")</f>
        <v/>
      </c>
    </row>
    <row r="36">
      <c r="A36" t="inlineStr">
        <is>
          <t>35</t>
        </is>
      </c>
      <c r="B36" t="inlineStr">
        <is>
          <t>Darryl Thomas</t>
        </is>
      </c>
      <c r="C36" t="inlineStr">
        <is>
          <t>INFLITE</t>
        </is>
      </c>
      <c r="D36" t="inlineStr">
        <is>
          <t>272</t>
        </is>
      </c>
      <c r="E36">
        <f>HYPERLINK("https://www.britishcycling.org.uk/points?person_id=840532&amp;year=2021&amp;type=national&amp;d=6","Results")</f>
        <v/>
      </c>
    </row>
    <row r="37">
      <c r="A37" t="inlineStr">
        <is>
          <t>36</t>
        </is>
      </c>
      <c r="B37" t="inlineStr">
        <is>
          <t>Glenn Davey</t>
        </is>
      </c>
      <c r="C37" t="inlineStr">
        <is>
          <t>Fast Test Racing Team</t>
        </is>
      </c>
      <c r="D37" t="inlineStr">
        <is>
          <t>266</t>
        </is>
      </c>
      <c r="E37">
        <f>HYPERLINK("https://www.britishcycling.org.uk/points?person_id=370578&amp;year=2021&amp;type=national&amp;d=6","Results")</f>
        <v/>
      </c>
    </row>
    <row r="38">
      <c r="A38" t="inlineStr">
        <is>
          <t>37</t>
        </is>
      </c>
      <c r="B38" t="inlineStr">
        <is>
          <t>Simon Askham</t>
        </is>
      </c>
      <c r="C38" t="inlineStr">
        <is>
          <t>Welland Valley CC</t>
        </is>
      </c>
      <c r="D38" t="inlineStr">
        <is>
          <t>264</t>
        </is>
      </c>
      <c r="E38">
        <f>HYPERLINK("https://www.britishcycling.org.uk/points?person_id=207233&amp;year=2021&amp;type=national&amp;d=6","Results")</f>
        <v/>
      </c>
    </row>
    <row r="39">
      <c r="A39" t="inlineStr">
        <is>
          <t>38</t>
        </is>
      </c>
      <c r="B39" t="inlineStr">
        <is>
          <t>Alan Nixon</t>
        </is>
      </c>
      <c r="C39" t="inlineStr">
        <is>
          <t>Fietsen Tempo</t>
        </is>
      </c>
      <c r="D39" t="inlineStr">
        <is>
          <t>252</t>
        </is>
      </c>
      <c r="E39">
        <f>HYPERLINK("https://www.britishcycling.org.uk/points?person_id=63568&amp;year=2021&amp;type=national&amp;d=6","Results")</f>
        <v/>
      </c>
    </row>
    <row r="40">
      <c r="A40" t="inlineStr">
        <is>
          <t>39</t>
        </is>
      </c>
      <c r="B40" t="inlineStr">
        <is>
          <t>Andrew Taylor</t>
        </is>
      </c>
      <c r="C40" t="inlineStr">
        <is>
          <t>Destination Bike RT</t>
        </is>
      </c>
      <c r="D40" t="inlineStr">
        <is>
          <t>250</t>
        </is>
      </c>
      <c r="E40">
        <f>HYPERLINK("https://www.britishcycling.org.uk/points?person_id=52929&amp;year=2021&amp;type=national&amp;d=6","Results")</f>
        <v/>
      </c>
    </row>
    <row r="41">
      <c r="A41" t="inlineStr">
        <is>
          <t>40</t>
        </is>
      </c>
      <c r="B41" t="inlineStr">
        <is>
          <t>Steven Ward</t>
        </is>
      </c>
      <c r="C41" t="inlineStr">
        <is>
          <t>Velo Culture</t>
        </is>
      </c>
      <c r="D41" t="inlineStr">
        <is>
          <t>242</t>
        </is>
      </c>
      <c r="E41">
        <f>HYPERLINK("https://www.britishcycling.org.uk/points?person_id=49215&amp;year=2021&amp;type=national&amp;d=6","Results")</f>
        <v/>
      </c>
    </row>
    <row r="42">
      <c r="A42" t="inlineStr">
        <is>
          <t>41</t>
        </is>
      </c>
      <c r="B42" t="inlineStr">
        <is>
          <t>Geoffrey Lulham</t>
        </is>
      </c>
      <c r="C42" t="inlineStr">
        <is>
          <t>Paceline RT</t>
        </is>
      </c>
      <c r="D42" t="inlineStr">
        <is>
          <t>238</t>
        </is>
      </c>
      <c r="E42">
        <f>HYPERLINK("https://www.britishcycling.org.uk/points?person_id=14945&amp;year=2021&amp;type=national&amp;d=6","Results")</f>
        <v/>
      </c>
    </row>
    <row r="43">
      <c r="A43" t="inlineStr">
        <is>
          <t>42</t>
        </is>
      </c>
      <c r="B43" t="inlineStr">
        <is>
          <t>James Moore</t>
        </is>
      </c>
      <c r="C43" t="inlineStr">
        <is>
          <t>Welland Valley CC</t>
        </is>
      </c>
      <c r="D43" t="inlineStr">
        <is>
          <t>235</t>
        </is>
      </c>
      <c r="E43">
        <f>HYPERLINK("https://www.britishcycling.org.uk/points?person_id=48778&amp;year=2021&amp;type=national&amp;d=6","Results")</f>
        <v/>
      </c>
    </row>
    <row r="44">
      <c r="A44" t="inlineStr">
        <is>
          <t>43</t>
        </is>
      </c>
      <c r="B44" t="inlineStr">
        <is>
          <t>Josh Gregory</t>
        </is>
      </c>
      <c r="C44" t="inlineStr">
        <is>
          <t>VC Deal</t>
        </is>
      </c>
      <c r="D44" t="inlineStr">
        <is>
          <t>234</t>
        </is>
      </c>
      <c r="E44">
        <f>HYPERLINK("https://www.britishcycling.org.uk/points?person_id=59611&amp;year=2021&amp;type=national&amp;d=6","Results")</f>
        <v/>
      </c>
    </row>
    <row r="45">
      <c r="A45" t="inlineStr">
        <is>
          <t>44</t>
        </is>
      </c>
      <c r="B45" t="inlineStr">
        <is>
          <t>Steve Wood</t>
        </is>
      </c>
      <c r="C45" t="inlineStr">
        <is>
          <t>Ellmore Factory Racing</t>
        </is>
      </c>
      <c r="D45" t="inlineStr">
        <is>
          <t>234</t>
        </is>
      </c>
      <c r="E45">
        <f>HYPERLINK("https://www.britishcycling.org.uk/points?person_id=121731&amp;year=2021&amp;type=national&amp;d=6","Results")</f>
        <v/>
      </c>
    </row>
    <row r="46">
      <c r="A46" t="inlineStr">
        <is>
          <t>45</t>
        </is>
      </c>
      <c r="B46" t="inlineStr">
        <is>
          <t>Oliver Yates</t>
        </is>
      </c>
      <c r="C46" t="inlineStr">
        <is>
          <t>Southfork Racing.co.uk</t>
        </is>
      </c>
      <c r="D46" t="inlineStr">
        <is>
          <t>234</t>
        </is>
      </c>
      <c r="E46">
        <f>HYPERLINK("https://www.britishcycling.org.uk/points?person_id=132173&amp;year=2021&amp;type=national&amp;d=6","Results")</f>
        <v/>
      </c>
    </row>
    <row r="47">
      <c r="A47" t="inlineStr">
        <is>
          <t>46</t>
        </is>
      </c>
      <c r="B47" t="inlineStr">
        <is>
          <t>Iain Robertson</t>
        </is>
      </c>
      <c r="C47" t="inlineStr">
        <is>
          <t>EpicOrange Race Team</t>
        </is>
      </c>
      <c r="D47" t="inlineStr">
        <is>
          <t>233</t>
        </is>
      </c>
      <c r="E47">
        <f>HYPERLINK("https://www.britishcycling.org.uk/points?person_id=631552&amp;year=2021&amp;type=national&amp;d=6","Results")</f>
        <v/>
      </c>
    </row>
    <row r="48">
      <c r="A48" t="inlineStr">
        <is>
          <t>47</t>
        </is>
      </c>
      <c r="B48" t="inlineStr">
        <is>
          <t>David Lines</t>
        </is>
      </c>
      <c r="C48" t="inlineStr">
        <is>
          <t>Wheelbase CabTech Castelli</t>
        </is>
      </c>
      <c r="D48" t="inlineStr">
        <is>
          <t>228</t>
        </is>
      </c>
      <c r="E48">
        <f>HYPERLINK("https://www.britishcycling.org.uk/points?person_id=27371&amp;year=2021&amp;type=national&amp;d=6","Results")</f>
        <v/>
      </c>
    </row>
    <row r="49">
      <c r="A49" t="inlineStr">
        <is>
          <t>48</t>
        </is>
      </c>
      <c r="B49" t="inlineStr">
        <is>
          <t>Tim Guy</t>
        </is>
      </c>
      <c r="C49" t="inlineStr">
        <is>
          <t>Norwich Racing Team</t>
        </is>
      </c>
      <c r="D49" t="inlineStr">
        <is>
          <t>223</t>
        </is>
      </c>
      <c r="E49">
        <f>HYPERLINK("https://www.britishcycling.org.uk/points?person_id=71003&amp;year=2021&amp;type=national&amp;d=6","Results")</f>
        <v/>
      </c>
    </row>
    <row r="50">
      <c r="A50" t="inlineStr">
        <is>
          <t>49</t>
        </is>
      </c>
      <c r="B50" t="inlineStr">
        <is>
          <t>Colin Miller</t>
        </is>
      </c>
      <c r="C50" t="inlineStr">
        <is>
          <t>Ride Coventry</t>
        </is>
      </c>
      <c r="D50" t="inlineStr">
        <is>
          <t>220</t>
        </is>
      </c>
      <c r="E50">
        <f>HYPERLINK("https://www.britishcycling.org.uk/points?person_id=8174&amp;year=2021&amp;type=national&amp;d=6","Results")</f>
        <v/>
      </c>
    </row>
    <row r="51">
      <c r="A51" t="inlineStr">
        <is>
          <t>50</t>
        </is>
      </c>
      <c r="B51" t="inlineStr">
        <is>
          <t>Phillip Craker</t>
        </is>
      </c>
      <c r="C51" t="inlineStr">
        <is>
          <t>Barrow Central Wheelers</t>
        </is>
      </c>
      <c r="D51" t="inlineStr">
        <is>
          <t>219</t>
        </is>
      </c>
      <c r="E51">
        <f>HYPERLINK("https://www.britishcycling.org.uk/points?person_id=177968&amp;year=2021&amp;type=national&amp;d=6","Results")</f>
        <v/>
      </c>
    </row>
    <row r="52">
      <c r="A52" t="inlineStr">
        <is>
          <t>51</t>
        </is>
      </c>
      <c r="B52" t="inlineStr">
        <is>
          <t>Mark Perry</t>
        </is>
      </c>
      <c r="C52" t="inlineStr">
        <is>
          <t>ViCiOUS VELO</t>
        </is>
      </c>
      <c r="D52" t="inlineStr">
        <is>
          <t>218</t>
        </is>
      </c>
      <c r="E52">
        <f>HYPERLINK("https://www.britishcycling.org.uk/points?person_id=18896&amp;year=2021&amp;type=national&amp;d=6","Results")</f>
        <v/>
      </c>
    </row>
    <row r="53">
      <c r="A53" t="inlineStr">
        <is>
          <t>52</t>
        </is>
      </c>
      <c r="B53" t="inlineStr">
        <is>
          <t>Philip Simcock</t>
        </is>
      </c>
      <c r="C53" t="inlineStr">
        <is>
          <t>Team JMC</t>
        </is>
      </c>
      <c r="D53" t="inlineStr">
        <is>
          <t>217</t>
        </is>
      </c>
      <c r="E53">
        <f>HYPERLINK("https://www.britishcycling.org.uk/points?person_id=107592&amp;year=2021&amp;type=national&amp;d=6","Results")</f>
        <v/>
      </c>
    </row>
    <row r="54">
      <c r="A54" t="inlineStr">
        <is>
          <t>53</t>
        </is>
      </c>
      <c r="B54" t="inlineStr">
        <is>
          <t>Tom Budden</t>
        </is>
      </c>
      <c r="C54" t="inlineStr">
        <is>
          <t>Sotonia CC</t>
        </is>
      </c>
      <c r="D54" t="inlineStr">
        <is>
          <t>216</t>
        </is>
      </c>
      <c r="E54">
        <f>HYPERLINK("https://www.britishcycling.org.uk/points?person_id=34557&amp;year=2021&amp;type=national&amp;d=6","Results")</f>
        <v/>
      </c>
    </row>
    <row r="55">
      <c r="A55" t="inlineStr">
        <is>
          <t>54</t>
        </is>
      </c>
      <c r="B55" t="inlineStr">
        <is>
          <t>Ian Crocker</t>
        </is>
      </c>
      <c r="C55" t="inlineStr">
        <is>
          <t>Sotonia CC</t>
        </is>
      </c>
      <c r="D55" t="inlineStr">
        <is>
          <t>214</t>
        </is>
      </c>
      <c r="E55">
        <f>HYPERLINK("https://www.britishcycling.org.uk/points?person_id=727816&amp;year=2021&amp;type=national&amp;d=6","Results")</f>
        <v/>
      </c>
    </row>
    <row r="56">
      <c r="A56" t="inlineStr">
        <is>
          <t>55</t>
        </is>
      </c>
      <c r="B56" t="inlineStr">
        <is>
          <t>Brian Stanley</t>
        </is>
      </c>
      <c r="C56" t="inlineStr"/>
      <c r="D56" t="inlineStr">
        <is>
          <t>209</t>
        </is>
      </c>
      <c r="E56">
        <f>HYPERLINK("https://www.britishcycling.org.uk/points?person_id=73163&amp;year=2021&amp;type=national&amp;d=6","Results")</f>
        <v/>
      </c>
    </row>
    <row r="57">
      <c r="A57" t="inlineStr">
        <is>
          <t>56</t>
        </is>
      </c>
      <c r="B57" t="inlineStr">
        <is>
          <t>Matthew Wakefield</t>
        </is>
      </c>
      <c r="C57" t="inlineStr"/>
      <c r="D57" t="inlineStr">
        <is>
          <t>209</t>
        </is>
      </c>
      <c r="E57">
        <f>HYPERLINK("https://www.britishcycling.org.uk/points?person_id=51266&amp;year=2021&amp;type=national&amp;d=6","Results")</f>
        <v/>
      </c>
    </row>
    <row r="58">
      <c r="A58" t="inlineStr">
        <is>
          <t>57</t>
        </is>
      </c>
      <c r="B58" t="inlineStr">
        <is>
          <t>Jorge Ribeiro Manso</t>
        </is>
      </c>
      <c r="C58" t="inlineStr">
        <is>
          <t>Velo Club Venta</t>
        </is>
      </c>
      <c r="D58" t="inlineStr">
        <is>
          <t>206</t>
        </is>
      </c>
      <c r="E58">
        <f>HYPERLINK("https://www.britishcycling.org.uk/points?person_id=191595&amp;year=2021&amp;type=national&amp;d=6","Results")</f>
        <v/>
      </c>
    </row>
    <row r="59">
      <c r="A59" t="inlineStr">
        <is>
          <t>58</t>
        </is>
      </c>
      <c r="B59" t="inlineStr">
        <is>
          <t>Andy Collis</t>
        </is>
      </c>
      <c r="C59" t="inlineStr">
        <is>
          <t>Cero - Cycle Division Racing Team</t>
        </is>
      </c>
      <c r="D59" t="inlineStr">
        <is>
          <t>205</t>
        </is>
      </c>
      <c r="E59">
        <f>HYPERLINK("https://www.britishcycling.org.uk/points?person_id=78013&amp;year=2021&amp;type=national&amp;d=6","Results")</f>
        <v/>
      </c>
    </row>
    <row r="60">
      <c r="A60" t="inlineStr">
        <is>
          <t>59</t>
        </is>
      </c>
      <c r="B60" t="inlineStr">
        <is>
          <t>Richard Shephard</t>
        </is>
      </c>
      <c r="C60" t="inlineStr">
        <is>
          <t>Stratford CC</t>
        </is>
      </c>
      <c r="D60" t="inlineStr">
        <is>
          <t>202</t>
        </is>
      </c>
      <c r="E60">
        <f>HYPERLINK("https://www.britishcycling.org.uk/points?person_id=274680&amp;year=2021&amp;type=national&amp;d=6","Results")</f>
        <v/>
      </c>
    </row>
    <row r="61">
      <c r="A61" t="inlineStr">
        <is>
          <t>60</t>
        </is>
      </c>
      <c r="B61" t="inlineStr">
        <is>
          <t>Chris Buchan</t>
        </is>
      </c>
      <c r="C61" t="inlineStr">
        <is>
          <t>Pentland Racers</t>
        </is>
      </c>
      <c r="D61" t="inlineStr">
        <is>
          <t>200</t>
        </is>
      </c>
      <c r="E61">
        <f>HYPERLINK("https://www.britishcycling.org.uk/points?person_id=187577&amp;year=2021&amp;type=national&amp;d=6","Results")</f>
        <v/>
      </c>
    </row>
    <row r="62">
      <c r="A62" t="inlineStr">
        <is>
          <t>61</t>
        </is>
      </c>
      <c r="B62" t="inlineStr">
        <is>
          <t>Bill Bell</t>
        </is>
      </c>
      <c r="C62" t="inlineStr">
        <is>
          <t>Bigfoot CC</t>
        </is>
      </c>
      <c r="D62" t="inlineStr">
        <is>
          <t>194</t>
        </is>
      </c>
      <c r="E62">
        <f>HYPERLINK("https://www.britishcycling.org.uk/points?person_id=369502&amp;year=2021&amp;type=national&amp;d=6","Results")</f>
        <v/>
      </c>
    </row>
    <row r="63">
      <c r="A63" t="inlineStr">
        <is>
          <t>62</t>
        </is>
      </c>
      <c r="B63" t="inlineStr">
        <is>
          <t>Jan Grosicki</t>
        </is>
      </c>
      <c r="C63" t="inlineStr">
        <is>
          <t>Sussex Revolution Velo Club</t>
        </is>
      </c>
      <c r="D63" t="inlineStr">
        <is>
          <t>194</t>
        </is>
      </c>
      <c r="E63">
        <f>HYPERLINK("https://www.britishcycling.org.uk/points?person_id=532332&amp;year=2021&amp;type=national&amp;d=6","Results")</f>
        <v/>
      </c>
    </row>
    <row r="64">
      <c r="A64" t="inlineStr">
        <is>
          <t>63</t>
        </is>
      </c>
      <c r="B64" t="inlineStr">
        <is>
          <t>Martin Kennedy</t>
        </is>
      </c>
      <c r="C64" t="inlineStr">
        <is>
          <t>Ellmore Factory Racing</t>
        </is>
      </c>
      <c r="D64" t="inlineStr">
        <is>
          <t>191</t>
        </is>
      </c>
      <c r="E64">
        <f>HYPERLINK("https://www.britishcycling.org.uk/points?person_id=48856&amp;year=2021&amp;type=national&amp;d=6","Results")</f>
        <v/>
      </c>
    </row>
    <row r="65">
      <c r="A65" t="inlineStr">
        <is>
          <t>64</t>
        </is>
      </c>
      <c r="B65" t="inlineStr">
        <is>
          <t>Mark Robbins</t>
        </is>
      </c>
      <c r="C65" t="inlineStr">
        <is>
          <t>Scunthorpe Polytechnic CC</t>
        </is>
      </c>
      <c r="D65" t="inlineStr">
        <is>
          <t>190</t>
        </is>
      </c>
      <c r="E65">
        <f>HYPERLINK("https://www.britishcycling.org.uk/points?person_id=108057&amp;year=2021&amp;type=national&amp;d=6","Results")</f>
        <v/>
      </c>
    </row>
    <row r="66">
      <c r="A66" t="inlineStr">
        <is>
          <t>65</t>
        </is>
      </c>
      <c r="B66" t="inlineStr">
        <is>
          <t>Mike Moss</t>
        </is>
      </c>
      <c r="C66" t="inlineStr">
        <is>
          <t>Clifton CC</t>
        </is>
      </c>
      <c r="D66" t="inlineStr">
        <is>
          <t>188</t>
        </is>
      </c>
      <c r="E66">
        <f>HYPERLINK("https://www.britishcycling.org.uk/points?person_id=6318&amp;year=2021&amp;type=national&amp;d=6","Results")</f>
        <v/>
      </c>
    </row>
    <row r="67">
      <c r="A67" t="inlineStr">
        <is>
          <t>66</t>
        </is>
      </c>
      <c r="B67" t="inlineStr">
        <is>
          <t>Keith Watson</t>
        </is>
      </c>
      <c r="C67" t="inlineStr">
        <is>
          <t>VC Deal</t>
        </is>
      </c>
      <c r="D67" t="inlineStr">
        <is>
          <t>188</t>
        </is>
      </c>
      <c r="E67">
        <f>HYPERLINK("https://www.britishcycling.org.uk/points?person_id=248933&amp;year=2021&amp;type=national&amp;d=6","Results")</f>
        <v/>
      </c>
    </row>
    <row r="68">
      <c r="A68" t="inlineStr">
        <is>
          <t>67</t>
        </is>
      </c>
      <c r="B68" t="inlineStr">
        <is>
          <t>Nigel Wood</t>
        </is>
      </c>
      <c r="C68" t="inlineStr">
        <is>
          <t>Kendal Cycle Club</t>
        </is>
      </c>
      <c r="D68" t="inlineStr">
        <is>
          <t>187</t>
        </is>
      </c>
      <c r="E68">
        <f>HYPERLINK("https://www.britishcycling.org.uk/points?person_id=471945&amp;year=2021&amp;type=national&amp;d=6","Results")</f>
        <v/>
      </c>
    </row>
    <row r="69">
      <c r="A69" t="inlineStr">
        <is>
          <t>68</t>
        </is>
      </c>
      <c r="B69" t="inlineStr">
        <is>
          <t>Mark Powell</t>
        </is>
      </c>
      <c r="C69" t="inlineStr">
        <is>
          <t>Fast Test Racing Team</t>
        </is>
      </c>
      <c r="D69" t="inlineStr">
        <is>
          <t>186</t>
        </is>
      </c>
      <c r="E69">
        <f>HYPERLINK("https://www.britishcycling.org.uk/points?person_id=3235&amp;year=2021&amp;type=national&amp;d=6","Results")</f>
        <v/>
      </c>
    </row>
    <row r="70">
      <c r="A70" t="inlineStr">
        <is>
          <t>69</t>
        </is>
      </c>
      <c r="B70" t="inlineStr">
        <is>
          <t>Paul Elcock</t>
        </is>
      </c>
      <c r="C70" t="inlineStr">
        <is>
          <t>AS Test Team</t>
        </is>
      </c>
      <c r="D70" t="inlineStr">
        <is>
          <t>184</t>
        </is>
      </c>
      <c r="E70">
        <f>HYPERLINK("https://www.britishcycling.org.uk/points?person_id=37607&amp;year=2021&amp;type=national&amp;d=6","Results")</f>
        <v/>
      </c>
    </row>
    <row r="71">
      <c r="A71" t="inlineStr">
        <is>
          <t>70</t>
        </is>
      </c>
      <c r="B71" t="inlineStr">
        <is>
          <t>Arwel Davies</t>
        </is>
      </c>
      <c r="C71" t="inlineStr">
        <is>
          <t>Towy Riders</t>
        </is>
      </c>
      <c r="D71" t="inlineStr">
        <is>
          <t>180</t>
        </is>
      </c>
      <c r="E71">
        <f>HYPERLINK("https://www.britishcycling.org.uk/points?person_id=26403&amp;year=2021&amp;type=national&amp;d=6","Results")</f>
        <v/>
      </c>
    </row>
    <row r="72">
      <c r="A72" t="inlineStr">
        <is>
          <t>71</t>
        </is>
      </c>
      <c r="B72" t="inlineStr">
        <is>
          <t>Richard Knowles</t>
        </is>
      </c>
      <c r="C72" t="inlineStr"/>
      <c r="D72" t="inlineStr">
        <is>
          <t>180</t>
        </is>
      </c>
      <c r="E72">
        <f>HYPERLINK("https://www.britishcycling.org.uk/points?person_id=128523&amp;year=2021&amp;type=national&amp;d=6","Results")</f>
        <v/>
      </c>
    </row>
    <row r="73">
      <c r="A73" t="inlineStr">
        <is>
          <t>72</t>
        </is>
      </c>
      <c r="B73" t="inlineStr">
        <is>
          <t>Jason Killiner</t>
        </is>
      </c>
      <c r="C73" t="inlineStr">
        <is>
          <t>Pontypool RCC</t>
        </is>
      </c>
      <c r="D73" t="inlineStr">
        <is>
          <t>179</t>
        </is>
      </c>
      <c r="E73">
        <f>HYPERLINK("https://www.britishcycling.org.uk/points?person_id=216677&amp;year=2021&amp;type=national&amp;d=6","Results")</f>
        <v/>
      </c>
    </row>
    <row r="74">
      <c r="A74" t="inlineStr">
        <is>
          <t>73</t>
        </is>
      </c>
      <c r="B74" t="inlineStr">
        <is>
          <t>Stuart Nisbett</t>
        </is>
      </c>
      <c r="C74" t="inlineStr">
        <is>
          <t>Crawley Wheelers</t>
        </is>
      </c>
      <c r="D74" t="inlineStr">
        <is>
          <t>177</t>
        </is>
      </c>
      <c r="E74">
        <f>HYPERLINK("https://www.britishcycling.org.uk/points?person_id=55337&amp;year=2021&amp;type=national&amp;d=6","Results")</f>
        <v/>
      </c>
    </row>
    <row r="75">
      <c r="A75" t="inlineStr">
        <is>
          <t>74</t>
        </is>
      </c>
      <c r="B75" t="inlineStr">
        <is>
          <t>Grant Leavy</t>
        </is>
      </c>
      <c r="C75" t="inlineStr">
        <is>
          <t>Tîm Beicio IBE</t>
        </is>
      </c>
      <c r="D75" t="inlineStr">
        <is>
          <t>175</t>
        </is>
      </c>
      <c r="E75">
        <f>HYPERLINK("https://www.britishcycling.org.uk/points?person_id=60579&amp;year=2021&amp;type=national&amp;d=6","Results")</f>
        <v/>
      </c>
    </row>
    <row r="76">
      <c r="A76" t="inlineStr">
        <is>
          <t>75</t>
        </is>
      </c>
      <c r="B76" t="inlineStr">
        <is>
          <t>Robert Purcell</t>
        </is>
      </c>
      <c r="C76" t="inlineStr"/>
      <c r="D76" t="inlineStr">
        <is>
          <t>174</t>
        </is>
      </c>
      <c r="E76">
        <f>HYPERLINK("https://www.britishcycling.org.uk/points?person_id=57072&amp;year=2021&amp;type=national&amp;d=6","Results")</f>
        <v/>
      </c>
    </row>
    <row r="77">
      <c r="A77" t="inlineStr">
        <is>
          <t>76</t>
        </is>
      </c>
      <c r="B77" t="inlineStr">
        <is>
          <t>Simon Snowden</t>
        </is>
      </c>
      <c r="C77" t="inlineStr">
        <is>
          <t>73Degrees CC</t>
        </is>
      </c>
      <c r="D77" t="inlineStr">
        <is>
          <t>168</t>
        </is>
      </c>
      <c r="E77">
        <f>HYPERLINK("https://www.britishcycling.org.uk/points?person_id=51615&amp;year=2021&amp;type=national&amp;d=6","Results")</f>
        <v/>
      </c>
    </row>
    <row r="78">
      <c r="A78" t="inlineStr">
        <is>
          <t>77</t>
        </is>
      </c>
      <c r="B78" t="inlineStr">
        <is>
          <t>Malcolm Gray</t>
        </is>
      </c>
      <c r="C78" t="inlineStr">
        <is>
          <t>Cestria CC</t>
        </is>
      </c>
      <c r="D78" t="inlineStr">
        <is>
          <t>164</t>
        </is>
      </c>
      <c r="E78">
        <f>HYPERLINK("https://www.britishcycling.org.uk/points?person_id=280221&amp;year=2021&amp;type=national&amp;d=6","Results")</f>
        <v/>
      </c>
    </row>
    <row r="79">
      <c r="A79" t="inlineStr">
        <is>
          <t>78</t>
        </is>
      </c>
      <c r="B79" t="inlineStr">
        <is>
          <t>Matthew Lewis</t>
        </is>
      </c>
      <c r="C79" t="inlineStr">
        <is>
          <t>Abergavenny Road Club</t>
        </is>
      </c>
      <c r="D79" t="inlineStr">
        <is>
          <t>164</t>
        </is>
      </c>
      <c r="E79">
        <f>HYPERLINK("https://www.britishcycling.org.uk/points?person_id=13187&amp;year=2021&amp;type=national&amp;d=6","Results")</f>
        <v/>
      </c>
    </row>
    <row r="80">
      <c r="A80" t="inlineStr">
        <is>
          <t>79</t>
        </is>
      </c>
      <c r="B80" t="inlineStr">
        <is>
          <t>Paul Colling</t>
        </is>
      </c>
      <c r="C80" t="inlineStr">
        <is>
          <t>Shibden Cycling Club</t>
        </is>
      </c>
      <c r="D80" t="inlineStr">
        <is>
          <t>159</t>
        </is>
      </c>
      <c r="E80">
        <f>HYPERLINK("https://www.britishcycling.org.uk/points?person_id=232665&amp;year=2021&amp;type=national&amp;d=6","Results")</f>
        <v/>
      </c>
    </row>
    <row r="81">
      <c r="A81" t="inlineStr">
        <is>
          <t>80</t>
        </is>
      </c>
      <c r="B81" t="inlineStr">
        <is>
          <t>Morgan Donnelly</t>
        </is>
      </c>
      <c r="C81" t="inlineStr">
        <is>
          <t>Kendal Cycle Club</t>
        </is>
      </c>
      <c r="D81" t="inlineStr">
        <is>
          <t>158</t>
        </is>
      </c>
      <c r="E81">
        <f>HYPERLINK("https://www.britishcycling.org.uk/points?person_id=34789&amp;year=2021&amp;type=national&amp;d=6","Results")</f>
        <v/>
      </c>
    </row>
    <row r="82">
      <c r="A82" t="inlineStr">
        <is>
          <t>81</t>
        </is>
      </c>
      <c r="B82" t="inlineStr">
        <is>
          <t>Lee Morgan</t>
        </is>
      </c>
      <c r="C82" t="inlineStr">
        <is>
          <t>Team Bottrill</t>
        </is>
      </c>
      <c r="D82" t="inlineStr">
        <is>
          <t>156</t>
        </is>
      </c>
      <c r="E82">
        <f>HYPERLINK("https://www.britishcycling.org.uk/points?person_id=651730&amp;year=2021&amp;type=national&amp;d=6","Results")</f>
        <v/>
      </c>
    </row>
    <row r="83">
      <c r="A83" t="inlineStr">
        <is>
          <t>82</t>
        </is>
      </c>
      <c r="B83" t="inlineStr">
        <is>
          <t>Matthew Worrallo</t>
        </is>
      </c>
      <c r="C83" t="inlineStr">
        <is>
          <t>Halesowen A &amp; CC</t>
        </is>
      </c>
      <c r="D83" t="inlineStr">
        <is>
          <t>156</t>
        </is>
      </c>
      <c r="E83">
        <f>HYPERLINK("https://www.britishcycling.org.uk/points?person_id=140289&amp;year=2021&amp;type=national&amp;d=6","Results")</f>
        <v/>
      </c>
    </row>
    <row r="84">
      <c r="A84" t="inlineStr">
        <is>
          <t>83</t>
        </is>
      </c>
      <c r="B84" t="inlineStr">
        <is>
          <t>Glyndwr Griffiths</t>
        </is>
      </c>
      <c r="C84" t="inlineStr">
        <is>
          <t>73Degrees CC</t>
        </is>
      </c>
      <c r="D84" t="inlineStr">
        <is>
          <t>150</t>
        </is>
      </c>
      <c r="E84">
        <f>HYPERLINK("https://www.britishcycling.org.uk/points?person_id=63645&amp;year=2021&amp;type=national&amp;d=6","Results")</f>
        <v/>
      </c>
    </row>
    <row r="85">
      <c r="A85" t="inlineStr">
        <is>
          <t>84</t>
        </is>
      </c>
      <c r="B85" t="inlineStr">
        <is>
          <t>Dave Allen</t>
        </is>
      </c>
      <c r="C85" t="inlineStr">
        <is>
          <t>Alford Wheelers</t>
        </is>
      </c>
      <c r="D85" t="inlineStr">
        <is>
          <t>149</t>
        </is>
      </c>
      <c r="E85">
        <f>HYPERLINK("https://www.britishcycling.org.uk/points?person_id=172366&amp;year=2021&amp;type=national&amp;d=6","Results")</f>
        <v/>
      </c>
    </row>
    <row r="86">
      <c r="A86" t="inlineStr">
        <is>
          <t>85</t>
        </is>
      </c>
      <c r="B86" t="inlineStr">
        <is>
          <t>Kevin Heywood</t>
        </is>
      </c>
      <c r="C86" t="inlineStr">
        <is>
          <t>Holsworthy Peloton</t>
        </is>
      </c>
      <c r="D86" t="inlineStr">
        <is>
          <t>149</t>
        </is>
      </c>
      <c r="E86">
        <f>HYPERLINK("https://www.britishcycling.org.uk/points?person_id=531957&amp;year=2021&amp;type=national&amp;d=6","Results")</f>
        <v/>
      </c>
    </row>
    <row r="87">
      <c r="A87" t="inlineStr">
        <is>
          <t>86</t>
        </is>
      </c>
      <c r="B87" t="inlineStr">
        <is>
          <t>David Morris</t>
        </is>
      </c>
      <c r="C87" t="inlineStr">
        <is>
          <t>Harrogate Nova CC</t>
        </is>
      </c>
      <c r="D87" t="inlineStr">
        <is>
          <t>148</t>
        </is>
      </c>
      <c r="E87">
        <f>HYPERLINK("https://www.britishcycling.org.uk/points?person_id=29364&amp;year=2021&amp;type=national&amp;d=6","Results")</f>
        <v/>
      </c>
    </row>
    <row r="88">
      <c r="A88" t="inlineStr">
        <is>
          <t>87</t>
        </is>
      </c>
      <c r="B88" t="inlineStr">
        <is>
          <t>Richard Morgan</t>
        </is>
      </c>
      <c r="C88" t="inlineStr">
        <is>
          <t>Cardiff Ajax CC</t>
        </is>
      </c>
      <c r="D88" t="inlineStr">
        <is>
          <t>145</t>
        </is>
      </c>
      <c r="E88">
        <f>HYPERLINK("https://www.britishcycling.org.uk/points?person_id=107762&amp;year=2021&amp;type=national&amp;d=6","Results")</f>
        <v/>
      </c>
    </row>
    <row r="89">
      <c r="A89" t="inlineStr">
        <is>
          <t>88</t>
        </is>
      </c>
      <c r="B89" t="inlineStr">
        <is>
          <t>Stuart Baldwin</t>
        </is>
      </c>
      <c r="C89" t="inlineStr">
        <is>
          <t>CX Cartel</t>
        </is>
      </c>
      <c r="D89" t="inlineStr">
        <is>
          <t>144</t>
        </is>
      </c>
      <c r="E89">
        <f>HYPERLINK("https://www.britishcycling.org.uk/points?person_id=6766&amp;year=2021&amp;type=national&amp;d=6","Results")</f>
        <v/>
      </c>
    </row>
    <row r="90">
      <c r="A90" t="inlineStr">
        <is>
          <t>89</t>
        </is>
      </c>
      <c r="B90" t="inlineStr">
        <is>
          <t>Matt Waters</t>
        </is>
      </c>
      <c r="C90" t="inlineStr">
        <is>
          <t>Army Cycling Union</t>
        </is>
      </c>
      <c r="D90" t="inlineStr">
        <is>
          <t>143</t>
        </is>
      </c>
      <c r="E90">
        <f>HYPERLINK("https://www.britishcycling.org.uk/points?person_id=217137&amp;year=2021&amp;type=national&amp;d=6","Results")</f>
        <v/>
      </c>
    </row>
    <row r="91">
      <c r="A91" t="inlineStr">
        <is>
          <t>90</t>
        </is>
      </c>
      <c r="B91" t="inlineStr">
        <is>
          <t>Malcolm Bain</t>
        </is>
      </c>
      <c r="C91" t="inlineStr">
        <is>
          <t>Granite City RT</t>
        </is>
      </c>
      <c r="D91" t="inlineStr">
        <is>
          <t>142</t>
        </is>
      </c>
      <c r="E91">
        <f>HYPERLINK("https://www.britishcycling.org.uk/points?person_id=372693&amp;year=2021&amp;type=national&amp;d=6","Results")</f>
        <v/>
      </c>
    </row>
    <row r="92">
      <c r="A92" t="inlineStr">
        <is>
          <t>91</t>
        </is>
      </c>
      <c r="B92" t="inlineStr">
        <is>
          <t>Jonathan Gregory</t>
        </is>
      </c>
      <c r="C92" t="inlineStr"/>
      <c r="D92" t="inlineStr">
        <is>
          <t>141</t>
        </is>
      </c>
      <c r="E92">
        <f>HYPERLINK("https://www.britishcycling.org.uk/points?person_id=107184&amp;year=2021&amp;type=national&amp;d=6","Results")</f>
        <v/>
      </c>
    </row>
    <row r="93">
      <c r="A93" t="inlineStr">
        <is>
          <t>92</t>
        </is>
      </c>
      <c r="B93" t="inlineStr">
        <is>
          <t>Benjamin Caine</t>
        </is>
      </c>
      <c r="C93" t="inlineStr">
        <is>
          <t>Dynamic Rides CC</t>
        </is>
      </c>
      <c r="D93" t="inlineStr">
        <is>
          <t>140</t>
        </is>
      </c>
      <c r="E93">
        <f>HYPERLINK("https://www.britishcycling.org.uk/points?person_id=101996&amp;year=2021&amp;type=national&amp;d=6","Results")</f>
        <v/>
      </c>
    </row>
    <row r="94">
      <c r="A94" t="inlineStr">
        <is>
          <t>93</t>
        </is>
      </c>
      <c r="B94" t="inlineStr">
        <is>
          <t>Ross Litherland</t>
        </is>
      </c>
      <c r="C94" t="inlineStr">
        <is>
          <t>Horwich CC</t>
        </is>
      </c>
      <c r="D94" t="inlineStr">
        <is>
          <t>140</t>
        </is>
      </c>
      <c r="E94">
        <f>HYPERLINK("https://www.britishcycling.org.uk/points?person_id=200603&amp;year=2021&amp;type=national&amp;d=6","Results")</f>
        <v/>
      </c>
    </row>
    <row r="95">
      <c r="A95" t="inlineStr">
        <is>
          <t>94</t>
        </is>
      </c>
      <c r="B95" t="inlineStr">
        <is>
          <t>Dominic Rorke</t>
        </is>
      </c>
      <c r="C95" t="inlineStr">
        <is>
          <t>Didcot Phoenix CC</t>
        </is>
      </c>
      <c r="D95" t="inlineStr">
        <is>
          <t>139</t>
        </is>
      </c>
      <c r="E95">
        <f>HYPERLINK("https://www.britishcycling.org.uk/points?person_id=524367&amp;year=2021&amp;type=national&amp;d=6","Results")</f>
        <v/>
      </c>
    </row>
    <row r="96">
      <c r="A96" t="inlineStr">
        <is>
          <t>95</t>
        </is>
      </c>
      <c r="B96" t="inlineStr">
        <is>
          <t>Mark Stanley</t>
        </is>
      </c>
      <c r="C96" t="inlineStr">
        <is>
          <t>Pedal Power Loughborough</t>
        </is>
      </c>
      <c r="D96" t="inlineStr">
        <is>
          <t>139</t>
        </is>
      </c>
      <c r="E96">
        <f>HYPERLINK("https://www.britishcycling.org.uk/points?person_id=34634&amp;year=2021&amp;type=national&amp;d=6","Results")</f>
        <v/>
      </c>
    </row>
    <row r="97">
      <c r="A97" t="inlineStr">
        <is>
          <t>96</t>
        </is>
      </c>
      <c r="B97" t="inlineStr">
        <is>
          <t>Phil Marsden</t>
        </is>
      </c>
      <c r="C97" t="inlineStr">
        <is>
          <t>Horwich CC</t>
        </is>
      </c>
      <c r="D97" t="inlineStr">
        <is>
          <t>138</t>
        </is>
      </c>
      <c r="E97">
        <f>HYPERLINK("https://www.britishcycling.org.uk/points?person_id=776741&amp;year=2021&amp;type=national&amp;d=6","Results")</f>
        <v/>
      </c>
    </row>
    <row r="98">
      <c r="A98" t="inlineStr">
        <is>
          <t>97</t>
        </is>
      </c>
      <c r="B98" t="inlineStr">
        <is>
          <t>James Sharp</t>
        </is>
      </c>
      <c r="C98" t="inlineStr">
        <is>
          <t>Rapha Cycling Club</t>
        </is>
      </c>
      <c r="D98" t="inlineStr">
        <is>
          <t>138</t>
        </is>
      </c>
      <c r="E98">
        <f>HYPERLINK("https://www.britishcycling.org.uk/points?person_id=68389&amp;year=2021&amp;type=national&amp;d=6","Results")</f>
        <v/>
      </c>
    </row>
    <row r="99">
      <c r="A99" t="inlineStr">
        <is>
          <t>98</t>
        </is>
      </c>
      <c r="B99" t="inlineStr">
        <is>
          <t>Alan Gunner</t>
        </is>
      </c>
      <c r="C99" t="inlineStr">
        <is>
          <t>Verulam CC</t>
        </is>
      </c>
      <c r="D99" t="inlineStr">
        <is>
          <t>137</t>
        </is>
      </c>
      <c r="E99">
        <f>HYPERLINK("https://www.britishcycling.org.uk/points?person_id=875411&amp;year=2021&amp;type=national&amp;d=6","Results")</f>
        <v/>
      </c>
    </row>
    <row r="100">
      <c r="A100" t="inlineStr">
        <is>
          <t>99</t>
        </is>
      </c>
      <c r="B100" t="inlineStr">
        <is>
          <t>Mike Jackson</t>
        </is>
      </c>
      <c r="C100" t="inlineStr">
        <is>
          <t>CC Luton</t>
        </is>
      </c>
      <c r="D100" t="inlineStr">
        <is>
          <t>136</t>
        </is>
      </c>
      <c r="E100">
        <f>HYPERLINK("https://www.britishcycling.org.uk/points?person_id=61134&amp;year=2021&amp;type=national&amp;d=6","Results")</f>
        <v/>
      </c>
    </row>
    <row r="101">
      <c r="A101" t="inlineStr">
        <is>
          <t>100</t>
        </is>
      </c>
      <c r="B101" t="inlineStr">
        <is>
          <t>Nick Drew</t>
        </is>
      </c>
      <c r="C101" t="inlineStr">
        <is>
          <t>Dyson Cycles</t>
        </is>
      </c>
      <c r="D101" t="inlineStr">
        <is>
          <t>134</t>
        </is>
      </c>
      <c r="E101">
        <f>HYPERLINK("https://www.britishcycling.org.uk/points?person_id=24300&amp;year=2021&amp;type=national&amp;d=6","Results")</f>
        <v/>
      </c>
    </row>
    <row r="102">
      <c r="A102" t="inlineStr">
        <is>
          <t>101</t>
        </is>
      </c>
      <c r="B102" t="inlineStr">
        <is>
          <t>Gary Spencer</t>
        </is>
      </c>
      <c r="C102" t="inlineStr">
        <is>
          <t>Shibden Cycling Club</t>
        </is>
      </c>
      <c r="D102" t="inlineStr">
        <is>
          <t>134</t>
        </is>
      </c>
      <c r="E102">
        <f>HYPERLINK("https://www.britishcycling.org.uk/points?person_id=942473&amp;year=2021&amp;type=national&amp;d=6","Results")</f>
        <v/>
      </c>
    </row>
    <row r="103">
      <c r="A103" t="inlineStr">
        <is>
          <t>102</t>
        </is>
      </c>
      <c r="B103" t="inlineStr">
        <is>
          <t>Philip Coad</t>
        </is>
      </c>
      <c r="C103" t="inlineStr"/>
      <c r="D103" t="inlineStr">
        <is>
          <t>130</t>
        </is>
      </c>
      <c r="E103">
        <f>HYPERLINK("https://www.britishcycling.org.uk/points?person_id=45039&amp;year=2021&amp;type=national&amp;d=6","Results")</f>
        <v/>
      </c>
    </row>
    <row r="104">
      <c r="A104" t="inlineStr">
        <is>
          <t>103</t>
        </is>
      </c>
      <c r="B104" t="inlineStr">
        <is>
          <t>Bill Nickson</t>
        </is>
      </c>
      <c r="C104" t="inlineStr"/>
      <c r="D104" t="inlineStr">
        <is>
          <t>130</t>
        </is>
      </c>
      <c r="E104">
        <f>HYPERLINK("https://www.britishcycling.org.uk/points?person_id=79278&amp;year=2021&amp;type=national&amp;d=6","Results")</f>
        <v/>
      </c>
    </row>
    <row r="105">
      <c r="A105" t="inlineStr">
        <is>
          <t>104</t>
        </is>
      </c>
      <c r="B105" t="inlineStr">
        <is>
          <t>Hans van Nierop</t>
        </is>
      </c>
      <c r="C105" t="inlineStr">
        <is>
          <t>Welland Valley CC</t>
        </is>
      </c>
      <c r="D105" t="inlineStr">
        <is>
          <t>130</t>
        </is>
      </c>
      <c r="E105">
        <f>HYPERLINK("https://www.britishcycling.org.uk/points?person_id=25794&amp;year=2021&amp;type=national&amp;d=6","Results")</f>
        <v/>
      </c>
    </row>
    <row r="106">
      <c r="A106" t="inlineStr">
        <is>
          <t>105</t>
        </is>
      </c>
      <c r="B106" t="inlineStr">
        <is>
          <t>Robert Moore</t>
        </is>
      </c>
      <c r="C106" t="inlineStr">
        <is>
          <t>Welland Valley CC</t>
        </is>
      </c>
      <c r="D106" t="inlineStr">
        <is>
          <t>129</t>
        </is>
      </c>
      <c r="E106">
        <f>HYPERLINK("https://www.britishcycling.org.uk/points?person_id=181012&amp;year=2021&amp;type=national&amp;d=6","Results")</f>
        <v/>
      </c>
    </row>
    <row r="107">
      <c r="A107" t="inlineStr">
        <is>
          <t>106</t>
        </is>
      </c>
      <c r="B107" t="inlineStr">
        <is>
          <t>Scot Easter</t>
        </is>
      </c>
      <c r="C107" t="inlineStr">
        <is>
          <t>Morvelo Magspeed Racing</t>
        </is>
      </c>
      <c r="D107" t="inlineStr">
        <is>
          <t>127</t>
        </is>
      </c>
      <c r="E107">
        <f>HYPERLINK("https://www.britishcycling.org.uk/points?person_id=10213&amp;year=2021&amp;type=national&amp;d=6","Results")</f>
        <v/>
      </c>
    </row>
    <row r="108">
      <c r="A108" t="inlineStr">
        <is>
          <t>107</t>
        </is>
      </c>
      <c r="B108" t="inlineStr">
        <is>
          <t>Matthew Loake</t>
        </is>
      </c>
      <c r="C108" t="inlineStr">
        <is>
          <t>Southfork Racing.co.uk</t>
        </is>
      </c>
      <c r="D108" t="inlineStr">
        <is>
          <t>127</t>
        </is>
      </c>
      <c r="E108">
        <f>HYPERLINK("https://www.britishcycling.org.uk/points?person_id=51080&amp;year=2021&amp;type=national&amp;d=6","Results")</f>
        <v/>
      </c>
    </row>
    <row r="109">
      <c r="A109" t="inlineStr">
        <is>
          <t>108</t>
        </is>
      </c>
      <c r="B109" t="inlineStr">
        <is>
          <t>Douglas Cameron</t>
        </is>
      </c>
      <c r="C109" t="inlineStr"/>
      <c r="D109" t="inlineStr">
        <is>
          <t>126</t>
        </is>
      </c>
      <c r="E109">
        <f>HYPERLINK("https://www.britishcycling.org.uk/points?person_id=68115&amp;year=2021&amp;type=national&amp;d=6","Results")</f>
        <v/>
      </c>
    </row>
    <row r="110">
      <c r="A110" t="inlineStr">
        <is>
          <t>109</t>
        </is>
      </c>
      <c r="B110" t="inlineStr">
        <is>
          <t>Phil Cook</t>
        </is>
      </c>
      <c r="C110" t="inlineStr">
        <is>
          <t>Velo Culture</t>
        </is>
      </c>
      <c r="D110" t="inlineStr">
        <is>
          <t>125</t>
        </is>
      </c>
      <c r="E110">
        <f>HYPERLINK("https://www.britishcycling.org.uk/points?person_id=300318&amp;year=2021&amp;type=national&amp;d=6","Results")</f>
        <v/>
      </c>
    </row>
    <row r="111">
      <c r="A111" t="inlineStr">
        <is>
          <t>110</t>
        </is>
      </c>
      <c r="B111" t="inlineStr">
        <is>
          <t>Rob Hope</t>
        </is>
      </c>
      <c r="C111" t="inlineStr">
        <is>
          <t>Chorley Cycling Club</t>
        </is>
      </c>
      <c r="D111" t="inlineStr">
        <is>
          <t>123</t>
        </is>
      </c>
      <c r="E111">
        <f>HYPERLINK("https://www.britishcycling.org.uk/points?person_id=124720&amp;year=2021&amp;type=national&amp;d=6","Results")</f>
        <v/>
      </c>
    </row>
    <row r="112">
      <c r="A112" t="inlineStr">
        <is>
          <t>111</t>
        </is>
      </c>
      <c r="B112" t="inlineStr">
        <is>
          <t>Mike Brunsdon</t>
        </is>
      </c>
      <c r="C112" t="inlineStr">
        <is>
          <t>Morvelo Magspeed Racing</t>
        </is>
      </c>
      <c r="D112" t="inlineStr">
        <is>
          <t>122</t>
        </is>
      </c>
      <c r="E112">
        <f>HYPERLINK("https://www.britishcycling.org.uk/points?person_id=77260&amp;year=2021&amp;type=national&amp;d=6","Results")</f>
        <v/>
      </c>
    </row>
    <row r="113">
      <c r="A113" t="inlineStr">
        <is>
          <t>112</t>
        </is>
      </c>
      <c r="B113" t="inlineStr">
        <is>
          <t>Mark Field</t>
        </is>
      </c>
      <c r="C113" t="inlineStr"/>
      <c r="D113" t="inlineStr">
        <is>
          <t>122</t>
        </is>
      </c>
      <c r="E113">
        <f>HYPERLINK("https://www.britishcycling.org.uk/points?person_id=28561&amp;year=2021&amp;type=national&amp;d=6","Results")</f>
        <v/>
      </c>
    </row>
    <row r="114">
      <c r="A114" t="inlineStr">
        <is>
          <t>113</t>
        </is>
      </c>
      <c r="B114" t="inlineStr">
        <is>
          <t>Daniel Baines</t>
        </is>
      </c>
      <c r="C114" t="inlineStr">
        <is>
          <t>C and N Cycles RT</t>
        </is>
      </c>
      <c r="D114" t="inlineStr">
        <is>
          <t>121</t>
        </is>
      </c>
      <c r="E114">
        <f>HYPERLINK("https://www.britishcycling.org.uk/points?person_id=103378&amp;year=2021&amp;type=national&amp;d=6","Results")</f>
        <v/>
      </c>
    </row>
    <row r="115">
      <c r="A115" t="inlineStr">
        <is>
          <t>114</t>
        </is>
      </c>
      <c r="B115" t="inlineStr">
        <is>
          <t>Rory West</t>
        </is>
      </c>
      <c r="C115" t="inlineStr">
        <is>
          <t>Pankhurst Cycles</t>
        </is>
      </c>
      <c r="D115" t="inlineStr">
        <is>
          <t>121</t>
        </is>
      </c>
      <c r="E115">
        <f>HYPERLINK("https://www.britishcycling.org.uk/points?person_id=24153&amp;year=2021&amp;type=national&amp;d=6","Results")</f>
        <v/>
      </c>
    </row>
    <row r="116">
      <c r="A116" t="inlineStr">
        <is>
          <t>115</t>
        </is>
      </c>
      <c r="B116" t="inlineStr">
        <is>
          <t>George Hackney</t>
        </is>
      </c>
      <c r="C116" t="inlineStr">
        <is>
          <t>PainTrain Lincoln</t>
        </is>
      </c>
      <c r="D116" t="inlineStr">
        <is>
          <t>118</t>
        </is>
      </c>
      <c r="E116">
        <f>HYPERLINK("https://www.britishcycling.org.uk/points?person_id=101905&amp;year=2021&amp;type=national&amp;d=6","Results")</f>
        <v/>
      </c>
    </row>
    <row r="117">
      <c r="A117" t="inlineStr">
        <is>
          <t>116</t>
        </is>
      </c>
      <c r="B117" t="inlineStr">
        <is>
          <t>Simon Gibbs</t>
        </is>
      </c>
      <c r="C117" t="inlineStr">
        <is>
          <t>Reifen Racing</t>
        </is>
      </c>
      <c r="D117" t="inlineStr">
        <is>
          <t>117</t>
        </is>
      </c>
      <c r="E117">
        <f>HYPERLINK("https://www.britishcycling.org.uk/points?person_id=376605&amp;year=2021&amp;type=national&amp;d=6","Results")</f>
        <v/>
      </c>
    </row>
    <row r="118">
      <c r="A118" t="inlineStr">
        <is>
          <t>117</t>
        </is>
      </c>
      <c r="B118" t="inlineStr">
        <is>
          <t>Benjamin Lewis</t>
        </is>
      </c>
      <c r="C118" t="inlineStr">
        <is>
          <t>Forest Side Riders</t>
        </is>
      </c>
      <c r="D118" t="inlineStr">
        <is>
          <t>116</t>
        </is>
      </c>
      <c r="E118">
        <f>HYPERLINK("https://www.britishcycling.org.uk/points?person_id=72548&amp;year=2021&amp;type=national&amp;d=6","Results")</f>
        <v/>
      </c>
    </row>
    <row r="119">
      <c r="A119" t="inlineStr">
        <is>
          <t>118</t>
        </is>
      </c>
      <c r="B119" t="inlineStr">
        <is>
          <t>Lee Hayward</t>
        </is>
      </c>
      <c r="C119" t="inlineStr">
        <is>
          <t>Orbea Racing Team</t>
        </is>
      </c>
      <c r="D119" t="inlineStr">
        <is>
          <t>114</t>
        </is>
      </c>
      <c r="E119">
        <f>HYPERLINK("https://www.britishcycling.org.uk/points?person_id=120601&amp;year=2021&amp;type=national&amp;d=6","Results")</f>
        <v/>
      </c>
    </row>
    <row r="120">
      <c r="A120" t="inlineStr">
        <is>
          <t>119</t>
        </is>
      </c>
      <c r="B120" t="inlineStr">
        <is>
          <t>Dave Wilby</t>
        </is>
      </c>
      <c r="C120" t="inlineStr">
        <is>
          <t>Ilkley Cycling Club</t>
        </is>
      </c>
      <c r="D120" t="inlineStr">
        <is>
          <t>114</t>
        </is>
      </c>
      <c r="E120">
        <f>HYPERLINK("https://www.britishcycling.org.uk/points?person_id=342331&amp;year=2021&amp;type=national&amp;d=6","Results")</f>
        <v/>
      </c>
    </row>
    <row r="121">
      <c r="A121" t="inlineStr">
        <is>
          <t>120</t>
        </is>
      </c>
      <c r="B121" t="inlineStr">
        <is>
          <t>Keith Randle</t>
        </is>
      </c>
      <c r="C121" t="inlineStr">
        <is>
          <t>Amisvelo Racing Team</t>
        </is>
      </c>
      <c r="D121" t="inlineStr">
        <is>
          <t>113</t>
        </is>
      </c>
      <c r="E121">
        <f>HYPERLINK("https://www.britishcycling.org.uk/points?person_id=498425&amp;year=2021&amp;type=national&amp;d=6","Results")</f>
        <v/>
      </c>
    </row>
    <row r="122">
      <c r="A122" t="inlineStr">
        <is>
          <t>121</t>
        </is>
      </c>
      <c r="B122" t="inlineStr">
        <is>
          <t>Neil Halliday</t>
        </is>
      </c>
      <c r="C122" t="inlineStr">
        <is>
          <t>RAMcc</t>
        </is>
      </c>
      <c r="D122" t="inlineStr">
        <is>
          <t>112</t>
        </is>
      </c>
      <c r="E122">
        <f>HYPERLINK("https://www.britishcycling.org.uk/points?person_id=78710&amp;year=2021&amp;type=national&amp;d=6","Results")</f>
        <v/>
      </c>
    </row>
    <row r="123">
      <c r="A123" t="inlineStr">
        <is>
          <t>122</t>
        </is>
      </c>
      <c r="B123" t="inlineStr">
        <is>
          <t>Graham Hollidge</t>
        </is>
      </c>
      <c r="C123" t="inlineStr">
        <is>
          <t>Fareham Wheelers Cycling Club</t>
        </is>
      </c>
      <c r="D123" t="inlineStr">
        <is>
          <t>112</t>
        </is>
      </c>
      <c r="E123">
        <f>HYPERLINK("https://www.britishcycling.org.uk/points?person_id=201002&amp;year=2021&amp;type=national&amp;d=6","Results")</f>
        <v/>
      </c>
    </row>
    <row r="124">
      <c r="A124" t="inlineStr">
        <is>
          <t>123</t>
        </is>
      </c>
      <c r="B124" t="inlineStr">
        <is>
          <t>Roy Davies</t>
        </is>
      </c>
      <c r="C124" t="inlineStr">
        <is>
          <t>Port Sunlight Whls CC</t>
        </is>
      </c>
      <c r="D124" t="inlineStr">
        <is>
          <t>110</t>
        </is>
      </c>
      <c r="E124">
        <f>HYPERLINK("https://www.britishcycling.org.uk/points?person_id=42770&amp;year=2021&amp;type=national&amp;d=6","Results")</f>
        <v/>
      </c>
    </row>
    <row r="125">
      <c r="A125" t="inlineStr">
        <is>
          <t>124</t>
        </is>
      </c>
      <c r="B125" t="inlineStr">
        <is>
          <t>Tim Berry</t>
        </is>
      </c>
      <c r="C125" t="inlineStr">
        <is>
          <t>Team Empella Cyclo-Cross.Com</t>
        </is>
      </c>
      <c r="D125" t="inlineStr">
        <is>
          <t>109</t>
        </is>
      </c>
      <c r="E125">
        <f>HYPERLINK("https://www.britishcycling.org.uk/points?person_id=30533&amp;year=2021&amp;type=national&amp;d=6","Results")</f>
        <v/>
      </c>
    </row>
    <row r="126">
      <c r="A126" t="inlineStr">
        <is>
          <t>125</t>
        </is>
      </c>
      <c r="B126" t="inlineStr">
        <is>
          <t>James Britton</t>
        </is>
      </c>
      <c r="C126" t="inlineStr">
        <is>
          <t>Bristol CX</t>
        </is>
      </c>
      <c r="D126" t="inlineStr">
        <is>
          <t>109</t>
        </is>
      </c>
      <c r="E126">
        <f>HYPERLINK("https://www.britishcycling.org.uk/points?person_id=49266&amp;year=2021&amp;type=national&amp;d=6","Results")</f>
        <v/>
      </c>
    </row>
    <row r="127">
      <c r="A127" t="inlineStr">
        <is>
          <t>126</t>
        </is>
      </c>
      <c r="B127" t="inlineStr">
        <is>
          <t>Chris Stewart</t>
        </is>
      </c>
      <c r="C127" t="inlineStr">
        <is>
          <t>SteppingStanes Youth Cycling Club</t>
        </is>
      </c>
      <c r="D127" t="inlineStr">
        <is>
          <t>109</t>
        </is>
      </c>
      <c r="E127">
        <f>HYPERLINK("https://www.britishcycling.org.uk/points?person_id=133561&amp;year=2021&amp;type=national&amp;d=6","Results")</f>
        <v/>
      </c>
    </row>
    <row r="128">
      <c r="A128" t="inlineStr">
        <is>
          <t>127</t>
        </is>
      </c>
      <c r="B128" t="inlineStr">
        <is>
          <t>Benjamin Causon</t>
        </is>
      </c>
      <c r="C128" t="inlineStr">
        <is>
          <t>Plymouth Corinthian CC</t>
        </is>
      </c>
      <c r="D128" t="inlineStr">
        <is>
          <t>108</t>
        </is>
      </c>
      <c r="E128">
        <f>HYPERLINK("https://www.britishcycling.org.uk/points?person_id=586210&amp;year=2021&amp;type=national&amp;d=6","Results")</f>
        <v/>
      </c>
    </row>
    <row r="129">
      <c r="A129" t="inlineStr">
        <is>
          <t>128</t>
        </is>
      </c>
      <c r="B129" t="inlineStr">
        <is>
          <t>Bradley Tooze</t>
        </is>
      </c>
      <c r="C129" t="inlineStr">
        <is>
          <t>Derwentside CC</t>
        </is>
      </c>
      <c r="D129" t="inlineStr">
        <is>
          <t>108</t>
        </is>
      </c>
      <c r="E129">
        <f>HYPERLINK("https://www.britishcycling.org.uk/points?person_id=290994&amp;year=2021&amp;type=national&amp;d=6","Results")</f>
        <v/>
      </c>
    </row>
    <row r="130">
      <c r="A130" t="inlineStr">
        <is>
          <t>129</t>
        </is>
      </c>
      <c r="B130" t="inlineStr">
        <is>
          <t>Kevin Brewer</t>
        </is>
      </c>
      <c r="C130" t="inlineStr">
        <is>
          <t>73Degrees CC</t>
        </is>
      </c>
      <c r="D130" t="inlineStr">
        <is>
          <t>106</t>
        </is>
      </c>
      <c r="E130">
        <f>HYPERLINK("https://www.britishcycling.org.uk/points?person_id=194614&amp;year=2021&amp;type=national&amp;d=6","Results")</f>
        <v/>
      </c>
    </row>
    <row r="131">
      <c r="A131" t="inlineStr">
        <is>
          <t>130</t>
        </is>
      </c>
      <c r="B131" t="inlineStr">
        <is>
          <t>Christopher Davies</t>
        </is>
      </c>
      <c r="C131" t="inlineStr">
        <is>
          <t>Cycle Specific Cycling Club</t>
        </is>
      </c>
      <c r="D131" t="inlineStr">
        <is>
          <t>106</t>
        </is>
      </c>
      <c r="E131">
        <f>HYPERLINK("https://www.britishcycling.org.uk/points?person_id=315170&amp;year=2021&amp;type=national&amp;d=6","Results")</f>
        <v/>
      </c>
    </row>
    <row r="132">
      <c r="A132" t="inlineStr">
        <is>
          <t>131</t>
        </is>
      </c>
      <c r="B132" t="inlineStr">
        <is>
          <t>Chris Mather</t>
        </is>
      </c>
      <c r="C132" t="inlineStr">
        <is>
          <t>Derwentside CC</t>
        </is>
      </c>
      <c r="D132" t="inlineStr">
        <is>
          <t>105</t>
        </is>
      </c>
      <c r="E132">
        <f>HYPERLINK("https://www.britishcycling.org.uk/points?person_id=26427&amp;year=2021&amp;type=national&amp;d=6","Results")</f>
        <v/>
      </c>
    </row>
    <row r="133">
      <c r="A133" t="inlineStr">
        <is>
          <t>132</t>
        </is>
      </c>
      <c r="B133" t="inlineStr">
        <is>
          <t>Simon Tabiner</t>
        </is>
      </c>
      <c r="C133" t="inlineStr">
        <is>
          <t>Aylsham Road Club</t>
        </is>
      </c>
      <c r="D133" t="inlineStr">
        <is>
          <t>103</t>
        </is>
      </c>
      <c r="E133">
        <f>HYPERLINK("https://www.britishcycling.org.uk/points?person_id=196165&amp;year=2021&amp;type=national&amp;d=6","Results")</f>
        <v/>
      </c>
    </row>
    <row r="134">
      <c r="A134" t="inlineStr">
        <is>
          <t>133</t>
        </is>
      </c>
      <c r="B134" t="inlineStr">
        <is>
          <t>Arthur Wilson</t>
        </is>
      </c>
      <c r="C134" t="inlineStr">
        <is>
          <t>Ilkley Cycling Club</t>
        </is>
      </c>
      <c r="D134" t="inlineStr">
        <is>
          <t>103</t>
        </is>
      </c>
      <c r="E134">
        <f>HYPERLINK("https://www.britishcycling.org.uk/points?person_id=189279&amp;year=2021&amp;type=national&amp;d=6","Results")</f>
        <v/>
      </c>
    </row>
    <row r="135">
      <c r="A135" t="inlineStr">
        <is>
          <t>134</t>
        </is>
      </c>
      <c r="B135" t="inlineStr">
        <is>
          <t>Mark Ramage</t>
        </is>
      </c>
      <c r="C135" t="inlineStr">
        <is>
          <t>Cliff Pratt Racing</t>
        </is>
      </c>
      <c r="D135" t="inlineStr">
        <is>
          <t>102</t>
        </is>
      </c>
      <c r="E135">
        <f>HYPERLINK("https://www.britishcycling.org.uk/points?person_id=199183&amp;year=2021&amp;type=national&amp;d=6","Results")</f>
        <v/>
      </c>
    </row>
    <row r="136">
      <c r="A136" t="inlineStr">
        <is>
          <t>135</t>
        </is>
      </c>
      <c r="B136" t="inlineStr">
        <is>
          <t>Peter Kench</t>
        </is>
      </c>
      <c r="C136" t="inlineStr">
        <is>
          <t>ASE Racing</t>
        </is>
      </c>
      <c r="D136" t="inlineStr">
        <is>
          <t>100</t>
        </is>
      </c>
      <c r="E136">
        <f>HYPERLINK("https://www.britishcycling.org.uk/points?person_id=73130&amp;year=2021&amp;type=national&amp;d=6","Results")</f>
        <v/>
      </c>
    </row>
    <row r="137">
      <c r="A137" t="inlineStr">
        <is>
          <t>136</t>
        </is>
      </c>
      <c r="B137" t="inlineStr">
        <is>
          <t>Steven Whitehurst</t>
        </is>
      </c>
      <c r="C137" t="inlineStr">
        <is>
          <t>Reflex Racing</t>
        </is>
      </c>
      <c r="D137" t="inlineStr">
        <is>
          <t>98</t>
        </is>
      </c>
      <c r="E137">
        <f>HYPERLINK("https://www.britishcycling.org.uk/points?person_id=23707&amp;year=2021&amp;type=national&amp;d=6","Results")</f>
        <v/>
      </c>
    </row>
    <row r="138">
      <c r="A138" t="inlineStr">
        <is>
          <t>137</t>
        </is>
      </c>
      <c r="B138" t="inlineStr">
        <is>
          <t>Russell Gordon</t>
        </is>
      </c>
      <c r="C138" t="inlineStr">
        <is>
          <t>Clifton CC</t>
        </is>
      </c>
      <c r="D138" t="inlineStr">
        <is>
          <t>95</t>
        </is>
      </c>
      <c r="E138">
        <f>HYPERLINK("https://www.britishcycling.org.uk/points?person_id=377253&amp;year=2021&amp;type=national&amp;d=6","Results")</f>
        <v/>
      </c>
    </row>
    <row r="139">
      <c r="A139" t="inlineStr">
        <is>
          <t>138</t>
        </is>
      </c>
      <c r="B139" t="inlineStr">
        <is>
          <t>Gavin Howell</t>
        </is>
      </c>
      <c r="C139" t="inlineStr">
        <is>
          <t>VéloElite RC</t>
        </is>
      </c>
      <c r="D139" t="inlineStr">
        <is>
          <t>94</t>
        </is>
      </c>
      <c r="E139">
        <f>HYPERLINK("https://www.britishcycling.org.uk/points?person_id=53099&amp;year=2021&amp;type=national&amp;d=6","Results")</f>
        <v/>
      </c>
    </row>
    <row r="140">
      <c r="A140" t="inlineStr">
        <is>
          <t>139</t>
        </is>
      </c>
      <c r="B140" t="inlineStr">
        <is>
          <t>Tim Hyde</t>
        </is>
      </c>
      <c r="C140" t="inlineStr">
        <is>
          <t>Pronto Bikes</t>
        </is>
      </c>
      <c r="D140" t="inlineStr">
        <is>
          <t>91</t>
        </is>
      </c>
      <c r="E140">
        <f>HYPERLINK("https://www.britishcycling.org.uk/points?person_id=373&amp;year=2021&amp;type=national&amp;d=6","Results")</f>
        <v/>
      </c>
    </row>
    <row r="141">
      <c r="A141" t="inlineStr">
        <is>
          <t>140</t>
        </is>
      </c>
      <c r="B141" t="inlineStr">
        <is>
          <t>John Odell</t>
        </is>
      </c>
      <c r="C141" t="inlineStr">
        <is>
          <t>Nottingham Clarion CC</t>
        </is>
      </c>
      <c r="D141" t="inlineStr">
        <is>
          <t>91</t>
        </is>
      </c>
      <c r="E141">
        <f>HYPERLINK("https://www.britishcycling.org.uk/points?person_id=473&amp;year=2021&amp;type=national&amp;d=6","Results")</f>
        <v/>
      </c>
    </row>
    <row r="142">
      <c r="A142" t="inlineStr">
        <is>
          <t>141</t>
        </is>
      </c>
      <c r="B142" t="inlineStr">
        <is>
          <t>Arjan Planting</t>
        </is>
      </c>
      <c r="C142" t="inlineStr">
        <is>
          <t>Dulwich Paragon CC</t>
        </is>
      </c>
      <c r="D142" t="inlineStr">
        <is>
          <t>91</t>
        </is>
      </c>
      <c r="E142">
        <f>HYPERLINK("https://www.britishcycling.org.uk/points?person_id=19900&amp;year=2021&amp;type=national&amp;d=6","Results")</f>
        <v/>
      </c>
    </row>
    <row r="143">
      <c r="A143" t="inlineStr">
        <is>
          <t>142</t>
        </is>
      </c>
      <c r="B143" t="inlineStr">
        <is>
          <t>Paul Sheers</t>
        </is>
      </c>
      <c r="C143" t="inlineStr">
        <is>
          <t>ViCiOUS VELO</t>
        </is>
      </c>
      <c r="D143" t="inlineStr">
        <is>
          <t>91</t>
        </is>
      </c>
      <c r="E143">
        <f>HYPERLINK("https://www.britishcycling.org.uk/points?person_id=41980&amp;year=2021&amp;type=national&amp;d=6","Results")</f>
        <v/>
      </c>
    </row>
    <row r="144">
      <c r="A144" t="inlineStr">
        <is>
          <t>143</t>
        </is>
      </c>
      <c r="B144" t="inlineStr">
        <is>
          <t>Leon Goodwin</t>
        </is>
      </c>
      <c r="C144" t="inlineStr">
        <is>
          <t>Louth Cycle Centre RT</t>
        </is>
      </c>
      <c r="D144" t="inlineStr">
        <is>
          <t>89</t>
        </is>
      </c>
      <c r="E144">
        <f>HYPERLINK("https://www.britishcycling.org.uk/points?person_id=423782&amp;year=2021&amp;type=national&amp;d=6","Results")</f>
        <v/>
      </c>
    </row>
    <row r="145">
      <c r="A145" t="inlineStr">
        <is>
          <t>144</t>
        </is>
      </c>
      <c r="B145" t="inlineStr">
        <is>
          <t>Euan Hamilton-Rigg</t>
        </is>
      </c>
      <c r="C145" t="inlineStr">
        <is>
          <t>Fietsclub Balerno</t>
        </is>
      </c>
      <c r="D145" t="inlineStr">
        <is>
          <t>89</t>
        </is>
      </c>
      <c r="E145">
        <f>HYPERLINK("https://www.britishcycling.org.uk/points?person_id=244391&amp;year=2021&amp;type=national&amp;d=6","Results")</f>
        <v/>
      </c>
    </row>
    <row r="146">
      <c r="A146" t="inlineStr">
        <is>
          <t>145</t>
        </is>
      </c>
      <c r="B146" t="inlineStr">
        <is>
          <t>Mark Gallagher</t>
        </is>
      </c>
      <c r="C146" t="inlineStr">
        <is>
          <t>Dynamic Rides CC</t>
        </is>
      </c>
      <c r="D146" t="inlineStr">
        <is>
          <t>88</t>
        </is>
      </c>
      <c r="E146">
        <f>HYPERLINK("https://www.britishcycling.org.uk/points?person_id=691410&amp;year=2021&amp;type=national&amp;d=6","Results")</f>
        <v/>
      </c>
    </row>
    <row r="147">
      <c r="A147" t="inlineStr">
        <is>
          <t>146</t>
        </is>
      </c>
      <c r="B147" t="inlineStr">
        <is>
          <t>James Williams</t>
        </is>
      </c>
      <c r="C147" t="inlineStr">
        <is>
          <t>Mid Devon CC</t>
        </is>
      </c>
      <c r="D147" t="inlineStr">
        <is>
          <t>88</t>
        </is>
      </c>
      <c r="E147">
        <f>HYPERLINK("https://www.britishcycling.org.uk/points?person_id=35016&amp;year=2021&amp;type=national&amp;d=6","Results")</f>
        <v/>
      </c>
    </row>
    <row r="148">
      <c r="A148" t="inlineStr">
        <is>
          <t>147</t>
        </is>
      </c>
      <c r="B148" t="inlineStr">
        <is>
          <t>Gordon Mackenzie</t>
        </is>
      </c>
      <c r="C148" t="inlineStr">
        <is>
          <t>RT23</t>
        </is>
      </c>
      <c r="D148" t="inlineStr">
        <is>
          <t>87</t>
        </is>
      </c>
      <c r="E148">
        <f>HYPERLINK("https://www.britishcycling.org.uk/points?person_id=50431&amp;year=2021&amp;type=national&amp;d=6","Results")</f>
        <v/>
      </c>
    </row>
    <row r="149">
      <c r="A149" t="inlineStr">
        <is>
          <t>148</t>
        </is>
      </c>
      <c r="B149" t="inlineStr">
        <is>
          <t>Philip Deacon</t>
        </is>
      </c>
      <c r="C149" t="inlineStr">
        <is>
          <t>Bradford on Avon</t>
        </is>
      </c>
      <c r="D149" t="inlineStr">
        <is>
          <t>86</t>
        </is>
      </c>
      <c r="E149">
        <f>HYPERLINK("https://www.britishcycling.org.uk/points?person_id=132347&amp;year=2021&amp;type=national&amp;d=6","Results")</f>
        <v/>
      </c>
    </row>
    <row r="150">
      <c r="A150" t="inlineStr">
        <is>
          <t>149</t>
        </is>
      </c>
      <c r="B150" t="inlineStr">
        <is>
          <t>Jamie Norfolk</t>
        </is>
      </c>
      <c r="C150" t="inlineStr">
        <is>
          <t>Pedalon.co.uk</t>
        </is>
      </c>
      <c r="D150" t="inlineStr">
        <is>
          <t>86</t>
        </is>
      </c>
      <c r="E150">
        <f>HYPERLINK("https://www.britishcycling.org.uk/points?person_id=74907&amp;year=2021&amp;type=national&amp;d=6","Results")</f>
        <v/>
      </c>
    </row>
    <row r="151">
      <c r="A151" t="inlineStr">
        <is>
          <t>150</t>
        </is>
      </c>
      <c r="B151" t="inlineStr">
        <is>
          <t>Laurie Bone</t>
        </is>
      </c>
      <c r="C151" t="inlineStr">
        <is>
          <t>The Bike Loft</t>
        </is>
      </c>
      <c r="D151" t="inlineStr">
        <is>
          <t>85</t>
        </is>
      </c>
      <c r="E151">
        <f>HYPERLINK("https://www.britishcycling.org.uk/points?person_id=63549&amp;year=2021&amp;type=national&amp;d=6","Results")</f>
        <v/>
      </c>
    </row>
    <row r="152">
      <c r="A152" t="inlineStr">
        <is>
          <t>151</t>
        </is>
      </c>
      <c r="B152" t="inlineStr">
        <is>
          <t>Thomas Hadfield</t>
        </is>
      </c>
      <c r="C152" t="inlineStr">
        <is>
          <t>Gateway Racing</t>
        </is>
      </c>
      <c r="D152" t="inlineStr">
        <is>
          <t>85</t>
        </is>
      </c>
      <c r="E152">
        <f>HYPERLINK("https://www.britishcycling.org.uk/points?person_id=220735&amp;year=2021&amp;type=national&amp;d=6","Results")</f>
        <v/>
      </c>
    </row>
    <row r="153">
      <c r="A153" t="inlineStr">
        <is>
          <t>152</t>
        </is>
      </c>
      <c r="B153" t="inlineStr">
        <is>
          <t>Christopher Burns</t>
        </is>
      </c>
      <c r="C153" t="inlineStr">
        <is>
          <t>Reifen Racing</t>
        </is>
      </c>
      <c r="D153" t="inlineStr">
        <is>
          <t>84</t>
        </is>
      </c>
      <c r="E153">
        <f>HYPERLINK("https://www.britishcycling.org.uk/points?person_id=379717&amp;year=2021&amp;type=national&amp;d=6","Results")</f>
        <v/>
      </c>
    </row>
    <row r="154">
      <c r="A154" t="inlineStr">
        <is>
          <t>153</t>
        </is>
      </c>
      <c r="B154" t="inlineStr">
        <is>
          <t>Daniel Varley</t>
        </is>
      </c>
      <c r="C154" t="inlineStr"/>
      <c r="D154" t="inlineStr">
        <is>
          <t>84</t>
        </is>
      </c>
      <c r="E154">
        <f>HYPERLINK("https://www.britishcycling.org.uk/points?person_id=6545&amp;year=2021&amp;type=national&amp;d=6","Results")</f>
        <v/>
      </c>
    </row>
    <row r="155">
      <c r="A155" t="inlineStr">
        <is>
          <t>154</t>
        </is>
      </c>
      <c r="B155" t="inlineStr">
        <is>
          <t>Oliver Humphreys</t>
        </is>
      </c>
      <c r="C155" t="inlineStr">
        <is>
          <t>Haus Race Team</t>
        </is>
      </c>
      <c r="D155" t="inlineStr">
        <is>
          <t>83</t>
        </is>
      </c>
      <c r="E155">
        <f>HYPERLINK("https://www.britishcycling.org.uk/points?person_id=210527&amp;year=2021&amp;type=national&amp;d=6","Results")</f>
        <v/>
      </c>
    </row>
    <row r="156">
      <c r="A156" t="inlineStr">
        <is>
          <t>155</t>
        </is>
      </c>
      <c r="B156" t="inlineStr">
        <is>
          <t>Nick Taylor</t>
        </is>
      </c>
      <c r="C156" t="inlineStr">
        <is>
          <t>Shibden Cycling Club</t>
        </is>
      </c>
      <c r="D156" t="inlineStr">
        <is>
          <t>82</t>
        </is>
      </c>
      <c r="E156">
        <f>HYPERLINK("https://www.britishcycling.org.uk/points?person_id=172648&amp;year=2021&amp;type=national&amp;d=6","Results")</f>
        <v/>
      </c>
    </row>
    <row r="157">
      <c r="A157" t="inlineStr">
        <is>
          <t>156</t>
        </is>
      </c>
      <c r="B157" t="inlineStr">
        <is>
          <t>Craig Gunnell</t>
        </is>
      </c>
      <c r="C157" t="inlineStr"/>
      <c r="D157" t="inlineStr">
        <is>
          <t>81</t>
        </is>
      </c>
      <c r="E157">
        <f>HYPERLINK("https://www.britishcycling.org.uk/points?person_id=188171&amp;year=2021&amp;type=national&amp;d=6","Results")</f>
        <v/>
      </c>
    </row>
    <row r="158">
      <c r="A158" t="inlineStr">
        <is>
          <t>157</t>
        </is>
      </c>
      <c r="B158" t="inlineStr">
        <is>
          <t>Andrew Snowball</t>
        </is>
      </c>
      <c r="C158" t="inlineStr"/>
      <c r="D158" t="inlineStr">
        <is>
          <t>81</t>
        </is>
      </c>
      <c r="E158">
        <f>HYPERLINK("https://www.britishcycling.org.uk/points?person_id=46369&amp;year=2021&amp;type=national&amp;d=6","Results")</f>
        <v/>
      </c>
    </row>
    <row r="159">
      <c r="A159" t="inlineStr">
        <is>
          <t>158</t>
        </is>
      </c>
      <c r="B159" t="inlineStr">
        <is>
          <t>Paul Groombridge</t>
        </is>
      </c>
      <c r="C159" t="inlineStr">
        <is>
          <t>EpicOrange Race Team</t>
        </is>
      </c>
      <c r="D159" t="inlineStr">
        <is>
          <t>80</t>
        </is>
      </c>
      <c r="E159">
        <f>HYPERLINK("https://www.britishcycling.org.uk/points?person_id=251051&amp;year=2021&amp;type=national&amp;d=6","Results")</f>
        <v/>
      </c>
    </row>
    <row r="160">
      <c r="A160" t="inlineStr">
        <is>
          <t>159</t>
        </is>
      </c>
      <c r="B160" t="inlineStr">
        <is>
          <t>Russell Short</t>
        </is>
      </c>
      <c r="C160" t="inlineStr">
        <is>
          <t>CHAINGANG Racing Team</t>
        </is>
      </c>
      <c r="D160" t="inlineStr">
        <is>
          <t>80</t>
        </is>
      </c>
      <c r="E160">
        <f>HYPERLINK("https://www.britishcycling.org.uk/points?person_id=14983&amp;year=2021&amp;type=national&amp;d=6","Results")</f>
        <v/>
      </c>
    </row>
    <row r="161">
      <c r="A161" t="inlineStr">
        <is>
          <t>160</t>
        </is>
      </c>
      <c r="B161" t="inlineStr">
        <is>
          <t>Kevin Smith</t>
        </is>
      </c>
      <c r="C161" t="inlineStr">
        <is>
          <t>Shibden Cycling Club</t>
        </is>
      </c>
      <c r="D161" t="inlineStr">
        <is>
          <t>80</t>
        </is>
      </c>
      <c r="E161">
        <f>HYPERLINK("https://www.britishcycling.org.uk/points?person_id=243202&amp;year=2021&amp;type=national&amp;d=6","Results")</f>
        <v/>
      </c>
    </row>
    <row r="162">
      <c r="A162" t="inlineStr">
        <is>
          <t>161</t>
        </is>
      </c>
      <c r="B162" t="inlineStr">
        <is>
          <t>Ross Tricker</t>
        </is>
      </c>
      <c r="C162" t="inlineStr">
        <is>
          <t>ViCiOUS VELO</t>
        </is>
      </c>
      <c r="D162" t="inlineStr">
        <is>
          <t>80</t>
        </is>
      </c>
      <c r="E162">
        <f>HYPERLINK("https://www.britishcycling.org.uk/points?person_id=16165&amp;year=2021&amp;type=national&amp;d=6","Results")</f>
        <v/>
      </c>
    </row>
    <row r="163">
      <c r="A163" t="inlineStr">
        <is>
          <t>162</t>
        </is>
      </c>
      <c r="B163" t="inlineStr">
        <is>
          <t>Andy Hoskins</t>
        </is>
      </c>
      <c r="C163" t="inlineStr">
        <is>
          <t>Cardiff JIF</t>
        </is>
      </c>
      <c r="D163" t="inlineStr">
        <is>
          <t>79</t>
        </is>
      </c>
      <c r="E163">
        <f>HYPERLINK("https://www.britishcycling.org.uk/points?person_id=3520&amp;year=2021&amp;type=national&amp;d=6","Results")</f>
        <v/>
      </c>
    </row>
    <row r="164">
      <c r="A164" t="inlineStr">
        <is>
          <t>163</t>
        </is>
      </c>
      <c r="B164" t="inlineStr">
        <is>
          <t>Oliver McCall</t>
        </is>
      </c>
      <c r="C164" t="inlineStr"/>
      <c r="D164" t="inlineStr">
        <is>
          <t>78</t>
        </is>
      </c>
      <c r="E164">
        <f>HYPERLINK("https://www.britishcycling.org.uk/points?person_id=821561&amp;year=2021&amp;type=national&amp;d=6","Results")</f>
        <v/>
      </c>
    </row>
    <row r="165">
      <c r="A165" t="inlineStr">
        <is>
          <t>164</t>
        </is>
      </c>
      <c r="B165" t="inlineStr">
        <is>
          <t>David Oxberry</t>
        </is>
      </c>
      <c r="C165" t="inlineStr"/>
      <c r="D165" t="inlineStr">
        <is>
          <t>78</t>
        </is>
      </c>
      <c r="E165">
        <f>HYPERLINK("https://www.britishcycling.org.uk/points?person_id=325322&amp;year=2021&amp;type=national&amp;d=6","Results")</f>
        <v/>
      </c>
    </row>
    <row r="166">
      <c r="A166" t="inlineStr">
        <is>
          <t>165</t>
        </is>
      </c>
      <c r="B166" t="inlineStr">
        <is>
          <t>Darren Rutterford</t>
        </is>
      </c>
      <c r="C166" t="inlineStr">
        <is>
          <t>Iceni Velo</t>
        </is>
      </c>
      <c r="D166" t="inlineStr">
        <is>
          <t>78</t>
        </is>
      </c>
      <c r="E166">
        <f>HYPERLINK("https://www.britishcycling.org.uk/points?person_id=67024&amp;year=2021&amp;type=national&amp;d=6","Results")</f>
        <v/>
      </c>
    </row>
    <row r="167">
      <c r="A167" t="inlineStr">
        <is>
          <t>166</t>
        </is>
      </c>
      <c r="B167" t="inlineStr">
        <is>
          <t>Andrew Vaughan</t>
        </is>
      </c>
      <c r="C167" t="inlineStr">
        <is>
          <t>www.Zepnat.com RT - Lazer helmets</t>
        </is>
      </c>
      <c r="D167" t="inlineStr">
        <is>
          <t>78</t>
        </is>
      </c>
      <c r="E167">
        <f>HYPERLINK("https://www.britishcycling.org.uk/points?person_id=253654&amp;year=2021&amp;type=national&amp;d=6","Results")</f>
        <v/>
      </c>
    </row>
    <row r="168">
      <c r="A168" t="inlineStr">
        <is>
          <t>167</t>
        </is>
      </c>
      <c r="B168" t="inlineStr">
        <is>
          <t>James Bovey</t>
        </is>
      </c>
      <c r="C168" t="inlineStr">
        <is>
          <t>Mid Devon CC</t>
        </is>
      </c>
      <c r="D168" t="inlineStr">
        <is>
          <t>77</t>
        </is>
      </c>
      <c r="E168">
        <f>HYPERLINK("https://www.britishcycling.org.uk/points?person_id=119807&amp;year=2021&amp;type=national&amp;d=6","Results")</f>
        <v/>
      </c>
    </row>
    <row r="169">
      <c r="A169" t="inlineStr">
        <is>
          <t>168</t>
        </is>
      </c>
      <c r="B169" t="inlineStr">
        <is>
          <t>Tim Jones</t>
        </is>
      </c>
      <c r="C169" t="inlineStr">
        <is>
          <t>Eat Plants Not Pigs CC</t>
        </is>
      </c>
      <c r="D169" t="inlineStr">
        <is>
          <t>77</t>
        </is>
      </c>
      <c r="E169">
        <f>HYPERLINK("https://www.britishcycling.org.uk/points?person_id=11354&amp;year=2021&amp;type=national&amp;d=6","Results")</f>
        <v/>
      </c>
    </row>
    <row r="170">
      <c r="A170" t="inlineStr">
        <is>
          <t>169</t>
        </is>
      </c>
      <c r="B170" t="inlineStr">
        <is>
          <t>Richard Bowen</t>
        </is>
      </c>
      <c r="C170" t="inlineStr">
        <is>
          <t>Gateway Racing</t>
        </is>
      </c>
      <c r="D170" t="inlineStr">
        <is>
          <t>75</t>
        </is>
      </c>
      <c r="E170">
        <f>HYPERLINK("https://www.britishcycling.org.uk/points?person_id=67975&amp;year=2021&amp;type=national&amp;d=6","Results")</f>
        <v/>
      </c>
    </row>
    <row r="171">
      <c r="A171" t="inlineStr">
        <is>
          <t>170</t>
        </is>
      </c>
      <c r="B171" t="inlineStr">
        <is>
          <t>Paul Campbell</t>
        </is>
      </c>
      <c r="C171" t="inlineStr">
        <is>
          <t>Hull Thursday RC</t>
        </is>
      </c>
      <c r="D171" t="inlineStr">
        <is>
          <t>75</t>
        </is>
      </c>
      <c r="E171">
        <f>HYPERLINK("https://www.britishcycling.org.uk/points?person_id=30945&amp;year=2021&amp;type=national&amp;d=6","Results")</f>
        <v/>
      </c>
    </row>
    <row r="172">
      <c r="A172" t="inlineStr">
        <is>
          <t>171</t>
        </is>
      </c>
      <c r="B172" t="inlineStr">
        <is>
          <t>Andrew Larking</t>
        </is>
      </c>
      <c r="C172" t="inlineStr">
        <is>
          <t>Sussex Revolution Velo Club</t>
        </is>
      </c>
      <c r="D172" t="inlineStr">
        <is>
          <t>75</t>
        </is>
      </c>
      <c r="E172">
        <f>HYPERLINK("https://www.britishcycling.org.uk/points?person_id=222800&amp;year=2021&amp;type=national&amp;d=6","Results")</f>
        <v/>
      </c>
    </row>
    <row r="173">
      <c r="A173" t="inlineStr">
        <is>
          <t>172</t>
        </is>
      </c>
      <c r="B173" t="inlineStr">
        <is>
          <t>Steve Calland</t>
        </is>
      </c>
      <c r="C173" t="inlineStr">
        <is>
          <t>Team TMC - Strada Wheels</t>
        </is>
      </c>
      <c r="D173" t="inlineStr">
        <is>
          <t>74</t>
        </is>
      </c>
      <c r="E173">
        <f>HYPERLINK("https://www.britishcycling.org.uk/points?person_id=50182&amp;year=2021&amp;type=national&amp;d=6","Results")</f>
        <v/>
      </c>
    </row>
    <row r="174">
      <c r="A174" t="inlineStr">
        <is>
          <t>173</t>
        </is>
      </c>
      <c r="B174" t="inlineStr">
        <is>
          <t>Jamie Ward</t>
        </is>
      </c>
      <c r="C174" t="inlineStr">
        <is>
          <t>Mid Devon CC</t>
        </is>
      </c>
      <c r="D174" t="inlineStr">
        <is>
          <t>74</t>
        </is>
      </c>
      <c r="E174">
        <f>HYPERLINK("https://www.britishcycling.org.uk/points?person_id=47262&amp;year=2021&amp;type=national&amp;d=6","Results")</f>
        <v/>
      </c>
    </row>
    <row r="175">
      <c r="A175" t="inlineStr">
        <is>
          <t>174</t>
        </is>
      </c>
      <c r="B175" t="inlineStr">
        <is>
          <t>Philip Hunt</t>
        </is>
      </c>
      <c r="C175" t="inlineStr">
        <is>
          <t>Wyre Forest CRC</t>
        </is>
      </c>
      <c r="D175" t="inlineStr">
        <is>
          <t>73</t>
        </is>
      </c>
      <c r="E175">
        <f>HYPERLINK("https://www.britishcycling.org.uk/points?person_id=103608&amp;year=2021&amp;type=national&amp;d=6","Results")</f>
        <v/>
      </c>
    </row>
    <row r="176">
      <c r="A176" t="inlineStr">
        <is>
          <t>175</t>
        </is>
      </c>
      <c r="B176" t="inlineStr">
        <is>
          <t>Spencer Laborde</t>
        </is>
      </c>
      <c r="C176" t="inlineStr">
        <is>
          <t>Iceni Velo</t>
        </is>
      </c>
      <c r="D176" t="inlineStr">
        <is>
          <t>73</t>
        </is>
      </c>
      <c r="E176">
        <f>HYPERLINK("https://www.britishcycling.org.uk/points?person_id=124767&amp;year=2021&amp;type=national&amp;d=6","Results")</f>
        <v/>
      </c>
    </row>
    <row r="177">
      <c r="A177" t="inlineStr">
        <is>
          <t>176</t>
        </is>
      </c>
      <c r="B177" t="inlineStr">
        <is>
          <t>Stuart Harrison</t>
        </is>
      </c>
      <c r="C177" t="inlineStr">
        <is>
          <t>VC VELDRIJDEN</t>
        </is>
      </c>
      <c r="D177" t="inlineStr">
        <is>
          <t>72</t>
        </is>
      </c>
      <c r="E177">
        <f>HYPERLINK("https://www.britishcycling.org.uk/points?person_id=287395&amp;year=2021&amp;type=national&amp;d=6","Results")</f>
        <v/>
      </c>
    </row>
    <row r="178">
      <c r="A178" t="inlineStr">
        <is>
          <t>177</t>
        </is>
      </c>
      <c r="B178" t="inlineStr">
        <is>
          <t>Matt Lawton</t>
        </is>
      </c>
      <c r="C178" t="inlineStr">
        <is>
          <t>Macclesfield Wheelers</t>
        </is>
      </c>
      <c r="D178" t="inlineStr">
        <is>
          <t>72</t>
        </is>
      </c>
      <c r="E178">
        <f>HYPERLINK("https://www.britishcycling.org.uk/points?person_id=126705&amp;year=2021&amp;type=national&amp;d=6","Results")</f>
        <v/>
      </c>
    </row>
    <row r="179">
      <c r="A179" t="inlineStr">
        <is>
          <t>178</t>
        </is>
      </c>
      <c r="B179" t="inlineStr">
        <is>
          <t>Chris Thomas</t>
        </is>
      </c>
      <c r="C179" t="inlineStr">
        <is>
          <t>North Cheshire Clarion</t>
        </is>
      </c>
      <c r="D179" t="inlineStr">
        <is>
          <t>72</t>
        </is>
      </c>
      <c r="E179">
        <f>HYPERLINK("https://www.britishcycling.org.uk/points?person_id=32234&amp;year=2021&amp;type=national&amp;d=6","Results")</f>
        <v/>
      </c>
    </row>
    <row r="180">
      <c r="A180" t="inlineStr">
        <is>
          <t>179</t>
        </is>
      </c>
      <c r="B180" t="inlineStr">
        <is>
          <t>Alex Tate</t>
        </is>
      </c>
      <c r="C180" t="inlineStr">
        <is>
          <t>Team Milton Keynes</t>
        </is>
      </c>
      <c r="D180" t="inlineStr">
        <is>
          <t>70</t>
        </is>
      </c>
      <c r="E180">
        <f>HYPERLINK("https://www.britishcycling.org.uk/points?person_id=944238&amp;year=2021&amp;type=national&amp;d=6","Results")</f>
        <v/>
      </c>
    </row>
    <row r="181">
      <c r="A181" t="inlineStr">
        <is>
          <t>180</t>
        </is>
      </c>
      <c r="B181" t="inlineStr">
        <is>
          <t>Sam Chatwin</t>
        </is>
      </c>
      <c r="C181" t="inlineStr">
        <is>
          <t>Army Cycling Union</t>
        </is>
      </c>
      <c r="D181" t="inlineStr">
        <is>
          <t>68</t>
        </is>
      </c>
      <c r="E181">
        <f>HYPERLINK("https://www.britishcycling.org.uk/points?person_id=528199&amp;year=2021&amp;type=national&amp;d=6","Results")</f>
        <v/>
      </c>
    </row>
    <row r="182">
      <c r="A182" t="inlineStr">
        <is>
          <t>181</t>
        </is>
      </c>
      <c r="B182" t="inlineStr">
        <is>
          <t>Kevin Fearnshaw</t>
        </is>
      </c>
      <c r="C182" t="inlineStr">
        <is>
          <t>Ilkeston Cycle Club</t>
        </is>
      </c>
      <c r="D182" t="inlineStr">
        <is>
          <t>68</t>
        </is>
      </c>
      <c r="E182">
        <f>HYPERLINK("https://www.britishcycling.org.uk/points?person_id=64342&amp;year=2021&amp;type=national&amp;d=6","Results")</f>
        <v/>
      </c>
    </row>
    <row r="183">
      <c r="A183" t="inlineStr">
        <is>
          <t>182</t>
        </is>
      </c>
      <c r="B183" t="inlineStr">
        <is>
          <t>James Furniss</t>
        </is>
      </c>
      <c r="C183" t="inlineStr">
        <is>
          <t>www.Zepnat.com RT - Lazer helmets</t>
        </is>
      </c>
      <c r="D183" t="inlineStr">
        <is>
          <t>67</t>
        </is>
      </c>
      <c r="E183">
        <f>HYPERLINK("https://www.britishcycling.org.uk/points?person_id=32992&amp;year=2021&amp;type=national&amp;d=6","Results")</f>
        <v/>
      </c>
    </row>
    <row r="184">
      <c r="A184" t="inlineStr">
        <is>
          <t>183</t>
        </is>
      </c>
      <c r="B184" t="inlineStr">
        <is>
          <t>Richard Edge</t>
        </is>
      </c>
      <c r="C184" t="inlineStr">
        <is>
          <t>Laatste Ronde! Coaching</t>
        </is>
      </c>
      <c r="D184" t="inlineStr">
        <is>
          <t>65</t>
        </is>
      </c>
      <c r="E184">
        <f>HYPERLINK("https://www.britishcycling.org.uk/points?person_id=14859&amp;year=2021&amp;type=national&amp;d=6","Results")</f>
        <v/>
      </c>
    </row>
    <row r="185">
      <c r="A185" t="inlineStr">
        <is>
          <t>184</t>
        </is>
      </c>
      <c r="B185" t="inlineStr">
        <is>
          <t>Matthew Hewis</t>
        </is>
      </c>
      <c r="C185" t="inlineStr">
        <is>
          <t>North Devon Wheelers</t>
        </is>
      </c>
      <c r="D185" t="inlineStr">
        <is>
          <t>65</t>
        </is>
      </c>
      <c r="E185">
        <f>HYPERLINK("https://www.britishcycling.org.uk/points?person_id=612972&amp;year=2021&amp;type=national&amp;d=6","Results")</f>
        <v/>
      </c>
    </row>
    <row r="186">
      <c r="A186" t="inlineStr">
        <is>
          <t>185</t>
        </is>
      </c>
      <c r="B186" t="inlineStr">
        <is>
          <t>Ben Martin</t>
        </is>
      </c>
      <c r="C186" t="inlineStr">
        <is>
          <t>Red Rose Olympic CC</t>
        </is>
      </c>
      <c r="D186" t="inlineStr">
        <is>
          <t>65</t>
        </is>
      </c>
      <c r="E186">
        <f>HYPERLINK("https://www.britishcycling.org.uk/points?person_id=739236&amp;year=2021&amp;type=national&amp;d=6","Results")</f>
        <v/>
      </c>
    </row>
    <row r="187">
      <c r="A187" t="inlineStr">
        <is>
          <t>186</t>
        </is>
      </c>
      <c r="B187" t="inlineStr">
        <is>
          <t>Dan Hurst</t>
        </is>
      </c>
      <c r="C187" t="inlineStr">
        <is>
          <t>Ruthin Cycling Club</t>
        </is>
      </c>
      <c r="D187" t="inlineStr">
        <is>
          <t>64</t>
        </is>
      </c>
      <c r="E187">
        <f>HYPERLINK("https://www.britishcycling.org.uk/points?person_id=233526&amp;year=2021&amp;type=national&amp;d=6","Results")</f>
        <v/>
      </c>
    </row>
    <row r="188">
      <c r="A188" t="inlineStr">
        <is>
          <t>187</t>
        </is>
      </c>
      <c r="B188" t="inlineStr">
        <is>
          <t>Chris Annable</t>
        </is>
      </c>
      <c r="C188" t="inlineStr">
        <is>
          <t>Allen Valley Velo</t>
        </is>
      </c>
      <c r="D188" t="inlineStr">
        <is>
          <t>61</t>
        </is>
      </c>
      <c r="E188">
        <f>HYPERLINK("https://www.britishcycling.org.uk/points?person_id=512584&amp;year=2021&amp;type=national&amp;d=6","Results")</f>
        <v/>
      </c>
    </row>
    <row r="189">
      <c r="A189" t="inlineStr">
        <is>
          <t>188</t>
        </is>
      </c>
      <c r="B189" t="inlineStr">
        <is>
          <t>John Woodrow</t>
        </is>
      </c>
      <c r="C189" t="inlineStr">
        <is>
          <t>Ronde Works Racing</t>
        </is>
      </c>
      <c r="D189" t="inlineStr">
        <is>
          <t>61</t>
        </is>
      </c>
      <c r="E189">
        <f>HYPERLINK("https://www.britishcycling.org.uk/points?person_id=136513&amp;year=2021&amp;type=national&amp;d=6","Results")</f>
        <v/>
      </c>
    </row>
    <row r="190">
      <c r="A190" t="inlineStr">
        <is>
          <t>189</t>
        </is>
      </c>
      <c r="B190" t="inlineStr">
        <is>
          <t>Jon Bowie</t>
        </is>
      </c>
      <c r="C190" t="inlineStr">
        <is>
          <t>Trismart</t>
        </is>
      </c>
      <c r="D190" t="inlineStr">
        <is>
          <t>60</t>
        </is>
      </c>
      <c r="E190">
        <f>HYPERLINK("https://www.britishcycling.org.uk/points?person_id=20780&amp;year=2021&amp;type=national&amp;d=6","Results")</f>
        <v/>
      </c>
    </row>
    <row r="191">
      <c r="A191" t="inlineStr">
        <is>
          <t>190</t>
        </is>
      </c>
      <c r="B191" t="inlineStr">
        <is>
          <t>Wayne Crombie</t>
        </is>
      </c>
      <c r="C191" t="inlineStr">
        <is>
          <t>East London Velo</t>
        </is>
      </c>
      <c r="D191" t="inlineStr">
        <is>
          <t>60</t>
        </is>
      </c>
      <c r="E191">
        <f>HYPERLINK("https://www.britishcycling.org.uk/points?person_id=46847&amp;year=2021&amp;type=national&amp;d=6","Results")</f>
        <v/>
      </c>
    </row>
    <row r="192">
      <c r="A192" t="inlineStr">
        <is>
          <t>191</t>
        </is>
      </c>
      <c r="B192" t="inlineStr">
        <is>
          <t>David Griffiths</t>
        </is>
      </c>
      <c r="C192" t="inlineStr">
        <is>
          <t>Clee Cycles</t>
        </is>
      </c>
      <c r="D192" t="inlineStr">
        <is>
          <t>60</t>
        </is>
      </c>
      <c r="E192">
        <f>HYPERLINK("https://www.britishcycling.org.uk/points?person_id=37862&amp;year=2021&amp;type=national&amp;d=6","Results")</f>
        <v/>
      </c>
    </row>
    <row r="193">
      <c r="A193" t="inlineStr">
        <is>
          <t>192</t>
        </is>
      </c>
      <c r="B193" t="inlineStr">
        <is>
          <t>James Griffiths</t>
        </is>
      </c>
      <c r="C193" t="inlineStr">
        <is>
          <t>Clee Cycles</t>
        </is>
      </c>
      <c r="D193" t="inlineStr">
        <is>
          <t>60</t>
        </is>
      </c>
      <c r="E193">
        <f>HYPERLINK("https://www.britishcycling.org.uk/points?person_id=12692&amp;year=2021&amp;type=national&amp;d=6","Results")</f>
        <v/>
      </c>
    </row>
    <row r="194">
      <c r="A194" t="inlineStr">
        <is>
          <t>193</t>
        </is>
      </c>
      <c r="B194" t="inlineStr">
        <is>
          <t>Ben Reidy</t>
        </is>
      </c>
      <c r="C194" t="inlineStr">
        <is>
          <t>Cycle Club Ashwell (CCA)</t>
        </is>
      </c>
      <c r="D194" t="inlineStr">
        <is>
          <t>60</t>
        </is>
      </c>
      <c r="E194">
        <f>HYPERLINK("https://www.britishcycling.org.uk/points?person_id=189550&amp;year=2021&amp;type=national&amp;d=6","Results")</f>
        <v/>
      </c>
    </row>
    <row r="195">
      <c r="A195" t="inlineStr">
        <is>
          <t>194</t>
        </is>
      </c>
      <c r="B195" t="inlineStr">
        <is>
          <t>Gavin Slack</t>
        </is>
      </c>
      <c r="C195" t="inlineStr">
        <is>
          <t>Beacon Wheelers</t>
        </is>
      </c>
      <c r="D195" t="inlineStr">
        <is>
          <t>60</t>
        </is>
      </c>
      <c r="E195">
        <f>HYPERLINK("https://www.britishcycling.org.uk/points?person_id=281525&amp;year=2021&amp;type=national&amp;d=6","Results")</f>
        <v/>
      </c>
    </row>
    <row r="196">
      <c r="A196" t="inlineStr">
        <is>
          <t>195</t>
        </is>
      </c>
      <c r="B196" t="inlineStr">
        <is>
          <t>Luke Smith</t>
        </is>
      </c>
      <c r="C196" t="inlineStr"/>
      <c r="D196" t="inlineStr">
        <is>
          <t>60</t>
        </is>
      </c>
      <c r="E196">
        <f>HYPERLINK("https://www.britishcycling.org.uk/points?person_id=40750&amp;year=2021&amp;type=national&amp;d=6","Results")</f>
        <v/>
      </c>
    </row>
    <row r="197">
      <c r="A197" t="inlineStr">
        <is>
          <t>196</t>
        </is>
      </c>
      <c r="B197" t="inlineStr">
        <is>
          <t>Christian Aucote</t>
        </is>
      </c>
      <c r="C197" t="inlineStr"/>
      <c r="D197" t="inlineStr">
        <is>
          <t>59</t>
        </is>
      </c>
      <c r="E197">
        <f>HYPERLINK("https://www.britishcycling.org.uk/points?person_id=4840&amp;year=2021&amp;type=national&amp;d=6","Results")</f>
        <v/>
      </c>
    </row>
    <row r="198">
      <c r="A198" t="inlineStr">
        <is>
          <t>197</t>
        </is>
      </c>
      <c r="B198" t="inlineStr">
        <is>
          <t>Dimitri Demishev</t>
        </is>
      </c>
      <c r="C198" t="inlineStr">
        <is>
          <t>NLTCBMBC</t>
        </is>
      </c>
      <c r="D198" t="inlineStr">
        <is>
          <t>58</t>
        </is>
      </c>
      <c r="E198">
        <f>HYPERLINK("https://www.britishcycling.org.uk/points?person_id=153883&amp;year=2021&amp;type=national&amp;d=6","Results")</f>
        <v/>
      </c>
    </row>
    <row r="199">
      <c r="A199" t="inlineStr">
        <is>
          <t>198</t>
        </is>
      </c>
      <c r="B199" t="inlineStr">
        <is>
          <t>Leon Gierat</t>
        </is>
      </c>
      <c r="C199" t="inlineStr">
        <is>
          <t>Bristol CX</t>
        </is>
      </c>
      <c r="D199" t="inlineStr">
        <is>
          <t>58</t>
        </is>
      </c>
      <c r="E199">
        <f>HYPERLINK("https://www.britishcycling.org.uk/points?person_id=75740&amp;year=2021&amp;type=national&amp;d=6","Results")</f>
        <v/>
      </c>
    </row>
    <row r="200">
      <c r="A200" t="inlineStr">
        <is>
          <t>199</t>
        </is>
      </c>
      <c r="B200" t="inlineStr">
        <is>
          <t>David Ogden</t>
        </is>
      </c>
      <c r="C200" t="inlineStr">
        <is>
          <t>Deeside Thistle CC</t>
        </is>
      </c>
      <c r="D200" t="inlineStr">
        <is>
          <t>58</t>
        </is>
      </c>
      <c r="E200">
        <f>HYPERLINK("https://www.britishcycling.org.uk/points?person_id=856762&amp;year=2021&amp;type=national&amp;d=6","Results")</f>
        <v/>
      </c>
    </row>
    <row r="201">
      <c r="A201" t="inlineStr">
        <is>
          <t>200</t>
        </is>
      </c>
      <c r="B201" t="inlineStr">
        <is>
          <t>Ed Fraser</t>
        </is>
      </c>
      <c r="C201" t="inlineStr">
        <is>
          <t>Southborough &amp; District Whls</t>
        </is>
      </c>
      <c r="D201" t="inlineStr">
        <is>
          <t>57</t>
        </is>
      </c>
      <c r="E201">
        <f>HYPERLINK("https://www.britishcycling.org.uk/points?person_id=200047&amp;year=2021&amp;type=national&amp;d=6","Results")</f>
        <v/>
      </c>
    </row>
    <row r="202">
      <c r="A202" t="inlineStr">
        <is>
          <t>201</t>
        </is>
      </c>
      <c r="B202" t="inlineStr">
        <is>
          <t>Jeremy Addis</t>
        </is>
      </c>
      <c r="C202" t="inlineStr">
        <is>
          <t>Morvelo Magspeed Racing</t>
        </is>
      </c>
      <c r="D202" t="inlineStr">
        <is>
          <t>56</t>
        </is>
      </c>
      <c r="E202">
        <f>HYPERLINK("https://www.britishcycling.org.uk/points?person_id=2947&amp;year=2021&amp;type=national&amp;d=6","Results")</f>
        <v/>
      </c>
    </row>
    <row r="203">
      <c r="A203" t="inlineStr">
        <is>
          <t>202</t>
        </is>
      </c>
      <c r="B203" t="inlineStr">
        <is>
          <t>Stephen Bradbrook</t>
        </is>
      </c>
      <c r="C203" t="inlineStr">
        <is>
          <t>Marsh Tracks Racing - Trek</t>
        </is>
      </c>
      <c r="D203" t="inlineStr">
        <is>
          <t>56</t>
        </is>
      </c>
      <c r="E203">
        <f>HYPERLINK("https://www.britishcycling.org.uk/points?person_id=36965&amp;year=2021&amp;type=national&amp;d=6","Results")</f>
        <v/>
      </c>
    </row>
    <row r="204">
      <c r="A204" t="inlineStr">
        <is>
          <t>203</t>
        </is>
      </c>
      <c r="B204" t="inlineStr">
        <is>
          <t>Graeme Cross</t>
        </is>
      </c>
      <c r="C204" t="inlineStr">
        <is>
          <t>SR Albannach</t>
        </is>
      </c>
      <c r="D204" t="inlineStr">
        <is>
          <t>56</t>
        </is>
      </c>
      <c r="E204">
        <f>HYPERLINK("https://www.britishcycling.org.uk/points?person_id=179039&amp;year=2021&amp;type=national&amp;d=6","Results")</f>
        <v/>
      </c>
    </row>
    <row r="205">
      <c r="A205" t="inlineStr">
        <is>
          <t>204</t>
        </is>
      </c>
      <c r="B205" t="inlineStr">
        <is>
          <t>Ryan Harris</t>
        </is>
      </c>
      <c r="C205" t="inlineStr">
        <is>
          <t>C and N Cycles RT</t>
        </is>
      </c>
      <c r="D205" t="inlineStr">
        <is>
          <t>55</t>
        </is>
      </c>
      <c r="E205">
        <f>HYPERLINK("https://www.britishcycling.org.uk/points?person_id=605010&amp;year=2021&amp;type=national&amp;d=6","Results")</f>
        <v/>
      </c>
    </row>
    <row r="206">
      <c r="A206" t="inlineStr">
        <is>
          <t>205</t>
        </is>
      </c>
      <c r="B206" t="inlineStr">
        <is>
          <t>Darren Shaw</t>
        </is>
      </c>
      <c r="C206" t="inlineStr">
        <is>
          <t>Stourbridge Velo</t>
        </is>
      </c>
      <c r="D206" t="inlineStr">
        <is>
          <t>55</t>
        </is>
      </c>
      <c r="E206">
        <f>HYPERLINK("https://www.britishcycling.org.uk/points?person_id=40868&amp;year=2021&amp;type=national&amp;d=6","Results")</f>
        <v/>
      </c>
    </row>
    <row r="207">
      <c r="A207" t="inlineStr">
        <is>
          <t>206</t>
        </is>
      </c>
      <c r="B207" t="inlineStr">
        <is>
          <t>Jamie Murray</t>
        </is>
      </c>
      <c r="C207" t="inlineStr">
        <is>
          <t>Peterborough Cycling Club</t>
        </is>
      </c>
      <c r="D207" t="inlineStr">
        <is>
          <t>54</t>
        </is>
      </c>
      <c r="E207">
        <f>HYPERLINK("https://www.britishcycling.org.uk/points?person_id=666591&amp;year=2021&amp;type=national&amp;d=6","Results")</f>
        <v/>
      </c>
    </row>
    <row r="208">
      <c r="A208" t="inlineStr">
        <is>
          <t>207</t>
        </is>
      </c>
      <c r="B208" t="inlineStr">
        <is>
          <t>Edward Addis</t>
        </is>
      </c>
      <c r="C208" t="inlineStr">
        <is>
          <t>RT23</t>
        </is>
      </c>
      <c r="D208" t="inlineStr">
        <is>
          <t>52</t>
        </is>
      </c>
      <c r="E208">
        <f>HYPERLINK("https://www.britishcycling.org.uk/points?person_id=79356&amp;year=2021&amp;type=national&amp;d=6","Results")</f>
        <v/>
      </c>
    </row>
    <row r="209">
      <c r="A209" t="inlineStr">
        <is>
          <t>208</t>
        </is>
      </c>
      <c r="B209" t="inlineStr">
        <is>
          <t>Paul Bennett</t>
        </is>
      </c>
      <c r="C209" t="inlineStr"/>
      <c r="D209" t="inlineStr">
        <is>
          <t>52</t>
        </is>
      </c>
      <c r="E209">
        <f>HYPERLINK("https://www.britishcycling.org.uk/points?person_id=70324&amp;year=2021&amp;type=national&amp;d=6","Results")</f>
        <v/>
      </c>
    </row>
    <row r="210">
      <c r="A210" t="inlineStr">
        <is>
          <t>209</t>
        </is>
      </c>
      <c r="B210" t="inlineStr">
        <is>
          <t>Stuart Jameson</t>
        </is>
      </c>
      <c r="C210" t="inlineStr">
        <is>
          <t>Solihull CC</t>
        </is>
      </c>
      <c r="D210" t="inlineStr">
        <is>
          <t>52</t>
        </is>
      </c>
      <c r="E210">
        <f>HYPERLINK("https://www.britishcycling.org.uk/points?person_id=673041&amp;year=2021&amp;type=national&amp;d=6","Results")</f>
        <v/>
      </c>
    </row>
    <row r="211">
      <c r="A211" t="inlineStr">
        <is>
          <t>210</t>
        </is>
      </c>
      <c r="B211" t="inlineStr">
        <is>
          <t>Steven Smith</t>
        </is>
      </c>
      <c r="C211" t="inlineStr">
        <is>
          <t>Maybush CC</t>
        </is>
      </c>
      <c r="D211" t="inlineStr">
        <is>
          <t>52</t>
        </is>
      </c>
      <c r="E211">
        <f>HYPERLINK("https://www.britishcycling.org.uk/points?person_id=309293&amp;year=2021&amp;type=national&amp;d=6","Results")</f>
        <v/>
      </c>
    </row>
    <row r="212">
      <c r="A212" t="inlineStr">
        <is>
          <t>211</t>
        </is>
      </c>
      <c r="B212" t="inlineStr">
        <is>
          <t>Jonathon Snowden</t>
        </is>
      </c>
      <c r="C212" t="inlineStr"/>
      <c r="D212" t="inlineStr">
        <is>
          <t>52</t>
        </is>
      </c>
      <c r="E212">
        <f>HYPERLINK("https://www.britishcycling.org.uk/points?person_id=185037&amp;year=2021&amp;type=national&amp;d=6","Results")</f>
        <v/>
      </c>
    </row>
    <row r="213">
      <c r="A213" t="inlineStr">
        <is>
          <t>212</t>
        </is>
      </c>
      <c r="B213" t="inlineStr">
        <is>
          <t>David Cocker</t>
        </is>
      </c>
      <c r="C213" t="inlineStr">
        <is>
          <t>J's Cycle Shack</t>
        </is>
      </c>
      <c r="D213" t="inlineStr">
        <is>
          <t>51</t>
        </is>
      </c>
      <c r="E213">
        <f>HYPERLINK("https://www.britishcycling.org.uk/points?person_id=213173&amp;year=2021&amp;type=national&amp;d=6","Results")</f>
        <v/>
      </c>
    </row>
    <row r="214">
      <c r="A214" t="inlineStr">
        <is>
          <t>213</t>
        </is>
      </c>
      <c r="B214" t="inlineStr">
        <is>
          <t>Jason Elliott</t>
        </is>
      </c>
      <c r="C214" t="inlineStr">
        <is>
          <t>Doncaster Whls CC</t>
        </is>
      </c>
      <c r="D214" t="inlineStr">
        <is>
          <t>51</t>
        </is>
      </c>
      <c r="E214">
        <f>HYPERLINK("https://www.britishcycling.org.uk/points?person_id=725072&amp;year=2021&amp;type=national&amp;d=6","Results")</f>
        <v/>
      </c>
    </row>
    <row r="215">
      <c r="A215" t="inlineStr">
        <is>
          <t>214</t>
        </is>
      </c>
      <c r="B215" t="inlineStr">
        <is>
          <t>Dennis Randell</t>
        </is>
      </c>
      <c r="C215" t="inlineStr">
        <is>
          <t>Chepstow Cycling Club</t>
        </is>
      </c>
      <c r="D215" t="inlineStr">
        <is>
          <t>51</t>
        </is>
      </c>
      <c r="E215">
        <f>HYPERLINK("https://www.britishcycling.org.uk/points?person_id=766305&amp;year=2021&amp;type=national&amp;d=6","Results")</f>
        <v/>
      </c>
    </row>
    <row r="216">
      <c r="A216" t="inlineStr">
        <is>
          <t>215</t>
        </is>
      </c>
      <c r="B216" t="inlineStr">
        <is>
          <t>Chris Smith</t>
        </is>
      </c>
      <c r="C216" t="inlineStr">
        <is>
          <t>Reifen Racing</t>
        </is>
      </c>
      <c r="D216" t="inlineStr">
        <is>
          <t>51</t>
        </is>
      </c>
      <c r="E216">
        <f>HYPERLINK("https://www.britishcycling.org.uk/points?person_id=731664&amp;year=2021&amp;type=national&amp;d=6","Results")</f>
        <v/>
      </c>
    </row>
    <row r="217">
      <c r="A217" t="inlineStr">
        <is>
          <t>216</t>
        </is>
      </c>
      <c r="B217" t="inlineStr">
        <is>
          <t>Andy Hurst</t>
        </is>
      </c>
      <c r="C217" t="inlineStr">
        <is>
          <t>Amisvelo Racing Team</t>
        </is>
      </c>
      <c r="D217" t="inlineStr">
        <is>
          <t>50</t>
        </is>
      </c>
      <c r="E217">
        <f>HYPERLINK("https://www.britishcycling.org.uk/points?person_id=185655&amp;year=2021&amp;type=national&amp;d=6","Results")</f>
        <v/>
      </c>
    </row>
    <row r="218">
      <c r="A218" t="inlineStr">
        <is>
          <t>217</t>
        </is>
      </c>
      <c r="B218" t="inlineStr">
        <is>
          <t>Stuart Gough</t>
        </is>
      </c>
      <c r="C218" t="inlineStr">
        <is>
          <t>Beds Road Race Team</t>
        </is>
      </c>
      <c r="D218" t="inlineStr">
        <is>
          <t>49</t>
        </is>
      </c>
      <c r="E218">
        <f>HYPERLINK("https://www.britishcycling.org.uk/points?person_id=873269&amp;year=2021&amp;type=national&amp;d=6","Results")</f>
        <v/>
      </c>
    </row>
    <row r="219">
      <c r="A219" t="inlineStr">
        <is>
          <t>218</t>
        </is>
      </c>
      <c r="B219" t="inlineStr">
        <is>
          <t>Darren Binks</t>
        </is>
      </c>
      <c r="C219" t="inlineStr">
        <is>
          <t>Sowerby Sunday Club</t>
        </is>
      </c>
      <c r="D219" t="inlineStr">
        <is>
          <t>47</t>
        </is>
      </c>
      <c r="E219">
        <f>HYPERLINK("https://www.britishcycling.org.uk/points?person_id=23434&amp;year=2021&amp;type=national&amp;d=6","Results")</f>
        <v/>
      </c>
    </row>
    <row r="220">
      <c r="A220" t="inlineStr">
        <is>
          <t>219</t>
        </is>
      </c>
      <c r="B220" t="inlineStr">
        <is>
          <t>Stuart Reid</t>
        </is>
      </c>
      <c r="C220" t="inlineStr">
        <is>
          <t>Wheelbase CabTech Castelli</t>
        </is>
      </c>
      <c r="D220" t="inlineStr">
        <is>
          <t>46</t>
        </is>
      </c>
      <c r="E220">
        <f>HYPERLINK("https://www.britishcycling.org.uk/points?person_id=14456&amp;year=2021&amp;type=national&amp;d=6","Results")</f>
        <v/>
      </c>
    </row>
    <row r="221">
      <c r="A221" t="inlineStr">
        <is>
          <t>220</t>
        </is>
      </c>
      <c r="B221" t="inlineStr">
        <is>
          <t>James Wilson</t>
        </is>
      </c>
      <c r="C221" t="inlineStr"/>
      <c r="D221" t="inlineStr">
        <is>
          <t>46</t>
        </is>
      </c>
      <c r="E221">
        <f>HYPERLINK("https://www.britishcycling.org.uk/points?person_id=34802&amp;year=2021&amp;type=national&amp;d=6","Results")</f>
        <v/>
      </c>
    </row>
    <row r="222">
      <c r="A222" t="inlineStr">
        <is>
          <t>221</t>
        </is>
      </c>
      <c r="B222" t="inlineStr">
        <is>
          <t>Colin Bailey</t>
        </is>
      </c>
      <c r="C222" t="inlineStr">
        <is>
          <t>North Road CC</t>
        </is>
      </c>
      <c r="D222" t="inlineStr">
        <is>
          <t>45</t>
        </is>
      </c>
      <c r="E222">
        <f>HYPERLINK("https://www.britishcycling.org.uk/points?person_id=62179&amp;year=2021&amp;type=national&amp;d=6","Results")</f>
        <v/>
      </c>
    </row>
    <row r="223">
      <c r="A223" t="inlineStr">
        <is>
          <t>222</t>
        </is>
      </c>
      <c r="B223" t="inlineStr">
        <is>
          <t>Matthew Denny</t>
        </is>
      </c>
      <c r="C223" t="inlineStr">
        <is>
          <t>West Suffolk Wheelers</t>
        </is>
      </c>
      <c r="D223" t="inlineStr">
        <is>
          <t>44</t>
        </is>
      </c>
      <c r="E223">
        <f>HYPERLINK("https://www.britishcycling.org.uk/points?person_id=289286&amp;year=2021&amp;type=national&amp;d=6","Results")</f>
        <v/>
      </c>
    </row>
    <row r="224">
      <c r="A224" t="inlineStr">
        <is>
          <t>223</t>
        </is>
      </c>
      <c r="B224" t="inlineStr">
        <is>
          <t>Paul Horsfall</t>
        </is>
      </c>
      <c r="C224" t="inlineStr">
        <is>
          <t>VeloVitesse</t>
        </is>
      </c>
      <c r="D224" t="inlineStr">
        <is>
          <t>44</t>
        </is>
      </c>
      <c r="E224">
        <f>HYPERLINK("https://www.britishcycling.org.uk/points?person_id=2580&amp;year=2021&amp;type=national&amp;d=6","Results")</f>
        <v/>
      </c>
    </row>
    <row r="225">
      <c r="A225" t="inlineStr">
        <is>
          <t>224</t>
        </is>
      </c>
      <c r="B225" t="inlineStr">
        <is>
          <t>James Norris</t>
        </is>
      </c>
      <c r="C225" t="inlineStr">
        <is>
          <t>Cinnamon Cafe-Oriel Finance SDRT</t>
        </is>
      </c>
      <c r="D225" t="inlineStr">
        <is>
          <t>44</t>
        </is>
      </c>
      <c r="E225">
        <f>HYPERLINK("https://www.britishcycling.org.uk/points?person_id=20863&amp;year=2021&amp;type=national&amp;d=6","Results")</f>
        <v/>
      </c>
    </row>
    <row r="226">
      <c r="A226" t="inlineStr">
        <is>
          <t>225</t>
        </is>
      </c>
      <c r="B226" t="inlineStr">
        <is>
          <t>Magnus Wills</t>
        </is>
      </c>
      <c r="C226" t="inlineStr">
        <is>
          <t>Dulwich Paragon CC</t>
        </is>
      </c>
      <c r="D226" t="inlineStr">
        <is>
          <t>44</t>
        </is>
      </c>
      <c r="E226">
        <f>HYPERLINK("https://www.britishcycling.org.uk/points?person_id=308074&amp;year=2021&amp;type=national&amp;d=6","Results")</f>
        <v/>
      </c>
    </row>
    <row r="227">
      <c r="A227" t="inlineStr">
        <is>
          <t>226</t>
        </is>
      </c>
      <c r="B227" t="inlineStr">
        <is>
          <t>Joe Loader</t>
        </is>
      </c>
      <c r="C227" t="inlineStr">
        <is>
          <t>Reflex Racing</t>
        </is>
      </c>
      <c r="D227" t="inlineStr">
        <is>
          <t>43</t>
        </is>
      </c>
      <c r="E227">
        <f>HYPERLINK("https://www.britishcycling.org.uk/points?person_id=233678&amp;year=2021&amp;type=national&amp;d=6","Results")</f>
        <v/>
      </c>
    </row>
    <row r="228">
      <c r="A228" t="inlineStr">
        <is>
          <t>227</t>
        </is>
      </c>
      <c r="B228" t="inlineStr">
        <is>
          <t>Jason Brooks</t>
        </is>
      </c>
      <c r="C228" t="inlineStr">
        <is>
          <t>Wilsons Wheels Race Team</t>
        </is>
      </c>
      <c r="D228" t="inlineStr">
        <is>
          <t>42</t>
        </is>
      </c>
      <c r="E228">
        <f>HYPERLINK("https://www.britishcycling.org.uk/points?person_id=751375&amp;year=2021&amp;type=national&amp;d=6","Results")</f>
        <v/>
      </c>
    </row>
    <row r="229">
      <c r="A229" t="inlineStr">
        <is>
          <t>228</t>
        </is>
      </c>
      <c r="B229" t="inlineStr">
        <is>
          <t>Iain Fairley</t>
        </is>
      </c>
      <c r="C229" t="inlineStr">
        <is>
          <t>Gower Riders</t>
        </is>
      </c>
      <c r="D229" t="inlineStr">
        <is>
          <t>42</t>
        </is>
      </c>
      <c r="E229">
        <f>HYPERLINK("https://www.britishcycling.org.uk/points?person_id=328054&amp;year=2021&amp;type=national&amp;d=6","Results")</f>
        <v/>
      </c>
    </row>
    <row r="230">
      <c r="A230" t="inlineStr">
        <is>
          <t>229</t>
        </is>
      </c>
      <c r="B230" t="inlineStr">
        <is>
          <t>Kevin Lister</t>
        </is>
      </c>
      <c r="C230" t="inlineStr">
        <is>
          <t>Kenilworth Wheelers CC</t>
        </is>
      </c>
      <c r="D230" t="inlineStr">
        <is>
          <t>42</t>
        </is>
      </c>
      <c r="E230">
        <f>HYPERLINK("https://www.britishcycling.org.uk/points?person_id=119632&amp;year=2021&amp;type=national&amp;d=6","Results")</f>
        <v/>
      </c>
    </row>
    <row r="231">
      <c r="A231" t="inlineStr">
        <is>
          <t>230</t>
        </is>
      </c>
      <c r="B231" t="inlineStr">
        <is>
          <t>Damian Robertson</t>
        </is>
      </c>
      <c r="C231" t="inlineStr">
        <is>
          <t>www.cyclocrossrider.com</t>
        </is>
      </c>
      <c r="D231" t="inlineStr">
        <is>
          <t>42</t>
        </is>
      </c>
      <c r="E231">
        <f>HYPERLINK("https://www.britishcycling.org.uk/points?person_id=258304&amp;year=2021&amp;type=national&amp;d=6","Results")</f>
        <v/>
      </c>
    </row>
    <row r="232">
      <c r="A232" t="inlineStr">
        <is>
          <t>231</t>
        </is>
      </c>
      <c r="B232" t="inlineStr">
        <is>
          <t>James Tugwell</t>
        </is>
      </c>
      <c r="C232" t="inlineStr">
        <is>
          <t>Maindy Flyers CC</t>
        </is>
      </c>
      <c r="D232" t="inlineStr">
        <is>
          <t>42</t>
        </is>
      </c>
      <c r="E232">
        <f>HYPERLINK("https://www.britishcycling.org.uk/points?person_id=316350&amp;year=2021&amp;type=national&amp;d=6","Results")</f>
        <v/>
      </c>
    </row>
    <row r="233">
      <c r="A233" t="inlineStr">
        <is>
          <t>232</t>
        </is>
      </c>
      <c r="B233" t="inlineStr">
        <is>
          <t>Steven Bloor</t>
        </is>
      </c>
      <c r="C233" t="inlineStr">
        <is>
          <t>Matlock CC</t>
        </is>
      </c>
      <c r="D233" t="inlineStr">
        <is>
          <t>41</t>
        </is>
      </c>
      <c r="E233">
        <f>HYPERLINK("https://www.britishcycling.org.uk/points?person_id=6620&amp;year=2021&amp;type=national&amp;d=6","Results")</f>
        <v/>
      </c>
    </row>
    <row r="234">
      <c r="A234" t="inlineStr">
        <is>
          <t>233</t>
        </is>
      </c>
      <c r="B234" t="inlineStr">
        <is>
          <t>Paul Brown</t>
        </is>
      </c>
      <c r="C234" t="inlineStr">
        <is>
          <t>Fietsen Tempo</t>
        </is>
      </c>
      <c r="D234" t="inlineStr">
        <is>
          <t>41</t>
        </is>
      </c>
      <c r="E234">
        <f>HYPERLINK("https://www.britishcycling.org.uk/points?person_id=312676&amp;year=2021&amp;type=national&amp;d=6","Results")</f>
        <v/>
      </c>
    </row>
    <row r="235">
      <c r="A235" t="inlineStr">
        <is>
          <t>234</t>
        </is>
      </c>
      <c r="B235" t="inlineStr">
        <is>
          <t>Vince Potter</t>
        </is>
      </c>
      <c r="C235" t="inlineStr">
        <is>
          <t>NRG Cycles RT</t>
        </is>
      </c>
      <c r="D235" t="inlineStr">
        <is>
          <t>41</t>
        </is>
      </c>
      <c r="E235">
        <f>HYPERLINK("https://www.britishcycling.org.uk/points?person_id=57948&amp;year=2021&amp;type=national&amp;d=6","Results")</f>
        <v/>
      </c>
    </row>
    <row r="236">
      <c r="A236" t="inlineStr">
        <is>
          <t>235</t>
        </is>
      </c>
      <c r="B236" t="inlineStr">
        <is>
          <t>Oliver Beckingsale</t>
        </is>
      </c>
      <c r="C236" t="inlineStr"/>
      <c r="D236" t="inlineStr">
        <is>
          <t>40</t>
        </is>
      </c>
      <c r="E236">
        <f>HYPERLINK("https://www.britishcycling.org.uk/points?person_id=12266&amp;year=2021&amp;type=national&amp;d=6","Results")</f>
        <v/>
      </c>
    </row>
    <row r="237">
      <c r="A237" t="inlineStr">
        <is>
          <t>236</t>
        </is>
      </c>
      <c r="B237" t="inlineStr">
        <is>
          <t>Jason Clark</t>
        </is>
      </c>
      <c r="C237" t="inlineStr">
        <is>
          <t>Velo Club Lincoln</t>
        </is>
      </c>
      <c r="D237" t="inlineStr">
        <is>
          <t>40</t>
        </is>
      </c>
      <c r="E237">
        <f>HYPERLINK("https://www.britishcycling.org.uk/points?person_id=12540&amp;year=2021&amp;type=national&amp;d=6","Results")</f>
        <v/>
      </c>
    </row>
    <row r="238">
      <c r="A238" t="inlineStr">
        <is>
          <t>237</t>
        </is>
      </c>
      <c r="B238" t="inlineStr">
        <is>
          <t>Phillip Glaze</t>
        </is>
      </c>
      <c r="C238" t="inlineStr">
        <is>
          <t>FISHFACE CYCLES RT</t>
        </is>
      </c>
      <c r="D238" t="inlineStr">
        <is>
          <t>40</t>
        </is>
      </c>
      <c r="E238">
        <f>HYPERLINK("https://www.britishcycling.org.uk/points?person_id=347498&amp;year=2021&amp;type=national&amp;d=6","Results")</f>
        <v/>
      </c>
    </row>
    <row r="239">
      <c r="A239" t="inlineStr">
        <is>
          <t>238</t>
        </is>
      </c>
      <c r="B239" t="inlineStr">
        <is>
          <t>Jon Hare</t>
        </is>
      </c>
      <c r="C239" t="inlineStr">
        <is>
          <t>Exeter Wheelers</t>
        </is>
      </c>
      <c r="D239" t="inlineStr">
        <is>
          <t>40</t>
        </is>
      </c>
      <c r="E239">
        <f>HYPERLINK("https://www.britishcycling.org.uk/points?person_id=264703&amp;year=2021&amp;type=national&amp;d=6","Results")</f>
        <v/>
      </c>
    </row>
    <row r="240">
      <c r="A240" t="inlineStr">
        <is>
          <t>239</t>
        </is>
      </c>
      <c r="B240" t="inlineStr">
        <is>
          <t>Christopher Hill</t>
        </is>
      </c>
      <c r="C240" t="inlineStr">
        <is>
          <t>A403 Rogue</t>
        </is>
      </c>
      <c r="D240" t="inlineStr">
        <is>
          <t>40</t>
        </is>
      </c>
      <c r="E240">
        <f>HYPERLINK("https://www.britishcycling.org.uk/points?person_id=254197&amp;year=2021&amp;type=national&amp;d=6","Results")</f>
        <v/>
      </c>
    </row>
    <row r="241">
      <c r="A241" t="inlineStr">
        <is>
          <t>240</t>
        </is>
      </c>
      <c r="B241" t="inlineStr">
        <is>
          <t>Stephen Walton</t>
        </is>
      </c>
      <c r="C241" t="inlineStr">
        <is>
          <t>Muckle Cycle Club</t>
        </is>
      </c>
      <c r="D241" t="inlineStr">
        <is>
          <t>39</t>
        </is>
      </c>
      <c r="E241">
        <f>HYPERLINK("https://www.britishcycling.org.uk/points?person_id=31236&amp;year=2021&amp;type=national&amp;d=6","Results")</f>
        <v/>
      </c>
    </row>
    <row r="242">
      <c r="A242" t="inlineStr">
        <is>
          <t>241</t>
        </is>
      </c>
      <c r="B242" t="inlineStr">
        <is>
          <t>Jonathan Needham</t>
        </is>
      </c>
      <c r="C242" t="inlineStr">
        <is>
          <t>GS Invicta-ELO-Herberts Cycles</t>
        </is>
      </c>
      <c r="D242" t="inlineStr">
        <is>
          <t>38</t>
        </is>
      </c>
      <c r="E242">
        <f>HYPERLINK("https://www.britishcycling.org.uk/points?person_id=119893&amp;year=2021&amp;type=national&amp;d=6","Results")</f>
        <v/>
      </c>
    </row>
    <row r="243">
      <c r="A243" t="inlineStr">
        <is>
          <t>242</t>
        </is>
      </c>
      <c r="B243" t="inlineStr">
        <is>
          <t>Barney Horne</t>
        </is>
      </c>
      <c r="C243" t="inlineStr">
        <is>
          <t>Norwich Amateur BC</t>
        </is>
      </c>
      <c r="D243" t="inlineStr">
        <is>
          <t>37</t>
        </is>
      </c>
      <c r="E243">
        <f>HYPERLINK("https://www.britishcycling.org.uk/points?person_id=20521&amp;year=2021&amp;type=national&amp;d=6","Results")</f>
        <v/>
      </c>
    </row>
    <row r="244">
      <c r="A244" t="inlineStr">
        <is>
          <t>243</t>
        </is>
      </c>
      <c r="B244" t="inlineStr">
        <is>
          <t>Robert Friel</t>
        </is>
      </c>
      <c r="C244" t="inlineStr">
        <is>
          <t>Vanelli-Project Go</t>
        </is>
      </c>
      <c r="D244" t="inlineStr">
        <is>
          <t>36</t>
        </is>
      </c>
      <c r="E244">
        <f>HYPERLINK("https://www.britishcycling.org.uk/points?person_id=16993&amp;year=2021&amp;type=national&amp;d=6","Results")</f>
        <v/>
      </c>
    </row>
    <row r="245">
      <c r="A245" t="inlineStr">
        <is>
          <t>244</t>
        </is>
      </c>
      <c r="B245" t="inlineStr">
        <is>
          <t>Mark Gower</t>
        </is>
      </c>
      <c r="C245" t="inlineStr">
        <is>
          <t>Precise Performance RT</t>
        </is>
      </c>
      <c r="D245" t="inlineStr">
        <is>
          <t>36</t>
        </is>
      </c>
      <c r="E245">
        <f>HYPERLINK("https://www.britishcycling.org.uk/points?person_id=3731&amp;year=2021&amp;type=national&amp;d=6","Results")</f>
        <v/>
      </c>
    </row>
    <row r="246">
      <c r="A246" t="inlineStr">
        <is>
          <t>245</t>
        </is>
      </c>
      <c r="B246" t="inlineStr">
        <is>
          <t>Andrew Mosley</t>
        </is>
      </c>
      <c r="C246" t="inlineStr">
        <is>
          <t>Lincoln Wheelers CC</t>
        </is>
      </c>
      <c r="D246" t="inlineStr">
        <is>
          <t>36</t>
        </is>
      </c>
      <c r="E246">
        <f>HYPERLINK("https://www.britishcycling.org.uk/points?person_id=60116&amp;year=2021&amp;type=national&amp;d=6","Results")</f>
        <v/>
      </c>
    </row>
    <row r="247">
      <c r="A247" t="inlineStr">
        <is>
          <t>246</t>
        </is>
      </c>
      <c r="B247" t="inlineStr">
        <is>
          <t>Mike Padfield</t>
        </is>
      </c>
      <c r="C247" t="inlineStr">
        <is>
          <t>North Norfolk Wheelers CC</t>
        </is>
      </c>
      <c r="D247" t="inlineStr">
        <is>
          <t>35</t>
        </is>
      </c>
      <c r="E247">
        <f>HYPERLINK("https://www.britishcycling.org.uk/points?person_id=588095&amp;year=2021&amp;type=national&amp;d=6","Results")</f>
        <v/>
      </c>
    </row>
    <row r="248">
      <c r="A248" t="inlineStr">
        <is>
          <t>247</t>
        </is>
      </c>
      <c r="B248" t="inlineStr">
        <is>
          <t>Benjamin Bartlett</t>
        </is>
      </c>
      <c r="C248" t="inlineStr">
        <is>
          <t>Folkestone Velo Club</t>
        </is>
      </c>
      <c r="D248" t="inlineStr">
        <is>
          <t>34</t>
        </is>
      </c>
      <c r="E248">
        <f>HYPERLINK("https://www.britishcycling.org.uk/points?person_id=247366&amp;year=2021&amp;type=national&amp;d=6","Results")</f>
        <v/>
      </c>
    </row>
    <row r="249">
      <c r="A249" t="inlineStr">
        <is>
          <t>248</t>
        </is>
      </c>
      <c r="B249" t="inlineStr">
        <is>
          <t>Andy Edwards</t>
        </is>
      </c>
      <c r="C249" t="inlineStr">
        <is>
          <t>FTP-Fulfil The Potential-Racing</t>
        </is>
      </c>
      <c r="D249" t="inlineStr">
        <is>
          <t>34</t>
        </is>
      </c>
      <c r="E249">
        <f>HYPERLINK("https://www.britishcycling.org.uk/points?person_id=8165&amp;year=2021&amp;type=national&amp;d=6","Results")</f>
        <v/>
      </c>
    </row>
    <row r="250">
      <c r="A250" t="inlineStr">
        <is>
          <t>249</t>
        </is>
      </c>
      <c r="B250" t="inlineStr">
        <is>
          <t>Simon Laws</t>
        </is>
      </c>
      <c r="C250" t="inlineStr">
        <is>
          <t>GS Vecchi</t>
        </is>
      </c>
      <c r="D250" t="inlineStr">
        <is>
          <t>34</t>
        </is>
      </c>
      <c r="E250">
        <f>HYPERLINK("https://www.britishcycling.org.uk/points?person_id=136646&amp;year=2021&amp;type=national&amp;d=6","Results")</f>
        <v/>
      </c>
    </row>
    <row r="251">
      <c r="A251" t="inlineStr">
        <is>
          <t>250</t>
        </is>
      </c>
      <c r="B251" t="inlineStr">
        <is>
          <t>James Malone</t>
        </is>
      </c>
      <c r="C251" t="inlineStr">
        <is>
          <t>Dulwich Paragon CC</t>
        </is>
      </c>
      <c r="D251" t="inlineStr">
        <is>
          <t>34</t>
        </is>
      </c>
      <c r="E251">
        <f>HYPERLINK("https://www.britishcycling.org.uk/points?person_id=361576&amp;year=2021&amp;type=national&amp;d=6","Results")</f>
        <v/>
      </c>
    </row>
    <row r="252">
      <c r="A252" t="inlineStr">
        <is>
          <t>251</t>
        </is>
      </c>
      <c r="B252" t="inlineStr">
        <is>
          <t>Simon Miller</t>
        </is>
      </c>
      <c r="C252" t="inlineStr">
        <is>
          <t>Southborough &amp; District Whls</t>
        </is>
      </c>
      <c r="D252" t="inlineStr">
        <is>
          <t>33</t>
        </is>
      </c>
      <c r="E252">
        <f>HYPERLINK("https://www.britishcycling.org.uk/points?person_id=574507&amp;year=2021&amp;type=national&amp;d=6","Results")</f>
        <v/>
      </c>
    </row>
    <row r="253">
      <c r="A253" t="inlineStr">
        <is>
          <t>252</t>
        </is>
      </c>
      <c r="B253" t="inlineStr">
        <is>
          <t>Daniel Atkins</t>
        </is>
      </c>
      <c r="C253" t="inlineStr">
        <is>
          <t>Didcot Phoenix CC</t>
        </is>
      </c>
      <c r="D253" t="inlineStr">
        <is>
          <t>32</t>
        </is>
      </c>
      <c r="E253">
        <f>HYPERLINK("https://www.britishcycling.org.uk/points?person_id=238402&amp;year=2021&amp;type=national&amp;d=6","Results")</f>
        <v/>
      </c>
    </row>
    <row r="254">
      <c r="A254" t="inlineStr">
        <is>
          <t>253</t>
        </is>
      </c>
      <c r="B254" t="inlineStr">
        <is>
          <t>Paul Beattie</t>
        </is>
      </c>
      <c r="C254" t="inlineStr">
        <is>
          <t>Royal Air Force CA</t>
        </is>
      </c>
      <c r="D254" t="inlineStr">
        <is>
          <t>32</t>
        </is>
      </c>
      <c r="E254">
        <f>HYPERLINK("https://www.britishcycling.org.uk/points?person_id=211642&amp;year=2021&amp;type=national&amp;d=6","Results")</f>
        <v/>
      </c>
    </row>
    <row r="255">
      <c r="A255" t="inlineStr">
        <is>
          <t>254</t>
        </is>
      </c>
      <c r="B255" t="inlineStr">
        <is>
          <t>Kevin Belton</t>
        </is>
      </c>
      <c r="C255" t="inlineStr">
        <is>
          <t>Forres CC</t>
        </is>
      </c>
      <c r="D255" t="inlineStr">
        <is>
          <t>32</t>
        </is>
      </c>
      <c r="E255">
        <f>HYPERLINK("https://www.britishcycling.org.uk/points?person_id=247621&amp;year=2021&amp;type=national&amp;d=6","Results")</f>
        <v/>
      </c>
    </row>
    <row r="256">
      <c r="A256" t="inlineStr">
        <is>
          <t>255</t>
        </is>
      </c>
      <c r="B256" t="inlineStr">
        <is>
          <t>Daniel Di Principe</t>
        </is>
      </c>
      <c r="C256" t="inlineStr">
        <is>
          <t>Kingston Wheelers CC</t>
        </is>
      </c>
      <c r="D256" t="inlineStr">
        <is>
          <t>32</t>
        </is>
      </c>
      <c r="E256">
        <f>HYPERLINK("https://www.britishcycling.org.uk/points?person_id=188192&amp;year=2021&amp;type=national&amp;d=6","Results")</f>
        <v/>
      </c>
    </row>
    <row r="257">
      <c r="A257" t="inlineStr">
        <is>
          <t>256</t>
        </is>
      </c>
      <c r="B257" t="inlineStr">
        <is>
          <t>Paul Bailey</t>
        </is>
      </c>
      <c r="C257" t="inlineStr">
        <is>
          <t>Bridgnorth Cycling Club</t>
        </is>
      </c>
      <c r="D257" t="inlineStr">
        <is>
          <t>31</t>
        </is>
      </c>
      <c r="E257">
        <f>HYPERLINK("https://www.britishcycling.org.uk/points?person_id=17164&amp;year=2021&amp;type=national&amp;d=6","Results")</f>
        <v/>
      </c>
    </row>
    <row r="258">
      <c r="A258" t="inlineStr">
        <is>
          <t>257</t>
        </is>
      </c>
      <c r="B258" t="inlineStr">
        <is>
          <t>Stewart Melling</t>
        </is>
      </c>
      <c r="C258" t="inlineStr"/>
      <c r="D258" t="inlineStr">
        <is>
          <t>31</t>
        </is>
      </c>
      <c r="E258">
        <f>HYPERLINK("https://www.britishcycling.org.uk/points?person_id=239632&amp;year=2021&amp;type=national&amp;d=6","Results")</f>
        <v/>
      </c>
    </row>
    <row r="259">
      <c r="A259" t="inlineStr">
        <is>
          <t>258</t>
        </is>
      </c>
      <c r="B259" t="inlineStr">
        <is>
          <t>Nathan Smith</t>
        </is>
      </c>
      <c r="C259" t="inlineStr"/>
      <c r="D259" t="inlineStr">
        <is>
          <t>31</t>
        </is>
      </c>
      <c r="E259">
        <f>HYPERLINK("https://www.britishcycling.org.uk/points?person_id=183433&amp;year=2021&amp;type=national&amp;d=6","Results")</f>
        <v/>
      </c>
    </row>
    <row r="260">
      <c r="A260" t="inlineStr">
        <is>
          <t>259</t>
        </is>
      </c>
      <c r="B260" t="inlineStr">
        <is>
          <t>Phil Smith</t>
        </is>
      </c>
      <c r="C260" t="inlineStr">
        <is>
          <t>Lakes RC</t>
        </is>
      </c>
      <c r="D260" t="inlineStr">
        <is>
          <t>31</t>
        </is>
      </c>
      <c r="E260">
        <f>HYPERLINK("https://www.britishcycling.org.uk/points?person_id=22458&amp;year=2021&amp;type=national&amp;d=6","Results")</f>
        <v/>
      </c>
    </row>
    <row r="261">
      <c r="A261" t="inlineStr">
        <is>
          <t>260</t>
        </is>
      </c>
      <c r="B261" t="inlineStr">
        <is>
          <t>Jose Vicente-Garcia</t>
        </is>
      </c>
      <c r="C261" t="inlineStr">
        <is>
          <t>CC Sudbury</t>
        </is>
      </c>
      <c r="D261" t="inlineStr">
        <is>
          <t>31</t>
        </is>
      </c>
      <c r="E261">
        <f>HYPERLINK("https://www.britishcycling.org.uk/points?person_id=772073&amp;year=2021&amp;type=national&amp;d=6","Results")</f>
        <v/>
      </c>
    </row>
    <row r="262">
      <c r="A262" t="inlineStr">
        <is>
          <t>261</t>
        </is>
      </c>
      <c r="B262" t="inlineStr">
        <is>
          <t>Paul White</t>
        </is>
      </c>
      <c r="C262" t="inlineStr">
        <is>
          <t>WDMBC</t>
        </is>
      </c>
      <c r="D262" t="inlineStr">
        <is>
          <t>31</t>
        </is>
      </c>
      <c r="E262">
        <f>HYPERLINK("https://www.britishcycling.org.uk/points?person_id=413974&amp;year=2021&amp;type=national&amp;d=6","Results")</f>
        <v/>
      </c>
    </row>
    <row r="263">
      <c r="A263" t="inlineStr">
        <is>
          <t>262</t>
        </is>
      </c>
      <c r="B263" t="inlineStr">
        <is>
          <t>Will Hutchins</t>
        </is>
      </c>
      <c r="C263" t="inlineStr">
        <is>
          <t>WarVena Racing Team</t>
        </is>
      </c>
      <c r="D263" t="inlineStr">
        <is>
          <t>30</t>
        </is>
      </c>
      <c r="E263">
        <f>HYPERLINK("https://www.britishcycling.org.uk/points?person_id=320784&amp;year=2021&amp;type=national&amp;d=6","Results")</f>
        <v/>
      </c>
    </row>
    <row r="264">
      <c r="A264" t="inlineStr">
        <is>
          <t>263</t>
        </is>
      </c>
      <c r="B264" t="inlineStr">
        <is>
          <t>Daniel Lewis</t>
        </is>
      </c>
      <c r="C264" t="inlineStr">
        <is>
          <t>Royal Air Force CA</t>
        </is>
      </c>
      <c r="D264" t="inlineStr">
        <is>
          <t>30</t>
        </is>
      </c>
      <c r="E264">
        <f>HYPERLINK("https://www.britishcycling.org.uk/points?person_id=115&amp;year=2021&amp;type=national&amp;d=6","Results")</f>
        <v/>
      </c>
    </row>
    <row r="265">
      <c r="A265" t="inlineStr">
        <is>
          <t>264</t>
        </is>
      </c>
      <c r="B265" t="inlineStr">
        <is>
          <t>James Oldroyd</t>
        </is>
      </c>
      <c r="C265" t="inlineStr">
        <is>
          <t>Calder Clarion CC</t>
        </is>
      </c>
      <c r="D265" t="inlineStr">
        <is>
          <t>30</t>
        </is>
      </c>
      <c r="E265">
        <f>HYPERLINK("https://www.britishcycling.org.uk/points?person_id=198673&amp;year=2021&amp;type=national&amp;d=6","Results")</f>
        <v/>
      </c>
    </row>
    <row r="266">
      <c r="A266" t="inlineStr">
        <is>
          <t>265</t>
        </is>
      </c>
      <c r="B266" t="inlineStr">
        <is>
          <t>Duncan Rimmer</t>
        </is>
      </c>
      <c r="C266" t="inlineStr">
        <is>
          <t>Morden Cycle Racing Club</t>
        </is>
      </c>
      <c r="D266" t="inlineStr">
        <is>
          <t>29</t>
        </is>
      </c>
      <c r="E266">
        <f>HYPERLINK("https://www.britishcycling.org.uk/points?person_id=45766&amp;year=2021&amp;type=national&amp;d=6","Results")</f>
        <v/>
      </c>
    </row>
    <row r="267">
      <c r="A267" t="inlineStr">
        <is>
          <t>266</t>
        </is>
      </c>
      <c r="B267" t="inlineStr">
        <is>
          <t>Malcolm Davies</t>
        </is>
      </c>
      <c r="C267" t="inlineStr">
        <is>
          <t>4T+ Cyclopark</t>
        </is>
      </c>
      <c r="D267" t="inlineStr">
        <is>
          <t>28</t>
        </is>
      </c>
      <c r="E267">
        <f>HYPERLINK("https://www.britishcycling.org.uk/points?person_id=18590&amp;year=2021&amp;type=national&amp;d=6","Results")</f>
        <v/>
      </c>
    </row>
    <row r="268">
      <c r="A268" t="inlineStr">
        <is>
          <t>267</t>
        </is>
      </c>
      <c r="B268" t="inlineStr">
        <is>
          <t>Ryan Machin</t>
        </is>
      </c>
      <c r="C268" t="inlineStr">
        <is>
          <t>Crawley Wheelers Race Team</t>
        </is>
      </c>
      <c r="D268" t="inlineStr">
        <is>
          <t>28</t>
        </is>
      </c>
      <c r="E268">
        <f>HYPERLINK("https://www.britishcycling.org.uk/points?person_id=315652&amp;year=2021&amp;type=national&amp;d=6","Results")</f>
        <v/>
      </c>
    </row>
    <row r="269">
      <c r="A269" t="inlineStr">
        <is>
          <t>268</t>
        </is>
      </c>
      <c r="B269" t="inlineStr">
        <is>
          <t>William McDonald</t>
        </is>
      </c>
      <c r="C269" t="inlineStr">
        <is>
          <t>Banjo Cycles/Raceware</t>
        </is>
      </c>
      <c r="D269" t="inlineStr">
        <is>
          <t>28</t>
        </is>
      </c>
      <c r="E269">
        <f>HYPERLINK("https://www.britishcycling.org.uk/points?person_id=130259&amp;year=2021&amp;type=national&amp;d=6","Results")</f>
        <v/>
      </c>
    </row>
    <row r="270">
      <c r="A270" t="inlineStr">
        <is>
          <t>269</t>
        </is>
      </c>
      <c r="B270" t="inlineStr">
        <is>
          <t>Bob McGlue</t>
        </is>
      </c>
      <c r="C270" t="inlineStr">
        <is>
          <t>High Wycombe Cycling Club</t>
        </is>
      </c>
      <c r="D270" t="inlineStr">
        <is>
          <t>27</t>
        </is>
      </c>
      <c r="E270">
        <f>HYPERLINK("https://www.britishcycling.org.uk/points?person_id=404032&amp;year=2021&amp;type=national&amp;d=6","Results")</f>
        <v/>
      </c>
    </row>
    <row r="271">
      <c r="A271" t="inlineStr">
        <is>
          <t>270</t>
        </is>
      </c>
      <c r="B271" t="inlineStr">
        <is>
          <t>Timothy Peters</t>
        </is>
      </c>
      <c r="C271" t="inlineStr">
        <is>
          <t>Horsham Cycling</t>
        </is>
      </c>
      <c r="D271" t="inlineStr">
        <is>
          <t>27</t>
        </is>
      </c>
      <c r="E271">
        <f>HYPERLINK("https://www.britishcycling.org.uk/points?person_id=644675&amp;year=2021&amp;type=national&amp;d=6","Results")</f>
        <v/>
      </c>
    </row>
    <row r="272">
      <c r="A272" t="inlineStr">
        <is>
          <t>271</t>
        </is>
      </c>
      <c r="B272" t="inlineStr">
        <is>
          <t>Paul Anderson</t>
        </is>
      </c>
      <c r="C272" t="inlineStr">
        <is>
          <t>Spokes Racing Team</t>
        </is>
      </c>
      <c r="D272" t="inlineStr">
        <is>
          <t>26</t>
        </is>
      </c>
      <c r="E272">
        <f>HYPERLINK("https://www.britishcycling.org.uk/points?person_id=59345&amp;year=2021&amp;type=national&amp;d=6","Results")</f>
        <v/>
      </c>
    </row>
    <row r="273">
      <c r="A273" t="inlineStr">
        <is>
          <t>272</t>
        </is>
      </c>
      <c r="B273" t="inlineStr">
        <is>
          <t>Mike Griffiths</t>
        </is>
      </c>
      <c r="C273" t="inlineStr">
        <is>
          <t>Cwmcarn Paragon Cycling Club</t>
        </is>
      </c>
      <c r="D273" t="inlineStr">
        <is>
          <t>26</t>
        </is>
      </c>
      <c r="E273">
        <f>HYPERLINK("https://www.britishcycling.org.uk/points?person_id=554144&amp;year=2021&amp;type=national&amp;d=6","Results")</f>
        <v/>
      </c>
    </row>
    <row r="274">
      <c r="A274" t="inlineStr">
        <is>
          <t>273</t>
        </is>
      </c>
      <c r="B274" t="inlineStr">
        <is>
          <t>Paul Hendy</t>
        </is>
      </c>
      <c r="C274" t="inlineStr">
        <is>
          <t>Team HUP</t>
        </is>
      </c>
      <c r="D274" t="inlineStr">
        <is>
          <t>26</t>
        </is>
      </c>
      <c r="E274">
        <f>HYPERLINK("https://www.britishcycling.org.uk/points?person_id=745769&amp;year=2021&amp;type=national&amp;d=6","Results")</f>
        <v/>
      </c>
    </row>
    <row r="275">
      <c r="A275" t="inlineStr">
        <is>
          <t>274</t>
        </is>
      </c>
      <c r="B275" t="inlineStr">
        <is>
          <t>Darren Matthews</t>
        </is>
      </c>
      <c r="C275" t="inlineStr">
        <is>
          <t>Tri UK</t>
        </is>
      </c>
      <c r="D275" t="inlineStr">
        <is>
          <t>26</t>
        </is>
      </c>
      <c r="E275">
        <f>HYPERLINK("https://www.britishcycling.org.uk/points?person_id=411787&amp;year=2021&amp;type=national&amp;d=6","Results")</f>
        <v/>
      </c>
    </row>
    <row r="276">
      <c r="A276" t="inlineStr">
        <is>
          <t>275</t>
        </is>
      </c>
      <c r="B276" t="inlineStr">
        <is>
          <t>Simon Patterson</t>
        </is>
      </c>
      <c r="C276" t="inlineStr"/>
      <c r="D276" t="inlineStr">
        <is>
          <t>26</t>
        </is>
      </c>
      <c r="E276">
        <f>HYPERLINK("https://www.britishcycling.org.uk/points?person_id=957470&amp;year=2021&amp;type=national&amp;d=6","Results")</f>
        <v/>
      </c>
    </row>
    <row r="277">
      <c r="A277" t="inlineStr">
        <is>
          <t>276</t>
        </is>
      </c>
      <c r="B277" t="inlineStr">
        <is>
          <t>Simon Bull</t>
        </is>
      </c>
      <c r="C277" t="inlineStr">
        <is>
          <t>Banbury Star CC</t>
        </is>
      </c>
      <c r="D277" t="inlineStr">
        <is>
          <t>25</t>
        </is>
      </c>
      <c r="E277">
        <f>HYPERLINK("https://www.britishcycling.org.uk/points?person_id=756183&amp;year=2021&amp;type=national&amp;d=6","Results")</f>
        <v/>
      </c>
    </row>
    <row r="278">
      <c r="A278" t="inlineStr">
        <is>
          <t>277</t>
        </is>
      </c>
      <c r="B278" t="inlineStr">
        <is>
          <t>Ben Clarke</t>
        </is>
      </c>
      <c r="C278" t="inlineStr">
        <is>
          <t>Team Tor 2000 Kalas</t>
        </is>
      </c>
      <c r="D278" t="inlineStr">
        <is>
          <t>25</t>
        </is>
      </c>
      <c r="E278">
        <f>HYPERLINK("https://www.britishcycling.org.uk/points?person_id=843749&amp;year=2021&amp;type=national&amp;d=6","Results")</f>
        <v/>
      </c>
    </row>
    <row r="279">
      <c r="A279" t="inlineStr">
        <is>
          <t>278</t>
        </is>
      </c>
      <c r="B279" t="inlineStr">
        <is>
          <t>Andrew Owen</t>
        </is>
      </c>
      <c r="C279" t="inlineStr">
        <is>
          <t>Kenilworth Wheelers CC</t>
        </is>
      </c>
      <c r="D279" t="inlineStr">
        <is>
          <t>25</t>
        </is>
      </c>
      <c r="E279">
        <f>HYPERLINK("https://www.britishcycling.org.uk/points?person_id=587805&amp;year=2021&amp;type=national&amp;d=6","Results")</f>
        <v/>
      </c>
    </row>
    <row r="280">
      <c r="A280" t="inlineStr">
        <is>
          <t>279</t>
        </is>
      </c>
      <c r="B280" t="inlineStr">
        <is>
          <t>Daniel Street</t>
        </is>
      </c>
      <c r="C280" t="inlineStr">
        <is>
          <t>Lewes Wanderers CC</t>
        </is>
      </c>
      <c r="D280" t="inlineStr">
        <is>
          <t>25</t>
        </is>
      </c>
      <c r="E280">
        <f>HYPERLINK("https://www.britishcycling.org.uk/points?person_id=191492&amp;year=2021&amp;type=national&amp;d=6","Results")</f>
        <v/>
      </c>
    </row>
    <row r="281">
      <c r="A281" t="inlineStr">
        <is>
          <t>280</t>
        </is>
      </c>
      <c r="B281" t="inlineStr">
        <is>
          <t>Jon Waller</t>
        </is>
      </c>
      <c r="C281" t="inlineStr"/>
      <c r="D281" t="inlineStr">
        <is>
          <t>25</t>
        </is>
      </c>
      <c r="E281">
        <f>HYPERLINK("https://www.britishcycling.org.uk/points?person_id=853501&amp;year=2021&amp;type=national&amp;d=6","Results")</f>
        <v/>
      </c>
    </row>
    <row r="282">
      <c r="A282" t="inlineStr">
        <is>
          <t>281</t>
        </is>
      </c>
      <c r="B282" t="inlineStr">
        <is>
          <t>Mark Wood</t>
        </is>
      </c>
      <c r="C282" t="inlineStr">
        <is>
          <t>Kendal Cycle Club</t>
        </is>
      </c>
      <c r="D282" t="inlineStr">
        <is>
          <t>25</t>
        </is>
      </c>
      <c r="E282">
        <f>HYPERLINK("https://www.britishcycling.org.uk/points?person_id=856756&amp;year=2021&amp;type=national&amp;d=6","Results")</f>
        <v/>
      </c>
    </row>
    <row r="283">
      <c r="A283" t="inlineStr">
        <is>
          <t>282</t>
        </is>
      </c>
      <c r="B283" t="inlineStr">
        <is>
          <t>Edward Burkitt</t>
        </is>
      </c>
      <c r="C283" t="inlineStr">
        <is>
          <t>Lincoln Wheelers CC</t>
        </is>
      </c>
      <c r="D283" t="inlineStr">
        <is>
          <t>24</t>
        </is>
      </c>
      <c r="E283">
        <f>HYPERLINK("https://www.britishcycling.org.uk/points?person_id=468865&amp;year=2021&amp;type=national&amp;d=6","Results")</f>
        <v/>
      </c>
    </row>
    <row r="284">
      <c r="A284" t="inlineStr">
        <is>
          <t>283</t>
        </is>
      </c>
      <c r="B284" t="inlineStr">
        <is>
          <t>Damon Devine</t>
        </is>
      </c>
      <c r="C284" t="inlineStr">
        <is>
          <t>Reifen Racing</t>
        </is>
      </c>
      <c r="D284" t="inlineStr">
        <is>
          <t>24</t>
        </is>
      </c>
      <c r="E284">
        <f>HYPERLINK("https://www.britishcycling.org.uk/points?person_id=332410&amp;year=2021&amp;type=national&amp;d=6","Results")</f>
        <v/>
      </c>
    </row>
    <row r="285">
      <c r="A285" t="inlineStr">
        <is>
          <t>284</t>
        </is>
      </c>
      <c r="B285" t="inlineStr">
        <is>
          <t>Phil Mowbray</t>
        </is>
      </c>
      <c r="C285" t="inlineStr"/>
      <c r="D285" t="inlineStr">
        <is>
          <t>24</t>
        </is>
      </c>
      <c r="E285">
        <f>HYPERLINK("https://www.britishcycling.org.uk/points?person_id=311424&amp;year=2021&amp;type=national&amp;d=6","Results")</f>
        <v/>
      </c>
    </row>
    <row r="286">
      <c r="A286" t="inlineStr">
        <is>
          <t>285</t>
        </is>
      </c>
      <c r="B286" t="inlineStr">
        <is>
          <t>Simon Stone</t>
        </is>
      </c>
      <c r="C286" t="inlineStr">
        <is>
          <t>Dulwich Paragon CC</t>
        </is>
      </c>
      <c r="D286" t="inlineStr">
        <is>
          <t>24</t>
        </is>
      </c>
      <c r="E286">
        <f>HYPERLINK("https://www.britishcycling.org.uk/points?person_id=44314&amp;year=2021&amp;type=national&amp;d=6","Results")</f>
        <v/>
      </c>
    </row>
    <row r="287">
      <c r="A287" t="inlineStr">
        <is>
          <t>286</t>
        </is>
      </c>
      <c r="B287" t="inlineStr">
        <is>
          <t>Mark Calvert</t>
        </is>
      </c>
      <c r="C287" t="inlineStr">
        <is>
          <t>CC Luton</t>
        </is>
      </c>
      <c r="D287" t="inlineStr">
        <is>
          <t>23</t>
        </is>
      </c>
      <c r="E287">
        <f>HYPERLINK("https://www.britishcycling.org.uk/points?person_id=296682&amp;year=2021&amp;type=national&amp;d=6","Results")</f>
        <v/>
      </c>
    </row>
    <row r="288">
      <c r="A288" t="inlineStr">
        <is>
          <t>287</t>
        </is>
      </c>
      <c r="B288" t="inlineStr">
        <is>
          <t>Martin Garner</t>
        </is>
      </c>
      <c r="C288" t="inlineStr">
        <is>
          <t>Team Bottrill</t>
        </is>
      </c>
      <c r="D288" t="inlineStr">
        <is>
          <t>23</t>
        </is>
      </c>
      <c r="E288">
        <f>HYPERLINK("https://www.britishcycling.org.uk/points?person_id=12390&amp;year=2021&amp;type=national&amp;d=6","Results")</f>
        <v/>
      </c>
    </row>
    <row r="289">
      <c r="A289" t="inlineStr">
        <is>
          <t>288</t>
        </is>
      </c>
      <c r="B289" t="inlineStr">
        <is>
          <t>Kieren Jarratt</t>
        </is>
      </c>
      <c r="C289" t="inlineStr">
        <is>
          <t>Royal Air Force CA</t>
        </is>
      </c>
      <c r="D289" t="inlineStr">
        <is>
          <t>23</t>
        </is>
      </c>
      <c r="E289">
        <f>HYPERLINK("https://www.britishcycling.org.uk/points?person_id=62883&amp;year=2021&amp;type=national&amp;d=6","Results")</f>
        <v/>
      </c>
    </row>
    <row r="290">
      <c r="A290" t="inlineStr">
        <is>
          <t>289</t>
        </is>
      </c>
      <c r="B290" t="inlineStr">
        <is>
          <t>James Waddington</t>
        </is>
      </c>
      <c r="C290" t="inlineStr"/>
      <c r="D290" t="inlineStr">
        <is>
          <t>23</t>
        </is>
      </c>
      <c r="E290">
        <f>HYPERLINK("https://www.britishcycling.org.uk/points?person_id=64631&amp;year=2021&amp;type=national&amp;d=6","Results")</f>
        <v/>
      </c>
    </row>
    <row r="291">
      <c r="A291" t="inlineStr">
        <is>
          <t>290</t>
        </is>
      </c>
      <c r="B291" t="inlineStr">
        <is>
          <t>David Whittle</t>
        </is>
      </c>
      <c r="C291" t="inlineStr">
        <is>
          <t>Velobants.cc</t>
        </is>
      </c>
      <c r="D291" t="inlineStr">
        <is>
          <t>23</t>
        </is>
      </c>
      <c r="E291">
        <f>HYPERLINK("https://www.britishcycling.org.uk/points?person_id=420875&amp;year=2021&amp;type=national&amp;d=6","Results")</f>
        <v/>
      </c>
    </row>
    <row r="292">
      <c r="A292" t="inlineStr">
        <is>
          <t>291</t>
        </is>
      </c>
      <c r="B292" t="inlineStr">
        <is>
          <t>Richard Wiggins</t>
        </is>
      </c>
      <c r="C292" t="inlineStr">
        <is>
          <t>Team Milton Keynes</t>
        </is>
      </c>
      <c r="D292" t="inlineStr">
        <is>
          <t>23</t>
        </is>
      </c>
      <c r="E292">
        <f>HYPERLINK("https://www.britishcycling.org.uk/points?person_id=588679&amp;year=2021&amp;type=national&amp;d=6","Results")</f>
        <v/>
      </c>
    </row>
    <row r="293">
      <c r="A293" t="inlineStr">
        <is>
          <t>292</t>
        </is>
      </c>
      <c r="B293" t="inlineStr">
        <is>
          <t>Andrew Baum</t>
        </is>
      </c>
      <c r="C293" t="inlineStr">
        <is>
          <t>Pontypool RCC</t>
        </is>
      </c>
      <c r="D293" t="inlineStr">
        <is>
          <t>22</t>
        </is>
      </c>
      <c r="E293">
        <f>HYPERLINK("https://www.britishcycling.org.uk/points?person_id=61742&amp;year=2021&amp;type=national&amp;d=6","Results")</f>
        <v/>
      </c>
    </row>
    <row r="294">
      <c r="A294" t="inlineStr">
        <is>
          <t>293</t>
        </is>
      </c>
      <c r="B294" t="inlineStr">
        <is>
          <t>Alistair Fisher</t>
        </is>
      </c>
      <c r="C294" t="inlineStr">
        <is>
          <t>Bruntwood Park BMX Club</t>
        </is>
      </c>
      <c r="D294" t="inlineStr">
        <is>
          <t>22</t>
        </is>
      </c>
      <c r="E294">
        <f>HYPERLINK("https://www.britishcycling.org.uk/points?person_id=689521&amp;year=2021&amp;type=national&amp;d=6","Results")</f>
        <v/>
      </c>
    </row>
    <row r="295">
      <c r="A295" t="inlineStr">
        <is>
          <t>294</t>
        </is>
      </c>
      <c r="B295" t="inlineStr">
        <is>
          <t>Craig Hay</t>
        </is>
      </c>
      <c r="C295" t="inlineStr">
        <is>
          <t>Sotonia CC</t>
        </is>
      </c>
      <c r="D295" t="inlineStr">
        <is>
          <t>22</t>
        </is>
      </c>
      <c r="E295">
        <f>HYPERLINK("https://www.britishcycling.org.uk/points?person_id=16539&amp;year=2021&amp;type=national&amp;d=6","Results")</f>
        <v/>
      </c>
    </row>
    <row r="296">
      <c r="A296" t="inlineStr">
        <is>
          <t>295</t>
        </is>
      </c>
      <c r="B296" t="inlineStr">
        <is>
          <t>Tim Kershaw</t>
        </is>
      </c>
      <c r="C296" t="inlineStr">
        <is>
          <t>Velo Club Moulin</t>
        </is>
      </c>
      <c r="D296" t="inlineStr">
        <is>
          <t>22</t>
        </is>
      </c>
      <c r="E296">
        <f>HYPERLINK("https://www.britishcycling.org.uk/points?person_id=117610&amp;year=2021&amp;type=national&amp;d=6","Results")</f>
        <v/>
      </c>
    </row>
    <row r="297">
      <c r="A297" t="inlineStr">
        <is>
          <t>296</t>
        </is>
      </c>
      <c r="B297" t="inlineStr">
        <is>
          <t>Marcus Shields</t>
        </is>
      </c>
      <c r="C297" t="inlineStr">
        <is>
          <t>Ayr Roads Cycling Club</t>
        </is>
      </c>
      <c r="D297" t="inlineStr">
        <is>
          <t>22</t>
        </is>
      </c>
      <c r="E297">
        <f>HYPERLINK("https://www.britishcycling.org.uk/points?person_id=245012&amp;year=2021&amp;type=national&amp;d=6","Results")</f>
        <v/>
      </c>
    </row>
    <row r="298">
      <c r="A298" t="inlineStr">
        <is>
          <t>297</t>
        </is>
      </c>
      <c r="B298" t="inlineStr">
        <is>
          <t>Miles Thomas</t>
        </is>
      </c>
      <c r="C298" t="inlineStr">
        <is>
          <t>Hart Evolution Racing Team</t>
        </is>
      </c>
      <c r="D298" t="inlineStr">
        <is>
          <t>22</t>
        </is>
      </c>
      <c r="E298">
        <f>HYPERLINK("https://www.britishcycling.org.uk/points?person_id=425670&amp;year=2021&amp;type=national&amp;d=6","Results")</f>
        <v/>
      </c>
    </row>
    <row r="299">
      <c r="A299" t="inlineStr">
        <is>
          <t>298</t>
        </is>
      </c>
      <c r="B299" t="inlineStr">
        <is>
          <t>Robert Ford</t>
        </is>
      </c>
      <c r="C299" t="inlineStr">
        <is>
          <t>Portsmouth North End CC</t>
        </is>
      </c>
      <c r="D299" t="inlineStr">
        <is>
          <t>21</t>
        </is>
      </c>
      <c r="E299">
        <f>HYPERLINK("https://www.britishcycling.org.uk/points?person_id=168963&amp;year=2021&amp;type=national&amp;d=6","Results")</f>
        <v/>
      </c>
    </row>
    <row r="300">
      <c r="A300" t="inlineStr">
        <is>
          <t>299</t>
        </is>
      </c>
      <c r="B300" t="inlineStr">
        <is>
          <t>Nathan Thomas</t>
        </is>
      </c>
      <c r="C300" t="inlineStr">
        <is>
          <t>Velobants.cc</t>
        </is>
      </c>
      <c r="D300" t="inlineStr">
        <is>
          <t>21</t>
        </is>
      </c>
      <c r="E300">
        <f>HYPERLINK("https://www.britishcycling.org.uk/points?person_id=179767&amp;year=2021&amp;type=national&amp;d=6","Results")</f>
        <v/>
      </c>
    </row>
    <row r="301">
      <c r="A301" t="inlineStr">
        <is>
          <t>300</t>
        </is>
      </c>
      <c r="B301" t="inlineStr">
        <is>
          <t>Chris Clayton</t>
        </is>
      </c>
      <c r="C301" t="inlineStr">
        <is>
          <t>Dyson Cycles</t>
        </is>
      </c>
      <c r="D301" t="inlineStr">
        <is>
          <t>20</t>
        </is>
      </c>
      <c r="E301">
        <f>HYPERLINK("https://www.britishcycling.org.uk/points?person_id=124898&amp;year=2021&amp;type=national&amp;d=6","Results")</f>
        <v/>
      </c>
    </row>
    <row r="302">
      <c r="A302" t="inlineStr">
        <is>
          <t>301</t>
        </is>
      </c>
      <c r="B302" t="inlineStr">
        <is>
          <t>Robert Jones</t>
        </is>
      </c>
      <c r="C302" t="inlineStr">
        <is>
          <t>Cardiff Ajax CC</t>
        </is>
      </c>
      <c r="D302" t="inlineStr">
        <is>
          <t>20</t>
        </is>
      </c>
      <c r="E302">
        <f>HYPERLINK("https://www.britishcycling.org.uk/points?person_id=46648&amp;year=2021&amp;type=national&amp;d=6","Results")</f>
        <v/>
      </c>
    </row>
    <row r="303">
      <c r="A303" t="inlineStr">
        <is>
          <t>302</t>
        </is>
      </c>
      <c r="B303" t="inlineStr">
        <is>
          <t>Daniel Long</t>
        </is>
      </c>
      <c r="C303" t="inlineStr">
        <is>
          <t>Elgin CC</t>
        </is>
      </c>
      <c r="D303" t="inlineStr">
        <is>
          <t>20</t>
        </is>
      </c>
      <c r="E303">
        <f>HYPERLINK("https://www.britishcycling.org.uk/points?person_id=690439&amp;year=2021&amp;type=national&amp;d=6","Results")</f>
        <v/>
      </c>
    </row>
    <row r="304">
      <c r="A304" t="inlineStr">
        <is>
          <t>303</t>
        </is>
      </c>
      <c r="B304" t="inlineStr">
        <is>
          <t>Leon Reeves</t>
        </is>
      </c>
      <c r="C304" t="inlineStr">
        <is>
          <t>Abergavenny Road Club</t>
        </is>
      </c>
      <c r="D304" t="inlineStr">
        <is>
          <t>20</t>
        </is>
      </c>
      <c r="E304">
        <f>HYPERLINK("https://www.britishcycling.org.uk/points?person_id=623133&amp;year=2021&amp;type=national&amp;d=6","Results")</f>
        <v/>
      </c>
    </row>
    <row r="305">
      <c r="A305" t="inlineStr">
        <is>
          <t>304</t>
        </is>
      </c>
      <c r="B305" t="inlineStr">
        <is>
          <t>James Taylor</t>
        </is>
      </c>
      <c r="C305" t="inlineStr">
        <is>
          <t>www.Zepnat.com RT - Lazer helmets</t>
        </is>
      </c>
      <c r="D305" t="inlineStr">
        <is>
          <t>20</t>
        </is>
      </c>
      <c r="E305">
        <f>HYPERLINK("https://www.britishcycling.org.uk/points?person_id=1001696&amp;year=2021&amp;type=national&amp;d=6","Results")</f>
        <v/>
      </c>
    </row>
    <row r="306">
      <c r="A306" t="inlineStr">
        <is>
          <t>305</t>
        </is>
      </c>
      <c r="B306" t="inlineStr">
        <is>
          <t>Christopher Garner</t>
        </is>
      </c>
      <c r="C306" t="inlineStr">
        <is>
          <t>Coalville Wheelers CC</t>
        </is>
      </c>
      <c r="D306" t="inlineStr">
        <is>
          <t>19</t>
        </is>
      </c>
      <c r="E306">
        <f>HYPERLINK("https://www.britishcycling.org.uk/points?person_id=70238&amp;year=2021&amp;type=national&amp;d=6","Results")</f>
        <v/>
      </c>
    </row>
    <row r="307">
      <c r="A307" t="inlineStr">
        <is>
          <t>306</t>
        </is>
      </c>
      <c r="B307" t="inlineStr">
        <is>
          <t>Daniel James</t>
        </is>
      </c>
      <c r="C307" t="inlineStr">
        <is>
          <t>GS Invicta-ELO-Herberts Cycles</t>
        </is>
      </c>
      <c r="D307" t="inlineStr">
        <is>
          <t>19</t>
        </is>
      </c>
      <c r="E307">
        <f>HYPERLINK("https://www.britishcycling.org.uk/points?person_id=566706&amp;year=2021&amp;type=national&amp;d=6","Results")</f>
        <v/>
      </c>
    </row>
    <row r="308">
      <c r="A308" t="inlineStr">
        <is>
          <t>307</t>
        </is>
      </c>
      <c r="B308" t="inlineStr">
        <is>
          <t>Mark Prinsloo</t>
        </is>
      </c>
      <c r="C308" t="inlineStr">
        <is>
          <t>Rugby Velo</t>
        </is>
      </c>
      <c r="D308" t="inlineStr">
        <is>
          <t>19</t>
        </is>
      </c>
      <c r="E308">
        <f>HYPERLINK("https://www.britishcycling.org.uk/points?person_id=326384&amp;year=2021&amp;type=national&amp;d=6","Results")</f>
        <v/>
      </c>
    </row>
    <row r="309">
      <c r="A309" t="inlineStr">
        <is>
          <t>308</t>
        </is>
      </c>
      <c r="B309" t="inlineStr">
        <is>
          <t>Ian Braybrook</t>
        </is>
      </c>
      <c r="C309" t="inlineStr">
        <is>
          <t>Basildon CC</t>
        </is>
      </c>
      <c r="D309" t="inlineStr">
        <is>
          <t>18</t>
        </is>
      </c>
      <c r="E309">
        <f>HYPERLINK("https://www.britishcycling.org.uk/points?person_id=309465&amp;year=2021&amp;type=national&amp;d=6","Results")</f>
        <v/>
      </c>
    </row>
    <row r="310">
      <c r="A310" t="inlineStr">
        <is>
          <t>309</t>
        </is>
      </c>
      <c r="B310" t="inlineStr">
        <is>
          <t>Richard Foxton</t>
        </is>
      </c>
      <c r="C310" t="inlineStr">
        <is>
          <t>Berwick Wheelers CC</t>
        </is>
      </c>
      <c r="D310" t="inlineStr">
        <is>
          <t>18</t>
        </is>
      </c>
      <c r="E310">
        <f>HYPERLINK("https://www.britishcycling.org.uk/points?person_id=952337&amp;year=2021&amp;type=national&amp;d=6","Results")</f>
        <v/>
      </c>
    </row>
    <row r="311">
      <c r="A311" t="inlineStr">
        <is>
          <t>310</t>
        </is>
      </c>
      <c r="B311" t="inlineStr">
        <is>
          <t>Nathan Miller</t>
        </is>
      </c>
      <c r="C311" t="inlineStr">
        <is>
          <t>Derby Mercury RC</t>
        </is>
      </c>
      <c r="D311" t="inlineStr">
        <is>
          <t>18</t>
        </is>
      </c>
      <c r="E311">
        <f>HYPERLINK("https://www.britishcycling.org.uk/points?person_id=29529&amp;year=2021&amp;type=national&amp;d=6","Results")</f>
        <v/>
      </c>
    </row>
    <row r="312">
      <c r="A312" t="inlineStr">
        <is>
          <t>311</t>
        </is>
      </c>
      <c r="B312" t="inlineStr">
        <is>
          <t>Robert Noble</t>
        </is>
      </c>
      <c r="C312" t="inlineStr">
        <is>
          <t>Infinity Cycles</t>
        </is>
      </c>
      <c r="D312" t="inlineStr">
        <is>
          <t>18</t>
        </is>
      </c>
      <c r="E312">
        <f>HYPERLINK("https://www.britishcycling.org.uk/points?person_id=646669&amp;year=2021&amp;type=national&amp;d=6","Results")</f>
        <v/>
      </c>
    </row>
    <row r="313">
      <c r="A313" t="inlineStr">
        <is>
          <t>312</t>
        </is>
      </c>
      <c r="B313" t="inlineStr">
        <is>
          <t>Jason Taylor</t>
        </is>
      </c>
      <c r="C313" t="inlineStr"/>
      <c r="D313" t="inlineStr">
        <is>
          <t>18</t>
        </is>
      </c>
      <c r="E313">
        <f>HYPERLINK("https://www.britishcycling.org.uk/points?person_id=263904&amp;year=2021&amp;type=national&amp;d=6","Results")</f>
        <v/>
      </c>
    </row>
    <row r="314">
      <c r="A314" t="inlineStr">
        <is>
          <t>313</t>
        </is>
      </c>
      <c r="B314" t="inlineStr">
        <is>
          <t>Andrew Watson-Smith</t>
        </is>
      </c>
      <c r="C314" t="inlineStr">
        <is>
          <t>Stayer Racing</t>
        </is>
      </c>
      <c r="D314" t="inlineStr">
        <is>
          <t>18</t>
        </is>
      </c>
      <c r="E314">
        <f>HYPERLINK("https://www.britishcycling.org.uk/points?person_id=224024&amp;year=2021&amp;type=national&amp;d=6","Results")</f>
        <v/>
      </c>
    </row>
    <row r="315">
      <c r="A315" t="inlineStr">
        <is>
          <t>314</t>
        </is>
      </c>
      <c r="B315" t="inlineStr">
        <is>
          <t>Gavin Beaumont</t>
        </is>
      </c>
      <c r="C315" t="inlineStr"/>
      <c r="D315" t="inlineStr">
        <is>
          <t>17</t>
        </is>
      </c>
      <c r="E315">
        <f>HYPERLINK("https://www.britishcycling.org.uk/points?person_id=11993&amp;year=2021&amp;type=national&amp;d=6","Results")</f>
        <v/>
      </c>
    </row>
    <row r="316">
      <c r="A316" t="inlineStr">
        <is>
          <t>315</t>
        </is>
      </c>
      <c r="B316" t="inlineStr">
        <is>
          <t>Chris Hoggard</t>
        </is>
      </c>
      <c r="C316" t="inlineStr">
        <is>
          <t>Cliff Pratt Racing</t>
        </is>
      </c>
      <c r="D316" t="inlineStr">
        <is>
          <t>17</t>
        </is>
      </c>
      <c r="E316">
        <f>HYPERLINK("https://www.britishcycling.org.uk/points?person_id=245199&amp;year=2021&amp;type=national&amp;d=6","Results")</f>
        <v/>
      </c>
    </row>
    <row r="317">
      <c r="A317" t="inlineStr">
        <is>
          <t>316</t>
        </is>
      </c>
      <c r="B317" t="inlineStr">
        <is>
          <t>Richard Lloyd</t>
        </is>
      </c>
      <c r="C317" t="inlineStr">
        <is>
          <t>Pontypool RCC</t>
        </is>
      </c>
      <c r="D317" t="inlineStr">
        <is>
          <t>17</t>
        </is>
      </c>
      <c r="E317">
        <f>HYPERLINK("https://www.britishcycling.org.uk/points?person_id=520222&amp;year=2021&amp;type=national&amp;d=6","Results")</f>
        <v/>
      </c>
    </row>
    <row r="318">
      <c r="A318" t="inlineStr">
        <is>
          <t>317</t>
        </is>
      </c>
      <c r="B318" t="inlineStr">
        <is>
          <t>Ben Brook</t>
        </is>
      </c>
      <c r="C318" t="inlineStr">
        <is>
          <t>West Wales Cycle Racing Team</t>
        </is>
      </c>
      <c r="D318" t="inlineStr">
        <is>
          <t>16</t>
        </is>
      </c>
      <c r="E318">
        <f>HYPERLINK("https://www.britishcycling.org.uk/points?person_id=221168&amp;year=2021&amp;type=national&amp;d=6","Results")</f>
        <v/>
      </c>
    </row>
    <row r="319">
      <c r="A319" t="inlineStr">
        <is>
          <t>318</t>
        </is>
      </c>
      <c r="B319" t="inlineStr">
        <is>
          <t>Andrew Gardiner</t>
        </is>
      </c>
      <c r="C319" t="inlineStr">
        <is>
          <t>Sotonia CC</t>
        </is>
      </c>
      <c r="D319" t="inlineStr">
        <is>
          <t>16</t>
        </is>
      </c>
      <c r="E319">
        <f>HYPERLINK("https://www.britishcycling.org.uk/points?person_id=103693&amp;year=2021&amp;type=national&amp;d=6","Results")</f>
        <v/>
      </c>
    </row>
    <row r="320">
      <c r="A320" t="inlineStr">
        <is>
          <t>319</t>
        </is>
      </c>
      <c r="B320" t="inlineStr">
        <is>
          <t>Steven Sharp</t>
        </is>
      </c>
      <c r="C320" t="inlineStr">
        <is>
          <t>Ecosse Northboats</t>
        </is>
      </c>
      <c r="D320" t="inlineStr">
        <is>
          <t>16</t>
        </is>
      </c>
      <c r="E320">
        <f>HYPERLINK("https://www.britishcycling.org.uk/points?person_id=586011&amp;year=2021&amp;type=national&amp;d=6","Results")</f>
        <v/>
      </c>
    </row>
    <row r="321">
      <c r="A321" t="inlineStr">
        <is>
          <t>320</t>
        </is>
      </c>
      <c r="B321" t="inlineStr">
        <is>
          <t>Scott Smith</t>
        </is>
      </c>
      <c r="C321" t="inlineStr">
        <is>
          <t>Biggar Cycling Club</t>
        </is>
      </c>
      <c r="D321" t="inlineStr">
        <is>
          <t>16</t>
        </is>
      </c>
      <c r="E321">
        <f>HYPERLINK("https://www.britishcycling.org.uk/points?person_id=150658&amp;year=2021&amp;type=national&amp;d=6","Results")</f>
        <v/>
      </c>
    </row>
    <row r="322">
      <c r="A322" t="inlineStr">
        <is>
          <t>321</t>
        </is>
      </c>
      <c r="B322" t="inlineStr">
        <is>
          <t>Hamish Campbell</t>
        </is>
      </c>
      <c r="C322" t="inlineStr">
        <is>
          <t>Nova Raiders Cycling Club</t>
        </is>
      </c>
      <c r="D322" t="inlineStr">
        <is>
          <t>15</t>
        </is>
      </c>
      <c r="E322">
        <f>HYPERLINK("https://www.britishcycling.org.uk/points?person_id=1021358&amp;year=2021&amp;type=national&amp;d=6","Results")</f>
        <v/>
      </c>
    </row>
    <row r="323">
      <c r="A323" t="inlineStr">
        <is>
          <t>322</t>
        </is>
      </c>
      <c r="B323" t="inlineStr">
        <is>
          <t>Christian Nightingale</t>
        </is>
      </c>
      <c r="C323" t="inlineStr">
        <is>
          <t>Nottingham Clarion CC</t>
        </is>
      </c>
      <c r="D323" t="inlineStr">
        <is>
          <t>15</t>
        </is>
      </c>
      <c r="E323">
        <f>HYPERLINK("https://www.britishcycling.org.uk/points?person_id=523157&amp;year=2021&amp;type=national&amp;d=6","Results")</f>
        <v/>
      </c>
    </row>
    <row r="324">
      <c r="A324" t="inlineStr">
        <is>
          <t>323</t>
        </is>
      </c>
      <c r="B324" t="inlineStr">
        <is>
          <t>Alistair Aitken</t>
        </is>
      </c>
      <c r="C324" t="inlineStr">
        <is>
          <t>Deeside Thistle CC</t>
        </is>
      </c>
      <c r="D324" t="inlineStr">
        <is>
          <t>14</t>
        </is>
      </c>
      <c r="E324">
        <f>HYPERLINK("https://www.britishcycling.org.uk/points?person_id=574308&amp;year=2021&amp;type=national&amp;d=6","Results")</f>
        <v/>
      </c>
    </row>
    <row r="325">
      <c r="A325" t="inlineStr">
        <is>
          <t>324</t>
        </is>
      </c>
      <c r="B325" t="inlineStr">
        <is>
          <t>William Burgess</t>
        </is>
      </c>
      <c r="C325" t="inlineStr">
        <is>
          <t>Dyson Cycles</t>
        </is>
      </c>
      <c r="D325" t="inlineStr">
        <is>
          <t>14</t>
        </is>
      </c>
      <c r="E325">
        <f>HYPERLINK("https://www.britishcycling.org.uk/points?person_id=45992&amp;year=2021&amp;type=national&amp;d=6","Results")</f>
        <v/>
      </c>
    </row>
    <row r="326">
      <c r="A326" t="inlineStr">
        <is>
          <t>325</t>
        </is>
      </c>
      <c r="B326" t="inlineStr">
        <is>
          <t>Nicholas English</t>
        </is>
      </c>
      <c r="C326" t="inlineStr">
        <is>
          <t>AeroCoach</t>
        </is>
      </c>
      <c r="D326" t="inlineStr">
        <is>
          <t>14</t>
        </is>
      </c>
      <c r="E326">
        <f>HYPERLINK("https://www.britishcycling.org.uk/points?person_id=76915&amp;year=2021&amp;type=national&amp;d=6","Results")</f>
        <v/>
      </c>
    </row>
    <row r="327">
      <c r="A327" t="inlineStr">
        <is>
          <t>326</t>
        </is>
      </c>
      <c r="B327" t="inlineStr">
        <is>
          <t>David Grindley</t>
        </is>
      </c>
      <c r="C327" t="inlineStr">
        <is>
          <t>North Cheshire Clarion</t>
        </is>
      </c>
      <c r="D327" t="inlineStr">
        <is>
          <t>14</t>
        </is>
      </c>
      <c r="E327">
        <f>HYPERLINK("https://www.britishcycling.org.uk/points?person_id=196688&amp;year=2021&amp;type=national&amp;d=6","Results")</f>
        <v/>
      </c>
    </row>
    <row r="328">
      <c r="A328" t="inlineStr">
        <is>
          <t>327</t>
        </is>
      </c>
      <c r="B328" t="inlineStr">
        <is>
          <t>Philip Hersey</t>
        </is>
      </c>
      <c r="C328" t="inlineStr">
        <is>
          <t>Eagle RC</t>
        </is>
      </c>
      <c r="D328" t="inlineStr">
        <is>
          <t>14</t>
        </is>
      </c>
      <c r="E328">
        <f>HYPERLINK("https://www.britishcycling.org.uk/points?person_id=478&amp;year=2021&amp;type=national&amp;d=6","Results")</f>
        <v/>
      </c>
    </row>
    <row r="329">
      <c r="A329" t="inlineStr">
        <is>
          <t>328</t>
        </is>
      </c>
      <c r="B329" t="inlineStr">
        <is>
          <t>Karl Schumacher</t>
        </is>
      </c>
      <c r="C329" t="inlineStr">
        <is>
          <t>ROTOR Race Team</t>
        </is>
      </c>
      <c r="D329" t="inlineStr">
        <is>
          <t>14</t>
        </is>
      </c>
      <c r="E329">
        <f>HYPERLINK("https://www.britishcycling.org.uk/points?person_id=521041&amp;year=2021&amp;type=national&amp;d=6","Results")</f>
        <v/>
      </c>
    </row>
    <row r="330">
      <c r="A330" t="inlineStr">
        <is>
          <t>329</t>
        </is>
      </c>
      <c r="B330" t="inlineStr">
        <is>
          <t>Robin Short</t>
        </is>
      </c>
      <c r="C330" t="inlineStr">
        <is>
          <t>Cotswold Veldrijden</t>
        </is>
      </c>
      <c r="D330" t="inlineStr">
        <is>
          <t>14</t>
        </is>
      </c>
      <c r="E330">
        <f>HYPERLINK("https://www.britishcycling.org.uk/points?person_id=197445&amp;year=2021&amp;type=national&amp;d=6","Results")</f>
        <v/>
      </c>
    </row>
    <row r="331">
      <c r="A331" t="inlineStr">
        <is>
          <t>330</t>
        </is>
      </c>
      <c r="B331" t="inlineStr">
        <is>
          <t>Liam Drew</t>
        </is>
      </c>
      <c r="C331" t="inlineStr"/>
      <c r="D331" t="inlineStr">
        <is>
          <t>13</t>
        </is>
      </c>
      <c r="E331">
        <f>HYPERLINK("https://www.britishcycling.org.uk/points?person_id=989511&amp;year=2021&amp;type=national&amp;d=6","Results")</f>
        <v/>
      </c>
    </row>
    <row r="332">
      <c r="A332" t="inlineStr">
        <is>
          <t>331</t>
        </is>
      </c>
      <c r="B332" t="inlineStr">
        <is>
          <t>Christian Roberts</t>
        </is>
      </c>
      <c r="C332" t="inlineStr">
        <is>
          <t>Allen Valley Velo</t>
        </is>
      </c>
      <c r="D332" t="inlineStr">
        <is>
          <t>13</t>
        </is>
      </c>
      <c r="E332">
        <f>HYPERLINK("https://www.britishcycling.org.uk/points?person_id=244316&amp;year=2021&amp;type=national&amp;d=6","Results")</f>
        <v/>
      </c>
    </row>
    <row r="333">
      <c r="A333" t="inlineStr">
        <is>
          <t>332</t>
        </is>
      </c>
      <c r="B333" t="inlineStr">
        <is>
          <t>Neil Buckley</t>
        </is>
      </c>
      <c r="C333" t="inlineStr">
        <is>
          <t>OVB</t>
        </is>
      </c>
      <c r="D333" t="inlineStr">
        <is>
          <t>12</t>
        </is>
      </c>
      <c r="E333">
        <f>HYPERLINK("https://www.britishcycling.org.uk/points?person_id=219002&amp;year=2021&amp;type=national&amp;d=6","Results")</f>
        <v/>
      </c>
    </row>
    <row r="334">
      <c r="A334" t="inlineStr">
        <is>
          <t>333</t>
        </is>
      </c>
      <c r="B334" t="inlineStr">
        <is>
          <t>Owen Davies</t>
        </is>
      </c>
      <c r="C334" t="inlineStr">
        <is>
          <t>Abergavenny Road Club</t>
        </is>
      </c>
      <c r="D334" t="inlineStr">
        <is>
          <t>12</t>
        </is>
      </c>
      <c r="E334">
        <f>HYPERLINK("https://www.britishcycling.org.uk/points?person_id=646&amp;year=2021&amp;type=national&amp;d=6","Results")</f>
        <v/>
      </c>
    </row>
    <row r="335">
      <c r="A335" t="inlineStr">
        <is>
          <t>334</t>
        </is>
      </c>
      <c r="B335" t="inlineStr">
        <is>
          <t>William Davis</t>
        </is>
      </c>
      <c r="C335" t="inlineStr">
        <is>
          <t>VC Jubilee</t>
        </is>
      </c>
      <c r="D335" t="inlineStr">
        <is>
          <t>12</t>
        </is>
      </c>
      <c r="E335">
        <f>HYPERLINK("https://www.britishcycling.org.uk/points?person_id=71510&amp;year=2021&amp;type=national&amp;d=6","Results")</f>
        <v/>
      </c>
    </row>
    <row r="336">
      <c r="A336" t="inlineStr">
        <is>
          <t>335</t>
        </is>
      </c>
      <c r="B336" t="inlineStr">
        <is>
          <t>Adam Frewin</t>
        </is>
      </c>
      <c r="C336" t="inlineStr">
        <is>
          <t>Pedalon.co.uk</t>
        </is>
      </c>
      <c r="D336" t="inlineStr">
        <is>
          <t>12</t>
        </is>
      </c>
      <c r="E336">
        <f>HYPERLINK("https://www.britishcycling.org.uk/points?person_id=387369&amp;year=2021&amp;type=national&amp;d=6","Results")</f>
        <v/>
      </c>
    </row>
    <row r="337">
      <c r="A337" t="inlineStr">
        <is>
          <t>336</t>
        </is>
      </c>
      <c r="B337" t="inlineStr">
        <is>
          <t>Peter Gunn</t>
        </is>
      </c>
      <c r="C337" t="inlineStr">
        <is>
          <t>Cleveland Wheelers CC</t>
        </is>
      </c>
      <c r="D337" t="inlineStr">
        <is>
          <t>12</t>
        </is>
      </c>
      <c r="E337">
        <f>HYPERLINK("https://www.britishcycling.org.uk/points?person_id=137244&amp;year=2021&amp;type=national&amp;d=6","Results")</f>
        <v/>
      </c>
    </row>
    <row r="338">
      <c r="A338" t="inlineStr">
        <is>
          <t>337</t>
        </is>
      </c>
      <c r="B338" t="inlineStr">
        <is>
          <t>Paul Jones</t>
        </is>
      </c>
      <c r="C338" t="inlineStr">
        <is>
          <t>Beeline Bicycles RT</t>
        </is>
      </c>
      <c r="D338" t="inlineStr">
        <is>
          <t>12</t>
        </is>
      </c>
      <c r="E338">
        <f>HYPERLINK("https://www.britishcycling.org.uk/points?person_id=303696&amp;year=2021&amp;type=national&amp;d=6","Results")</f>
        <v/>
      </c>
    </row>
    <row r="339">
      <c r="A339" t="inlineStr">
        <is>
          <t>338</t>
        </is>
      </c>
      <c r="B339" t="inlineStr">
        <is>
          <t>Kevin Newlyn</t>
        </is>
      </c>
      <c r="C339" t="inlineStr">
        <is>
          <t>Sussex Revolution Velo Club</t>
        </is>
      </c>
      <c r="D339" t="inlineStr">
        <is>
          <t>12</t>
        </is>
      </c>
      <c r="E339">
        <f>HYPERLINK("https://www.britishcycling.org.uk/points?person_id=987958&amp;year=2021&amp;type=national&amp;d=6","Results")</f>
        <v/>
      </c>
    </row>
    <row r="340">
      <c r="A340" t="inlineStr">
        <is>
          <t>339</t>
        </is>
      </c>
      <c r="B340" t="inlineStr">
        <is>
          <t>Robert Wimble</t>
        </is>
      </c>
      <c r="C340" t="inlineStr">
        <is>
          <t>Drogon Racing Team</t>
        </is>
      </c>
      <c r="D340" t="inlineStr">
        <is>
          <t>12</t>
        </is>
      </c>
      <c r="E340">
        <f>HYPERLINK("https://www.britishcycling.org.uk/points?person_id=44798&amp;year=2021&amp;type=national&amp;d=6","Results")</f>
        <v/>
      </c>
    </row>
    <row r="341">
      <c r="A341" t="inlineStr">
        <is>
          <t>340</t>
        </is>
      </c>
      <c r="B341" t="inlineStr">
        <is>
          <t>Neil Catling</t>
        </is>
      </c>
      <c r="C341" t="inlineStr">
        <is>
          <t>Team LCUK</t>
        </is>
      </c>
      <c r="D341" t="inlineStr">
        <is>
          <t>11</t>
        </is>
      </c>
      <c r="E341">
        <f>HYPERLINK("https://www.britishcycling.org.uk/points?person_id=167527&amp;year=2021&amp;type=national&amp;d=6","Results")</f>
        <v/>
      </c>
    </row>
    <row r="342">
      <c r="A342" t="inlineStr">
        <is>
          <t>341</t>
        </is>
      </c>
      <c r="B342" t="inlineStr">
        <is>
          <t>Jesse Baines</t>
        </is>
      </c>
      <c r="C342" t="inlineStr"/>
      <c r="D342" t="inlineStr">
        <is>
          <t>10</t>
        </is>
      </c>
      <c r="E342">
        <f>HYPERLINK("https://www.britishcycling.org.uk/points?person_id=117604&amp;year=2021&amp;type=national&amp;d=6","Results")</f>
        <v/>
      </c>
    </row>
    <row r="343">
      <c r="A343" t="inlineStr">
        <is>
          <t>342</t>
        </is>
      </c>
      <c r="B343" t="inlineStr">
        <is>
          <t>Chris Bradley</t>
        </is>
      </c>
      <c r="C343" t="inlineStr">
        <is>
          <t>www.Zepnat.com RT - Lazer helmets</t>
        </is>
      </c>
      <c r="D343" t="inlineStr">
        <is>
          <t>10</t>
        </is>
      </c>
      <c r="E343">
        <f>HYPERLINK("https://www.britishcycling.org.uk/points?person_id=55983&amp;year=2021&amp;type=national&amp;d=6","Results")</f>
        <v/>
      </c>
    </row>
    <row r="344">
      <c r="A344" t="inlineStr">
        <is>
          <t>343</t>
        </is>
      </c>
      <c r="B344" t="inlineStr">
        <is>
          <t>Lee Campbell</t>
        </is>
      </c>
      <c r="C344" t="inlineStr">
        <is>
          <t>Glasgow Nightingale CC</t>
        </is>
      </c>
      <c r="D344" t="inlineStr">
        <is>
          <t>10</t>
        </is>
      </c>
      <c r="E344">
        <f>HYPERLINK("https://www.britishcycling.org.uk/points?person_id=541301&amp;year=2021&amp;type=national&amp;d=6","Results")</f>
        <v/>
      </c>
    </row>
    <row r="345">
      <c r="A345" t="inlineStr">
        <is>
          <t>344</t>
        </is>
      </c>
      <c r="B345" t="inlineStr">
        <is>
          <t>Campbell Hall</t>
        </is>
      </c>
      <c r="C345" t="inlineStr">
        <is>
          <t>Maillot Noir CC</t>
        </is>
      </c>
      <c r="D345" t="inlineStr">
        <is>
          <t>10</t>
        </is>
      </c>
      <c r="E345">
        <f>HYPERLINK("https://www.britishcycling.org.uk/points?person_id=354831&amp;year=2021&amp;type=national&amp;d=6","Results")</f>
        <v/>
      </c>
    </row>
    <row r="346">
      <c r="A346" t="inlineStr">
        <is>
          <t>345</t>
        </is>
      </c>
      <c r="B346" t="inlineStr">
        <is>
          <t>Steve Hodgson</t>
        </is>
      </c>
      <c r="C346" t="inlineStr">
        <is>
          <t>Mid Devon CC</t>
        </is>
      </c>
      <c r="D346" t="inlineStr">
        <is>
          <t>10</t>
        </is>
      </c>
      <c r="E346">
        <f>HYPERLINK("https://www.britishcycling.org.uk/points?person_id=178620&amp;year=2021&amp;type=national&amp;d=6","Results")</f>
        <v/>
      </c>
    </row>
    <row r="347">
      <c r="A347" t="inlineStr">
        <is>
          <t>346</t>
        </is>
      </c>
      <c r="B347" t="inlineStr">
        <is>
          <t>Martin Johnson</t>
        </is>
      </c>
      <c r="C347" t="inlineStr">
        <is>
          <t>Royal Air Force CA</t>
        </is>
      </c>
      <c r="D347" t="inlineStr">
        <is>
          <t>10</t>
        </is>
      </c>
      <c r="E347">
        <f>HYPERLINK("https://www.britishcycling.org.uk/points?person_id=584511&amp;year=2021&amp;type=national&amp;d=6","Results")</f>
        <v/>
      </c>
    </row>
    <row r="348">
      <c r="A348" t="inlineStr">
        <is>
          <t>347</t>
        </is>
      </c>
      <c r="B348" t="inlineStr">
        <is>
          <t>Stuart King</t>
        </is>
      </c>
      <c r="C348" t="inlineStr">
        <is>
          <t>Ythan CC</t>
        </is>
      </c>
      <c r="D348" t="inlineStr">
        <is>
          <t>10</t>
        </is>
      </c>
      <c r="E348">
        <f>HYPERLINK("https://www.britishcycling.org.uk/points?person_id=811477&amp;year=2021&amp;type=national&amp;d=6","Results")</f>
        <v/>
      </c>
    </row>
    <row r="349">
      <c r="A349" t="inlineStr">
        <is>
          <t>348</t>
        </is>
      </c>
      <c r="B349" t="inlineStr">
        <is>
          <t>Craig Lawson</t>
        </is>
      </c>
      <c r="C349" t="inlineStr">
        <is>
          <t>Exeter Wheelers</t>
        </is>
      </c>
      <c r="D349" t="inlineStr">
        <is>
          <t>10</t>
        </is>
      </c>
      <c r="E349">
        <f>HYPERLINK("https://www.britishcycling.org.uk/points?person_id=201010&amp;year=2021&amp;type=national&amp;d=6","Results")</f>
        <v/>
      </c>
    </row>
    <row r="350">
      <c r="A350" t="inlineStr">
        <is>
          <t>349</t>
        </is>
      </c>
      <c r="B350" t="inlineStr">
        <is>
          <t>Maciej Malyszka</t>
        </is>
      </c>
      <c r="C350" t="inlineStr">
        <is>
          <t>Velouse Flyers</t>
        </is>
      </c>
      <c r="D350" t="inlineStr">
        <is>
          <t>10</t>
        </is>
      </c>
      <c r="E350">
        <f>HYPERLINK("https://www.britishcycling.org.uk/points?person_id=381397&amp;year=2021&amp;type=national&amp;d=6","Results")</f>
        <v/>
      </c>
    </row>
    <row r="351">
      <c r="A351" t="inlineStr">
        <is>
          <t>350</t>
        </is>
      </c>
      <c r="B351" t="inlineStr">
        <is>
          <t>Robert Sanderson</t>
        </is>
      </c>
      <c r="C351" t="inlineStr">
        <is>
          <t>Cardiff Ajax CC</t>
        </is>
      </c>
      <c r="D351" t="inlineStr">
        <is>
          <t>10</t>
        </is>
      </c>
      <c r="E351">
        <f>HYPERLINK("https://www.britishcycling.org.uk/points?person_id=420283&amp;year=2021&amp;type=national&amp;d=6","Results")</f>
        <v/>
      </c>
    </row>
    <row r="352">
      <c r="A352" t="inlineStr">
        <is>
          <t>351</t>
        </is>
      </c>
      <c r="B352" t="inlineStr">
        <is>
          <t>Daniel Sharp</t>
        </is>
      </c>
      <c r="C352" t="inlineStr">
        <is>
          <t>Ilkley Cycling Club</t>
        </is>
      </c>
      <c r="D352" t="inlineStr">
        <is>
          <t>10</t>
        </is>
      </c>
      <c r="E352">
        <f>HYPERLINK("https://www.britishcycling.org.uk/points?person_id=615223&amp;year=2021&amp;type=national&amp;d=6","Results")</f>
        <v/>
      </c>
    </row>
    <row r="353">
      <c r="A353" t="inlineStr">
        <is>
          <t>352</t>
        </is>
      </c>
      <c r="B353" t="inlineStr">
        <is>
          <t>Philip Smith</t>
        </is>
      </c>
      <c r="C353" t="inlineStr"/>
      <c r="D353" t="inlineStr">
        <is>
          <t>10</t>
        </is>
      </c>
      <c r="E353">
        <f>HYPERLINK("https://www.britishcycling.org.uk/points?person_id=33888&amp;year=2021&amp;type=national&amp;d=6","Results")</f>
        <v/>
      </c>
    </row>
    <row r="354">
      <c r="A354" t="inlineStr">
        <is>
          <t>353</t>
        </is>
      </c>
      <c r="B354" t="inlineStr">
        <is>
          <t>Matthew Spurgin</t>
        </is>
      </c>
      <c r="C354" t="inlineStr"/>
      <c r="D354" t="inlineStr">
        <is>
          <t>10</t>
        </is>
      </c>
      <c r="E354">
        <f>HYPERLINK("https://www.britishcycling.org.uk/points?person_id=25217&amp;year=2021&amp;type=national&amp;d=6","Results")</f>
        <v/>
      </c>
    </row>
    <row r="355">
      <c r="A355" t="inlineStr">
        <is>
          <t>354</t>
        </is>
      </c>
      <c r="B355" t="inlineStr">
        <is>
          <t>John Aston</t>
        </is>
      </c>
      <c r="C355" t="inlineStr">
        <is>
          <t>Generation Press CC</t>
        </is>
      </c>
      <c r="D355" t="inlineStr">
        <is>
          <t>9</t>
        </is>
      </c>
      <c r="E355">
        <f>HYPERLINK("https://www.britishcycling.org.uk/points?person_id=102932&amp;year=2021&amp;type=national&amp;d=6","Results")</f>
        <v/>
      </c>
    </row>
    <row r="356">
      <c r="A356" t="inlineStr">
        <is>
          <t>355</t>
        </is>
      </c>
      <c r="B356" t="inlineStr">
        <is>
          <t>Scott Cairns</t>
        </is>
      </c>
      <c r="C356" t="inlineStr">
        <is>
          <t>Derwentside CC</t>
        </is>
      </c>
      <c r="D356" t="inlineStr">
        <is>
          <t>9</t>
        </is>
      </c>
      <c r="E356">
        <f>HYPERLINK("https://www.britishcycling.org.uk/points?person_id=514849&amp;year=2021&amp;type=national&amp;d=6","Results")</f>
        <v/>
      </c>
    </row>
    <row r="357">
      <c r="A357" t="inlineStr">
        <is>
          <t>356</t>
        </is>
      </c>
      <c r="B357" t="inlineStr">
        <is>
          <t>Simon Dixey</t>
        </is>
      </c>
      <c r="C357" t="inlineStr">
        <is>
          <t>Welland Valley CC</t>
        </is>
      </c>
      <c r="D357" t="inlineStr">
        <is>
          <t>9</t>
        </is>
      </c>
      <c r="E357">
        <f>HYPERLINK("https://www.britishcycling.org.uk/points?person_id=497783&amp;year=2021&amp;type=national&amp;d=6","Results")</f>
        <v/>
      </c>
    </row>
    <row r="358">
      <c r="A358" t="inlineStr">
        <is>
          <t>357</t>
        </is>
      </c>
      <c r="B358" t="inlineStr">
        <is>
          <t>Hugo Reynolds</t>
        </is>
      </c>
      <c r="C358" t="inlineStr">
        <is>
          <t>Matlock CC</t>
        </is>
      </c>
      <c r="D358" t="inlineStr">
        <is>
          <t>9</t>
        </is>
      </c>
      <c r="E358">
        <f>HYPERLINK("https://www.britishcycling.org.uk/points?person_id=14550&amp;year=2021&amp;type=national&amp;d=6","Results")</f>
        <v/>
      </c>
    </row>
    <row r="359">
      <c r="A359" t="inlineStr">
        <is>
          <t>358</t>
        </is>
      </c>
      <c r="B359" t="inlineStr">
        <is>
          <t>Stephen Wilson</t>
        </is>
      </c>
      <c r="C359" t="inlineStr">
        <is>
          <t>Ecosse Northboats</t>
        </is>
      </c>
      <c r="D359" t="inlineStr">
        <is>
          <t>9</t>
        </is>
      </c>
      <c r="E359">
        <f>HYPERLINK("https://www.britishcycling.org.uk/points?person_id=673284&amp;year=2021&amp;type=national&amp;d=6","Results")</f>
        <v/>
      </c>
    </row>
    <row r="360">
      <c r="A360" t="inlineStr">
        <is>
          <t>359</t>
        </is>
      </c>
      <c r="B360" t="inlineStr">
        <is>
          <t>Simon Arnot</t>
        </is>
      </c>
      <c r="C360" t="inlineStr">
        <is>
          <t>Torvelo Racing</t>
        </is>
      </c>
      <c r="D360" t="inlineStr">
        <is>
          <t>8</t>
        </is>
      </c>
      <c r="E360">
        <f>HYPERLINK("https://www.britishcycling.org.uk/points?person_id=380283&amp;year=2021&amp;type=national&amp;d=6","Results")</f>
        <v/>
      </c>
    </row>
    <row r="361">
      <c r="A361" t="inlineStr">
        <is>
          <t>360</t>
        </is>
      </c>
      <c r="B361" t="inlineStr">
        <is>
          <t>Michael Glynn</t>
        </is>
      </c>
      <c r="C361" t="inlineStr">
        <is>
          <t>SKCC</t>
        </is>
      </c>
      <c r="D361" t="inlineStr">
        <is>
          <t>8</t>
        </is>
      </c>
      <c r="E361">
        <f>HYPERLINK("https://www.britishcycling.org.uk/points?person_id=60289&amp;year=2021&amp;type=national&amp;d=6","Results")</f>
        <v/>
      </c>
    </row>
    <row r="362">
      <c r="A362" t="inlineStr">
        <is>
          <t>361</t>
        </is>
      </c>
      <c r="B362" t="inlineStr">
        <is>
          <t>William Hornby</t>
        </is>
      </c>
      <c r="C362" t="inlineStr">
        <is>
          <t>Cycle Sport South Hams</t>
        </is>
      </c>
      <c r="D362" t="inlineStr">
        <is>
          <t>8</t>
        </is>
      </c>
      <c r="E362">
        <f>HYPERLINK("https://www.britishcycling.org.uk/points?person_id=63665&amp;year=2021&amp;type=national&amp;d=6","Results")</f>
        <v/>
      </c>
    </row>
    <row r="363">
      <c r="A363" t="inlineStr">
        <is>
          <t>362</t>
        </is>
      </c>
      <c r="B363" t="inlineStr">
        <is>
          <t>Richard Kelt</t>
        </is>
      </c>
      <c r="C363" t="inlineStr">
        <is>
          <t>Ilkley Cycling Club</t>
        </is>
      </c>
      <c r="D363" t="inlineStr">
        <is>
          <t>8</t>
        </is>
      </c>
      <c r="E363">
        <f>HYPERLINK("https://www.britishcycling.org.uk/points?person_id=320856&amp;year=2021&amp;type=national&amp;d=6","Results")</f>
        <v/>
      </c>
    </row>
    <row r="364">
      <c r="A364" t="inlineStr">
        <is>
          <t>363</t>
        </is>
      </c>
      <c r="B364" t="inlineStr">
        <is>
          <t>Jonathan Moyle</t>
        </is>
      </c>
      <c r="C364" t="inlineStr">
        <is>
          <t>Gateway Racing</t>
        </is>
      </c>
      <c r="D364" t="inlineStr">
        <is>
          <t>8</t>
        </is>
      </c>
      <c r="E364">
        <f>HYPERLINK("https://www.britishcycling.org.uk/points?person_id=182954&amp;year=2021&amp;type=national&amp;d=6","Results")</f>
        <v/>
      </c>
    </row>
    <row r="365">
      <c r="A365" t="inlineStr">
        <is>
          <t>364</t>
        </is>
      </c>
      <c r="B365" t="inlineStr">
        <is>
          <t>David Rees</t>
        </is>
      </c>
      <c r="C365" t="inlineStr">
        <is>
          <t>Dulwich Paragon CC</t>
        </is>
      </c>
      <c r="D365" t="inlineStr">
        <is>
          <t>8</t>
        </is>
      </c>
      <c r="E365">
        <f>HYPERLINK("https://www.britishcycling.org.uk/points?person_id=64390&amp;year=2021&amp;type=national&amp;d=6","Results")</f>
        <v/>
      </c>
    </row>
    <row r="366">
      <c r="A366" t="inlineStr">
        <is>
          <t>365</t>
        </is>
      </c>
      <c r="B366" t="inlineStr">
        <is>
          <t>Simon Stockley</t>
        </is>
      </c>
      <c r="C366" t="inlineStr">
        <is>
          <t>Westerham Cycling Club</t>
        </is>
      </c>
      <c r="D366" t="inlineStr">
        <is>
          <t>8</t>
        </is>
      </c>
      <c r="E366">
        <f>HYPERLINK("https://www.britishcycling.org.uk/points?person_id=125974&amp;year=2021&amp;type=national&amp;d=6","Results")</f>
        <v/>
      </c>
    </row>
    <row r="367">
      <c r="A367" t="inlineStr">
        <is>
          <t>366</t>
        </is>
      </c>
      <c r="B367" t="inlineStr">
        <is>
          <t>Benedict Wallis</t>
        </is>
      </c>
      <c r="C367" t="inlineStr">
        <is>
          <t>Bristol RC</t>
        </is>
      </c>
      <c r="D367" t="inlineStr">
        <is>
          <t>8</t>
        </is>
      </c>
      <c r="E367">
        <f>HYPERLINK("https://www.britishcycling.org.uk/points?person_id=770033&amp;year=2021&amp;type=national&amp;d=6","Results")</f>
        <v/>
      </c>
    </row>
    <row r="368">
      <c r="A368" t="inlineStr">
        <is>
          <t>367</t>
        </is>
      </c>
      <c r="B368" t="inlineStr">
        <is>
          <t>Richard Bowditch</t>
        </is>
      </c>
      <c r="C368" t="inlineStr"/>
      <c r="D368" t="inlineStr">
        <is>
          <t>7</t>
        </is>
      </c>
      <c r="E368">
        <f>HYPERLINK("https://www.britishcycling.org.uk/points?person_id=33372&amp;year=2021&amp;type=national&amp;d=6","Results")</f>
        <v/>
      </c>
    </row>
    <row r="369">
      <c r="A369" t="inlineStr">
        <is>
          <t>368</t>
        </is>
      </c>
      <c r="B369" t="inlineStr">
        <is>
          <t>Steve Bowman</t>
        </is>
      </c>
      <c r="C369" t="inlineStr">
        <is>
          <t>Origin Race Team</t>
        </is>
      </c>
      <c r="D369" t="inlineStr">
        <is>
          <t>7</t>
        </is>
      </c>
      <c r="E369">
        <f>HYPERLINK("https://www.britishcycling.org.uk/points?person_id=176254&amp;year=2021&amp;type=national&amp;d=6","Results")</f>
        <v/>
      </c>
    </row>
    <row r="370">
      <c r="A370" t="inlineStr">
        <is>
          <t>369</t>
        </is>
      </c>
      <c r="B370" t="inlineStr">
        <is>
          <t>Fergus Brady</t>
        </is>
      </c>
      <c r="C370" t="inlineStr">
        <is>
          <t>VC Meudon</t>
        </is>
      </c>
      <c r="D370" t="inlineStr">
        <is>
          <t>7</t>
        </is>
      </c>
      <c r="E370">
        <f>HYPERLINK("https://www.britishcycling.org.uk/points?person_id=756303&amp;year=2021&amp;type=national&amp;d=6","Results")</f>
        <v/>
      </c>
    </row>
    <row r="371">
      <c r="A371" t="inlineStr">
        <is>
          <t>370</t>
        </is>
      </c>
      <c r="B371" t="inlineStr">
        <is>
          <t>John Grenfell</t>
        </is>
      </c>
      <c r="C371" t="inlineStr">
        <is>
          <t>Bradford on Avon</t>
        </is>
      </c>
      <c r="D371" t="inlineStr">
        <is>
          <t>7</t>
        </is>
      </c>
      <c r="E371">
        <f>HYPERLINK("https://www.britishcycling.org.uk/points?person_id=246151&amp;year=2021&amp;type=national&amp;d=6","Results")</f>
        <v/>
      </c>
    </row>
    <row r="372">
      <c r="A372" t="inlineStr">
        <is>
          <t>371</t>
        </is>
      </c>
      <c r="B372" t="inlineStr">
        <is>
          <t>Chris Murphy</t>
        </is>
      </c>
      <c r="C372" t="inlineStr">
        <is>
          <t>Wigmore CC</t>
        </is>
      </c>
      <c r="D372" t="inlineStr">
        <is>
          <t>7</t>
        </is>
      </c>
      <c r="E372">
        <f>HYPERLINK("https://www.britishcycling.org.uk/points?person_id=931714&amp;year=2021&amp;type=national&amp;d=6","Results")</f>
        <v/>
      </c>
    </row>
    <row r="373">
      <c r="A373" t="inlineStr">
        <is>
          <t>372</t>
        </is>
      </c>
      <c r="B373" t="inlineStr">
        <is>
          <t>Gary Sharp</t>
        </is>
      </c>
      <c r="C373" t="inlineStr">
        <is>
          <t>Sherwood Pines Cycles Forme</t>
        </is>
      </c>
      <c r="D373" t="inlineStr">
        <is>
          <t>7</t>
        </is>
      </c>
      <c r="E373">
        <f>HYPERLINK("https://www.britishcycling.org.uk/points?person_id=411932&amp;year=2021&amp;type=national&amp;d=6","Results")</f>
        <v/>
      </c>
    </row>
    <row r="374">
      <c r="A374" t="inlineStr">
        <is>
          <t>373</t>
        </is>
      </c>
      <c r="B374" t="inlineStr">
        <is>
          <t>Philip Wilkinson</t>
        </is>
      </c>
      <c r="C374" t="inlineStr">
        <is>
          <t>Rockingham Forest Whls</t>
        </is>
      </c>
      <c r="D374" t="inlineStr">
        <is>
          <t>7</t>
        </is>
      </c>
      <c r="E374">
        <f>HYPERLINK("https://www.britishcycling.org.uk/points?person_id=46642&amp;year=2021&amp;type=national&amp;d=6","Results")</f>
        <v/>
      </c>
    </row>
    <row r="375">
      <c r="A375" t="inlineStr">
        <is>
          <t>374</t>
        </is>
      </c>
      <c r="B375" t="inlineStr">
        <is>
          <t>John Armstrong</t>
        </is>
      </c>
      <c r="C375" t="inlineStr">
        <is>
          <t>Rapha Cycling Club</t>
        </is>
      </c>
      <c r="D375" t="inlineStr">
        <is>
          <t>6</t>
        </is>
      </c>
      <c r="E375">
        <f>HYPERLINK("https://www.britishcycling.org.uk/points?person_id=132825&amp;year=2021&amp;type=national&amp;d=6","Results")</f>
        <v/>
      </c>
    </row>
    <row r="376">
      <c r="A376" t="inlineStr">
        <is>
          <t>375</t>
        </is>
      </c>
      <c r="B376" t="inlineStr">
        <is>
          <t>Adam Chamberlin</t>
        </is>
      </c>
      <c r="C376" t="inlineStr">
        <is>
          <t>TPH Racing</t>
        </is>
      </c>
      <c r="D376" t="inlineStr">
        <is>
          <t>6</t>
        </is>
      </c>
      <c r="E376">
        <f>HYPERLINK("https://www.britishcycling.org.uk/points?person_id=235742&amp;year=2021&amp;type=national&amp;d=6","Results")</f>
        <v/>
      </c>
    </row>
    <row r="377">
      <c r="A377" t="inlineStr">
        <is>
          <t>376</t>
        </is>
      </c>
      <c r="B377" t="inlineStr">
        <is>
          <t>Chris Cornish</t>
        </is>
      </c>
      <c r="C377" t="inlineStr"/>
      <c r="D377" t="inlineStr">
        <is>
          <t>6</t>
        </is>
      </c>
      <c r="E377">
        <f>HYPERLINK("https://www.britishcycling.org.uk/points?person_id=262139&amp;year=2021&amp;type=national&amp;d=6","Results")</f>
        <v/>
      </c>
    </row>
    <row r="378">
      <c r="A378" t="inlineStr">
        <is>
          <t>377</t>
        </is>
      </c>
      <c r="B378" t="inlineStr">
        <is>
          <t>Alan Horsburgh</t>
        </is>
      </c>
      <c r="C378" t="inlineStr">
        <is>
          <t>Inverness Cycle Club</t>
        </is>
      </c>
      <c r="D378" t="inlineStr">
        <is>
          <t>6</t>
        </is>
      </c>
      <c r="E378">
        <f>HYPERLINK("https://www.britishcycling.org.uk/points?person_id=254904&amp;year=2021&amp;type=national&amp;d=6","Results")</f>
        <v/>
      </c>
    </row>
    <row r="379">
      <c r="A379" t="inlineStr">
        <is>
          <t>378</t>
        </is>
      </c>
      <c r="B379" t="inlineStr">
        <is>
          <t>Tony McCullagh</t>
        </is>
      </c>
      <c r="C379" t="inlineStr">
        <is>
          <t>Darlington CC</t>
        </is>
      </c>
      <c r="D379" t="inlineStr">
        <is>
          <t>6</t>
        </is>
      </c>
      <c r="E379">
        <f>HYPERLINK("https://www.britishcycling.org.uk/points?person_id=51591&amp;year=2021&amp;type=national&amp;d=6","Results")</f>
        <v/>
      </c>
    </row>
    <row r="380">
      <c r="A380" t="inlineStr">
        <is>
          <t>379</t>
        </is>
      </c>
      <c r="B380" t="inlineStr">
        <is>
          <t>Dennis Murphy</t>
        </is>
      </c>
      <c r="C380" t="inlineStr">
        <is>
          <t>Royal Navy &amp; Royal Marines CA</t>
        </is>
      </c>
      <c r="D380" t="inlineStr">
        <is>
          <t>6</t>
        </is>
      </c>
      <c r="E380">
        <f>HYPERLINK("https://www.britishcycling.org.uk/points?person_id=359488&amp;year=2021&amp;type=national&amp;d=6","Results")</f>
        <v/>
      </c>
    </row>
    <row r="381">
      <c r="A381" t="inlineStr">
        <is>
          <t>380</t>
        </is>
      </c>
      <c r="B381" t="inlineStr">
        <is>
          <t>Philip Richards</t>
        </is>
      </c>
      <c r="C381" t="inlineStr">
        <is>
          <t>Rugby Velo</t>
        </is>
      </c>
      <c r="D381" t="inlineStr">
        <is>
          <t>6</t>
        </is>
      </c>
      <c r="E381">
        <f>HYPERLINK("https://www.britishcycling.org.uk/points?person_id=202942&amp;year=2021&amp;type=national&amp;d=6","Results")</f>
        <v/>
      </c>
    </row>
    <row r="382">
      <c r="A382" t="inlineStr">
        <is>
          <t>381</t>
        </is>
      </c>
      <c r="B382" t="inlineStr">
        <is>
          <t>Andrew Scouller</t>
        </is>
      </c>
      <c r="C382" t="inlineStr">
        <is>
          <t>Bennachie Bike Bothy</t>
        </is>
      </c>
      <c r="D382" t="inlineStr">
        <is>
          <t>6</t>
        </is>
      </c>
      <c r="E382">
        <f>HYPERLINK("https://www.britishcycling.org.uk/points?person_id=260313&amp;year=2021&amp;type=national&amp;d=6","Results")</f>
        <v/>
      </c>
    </row>
    <row r="383">
      <c r="A383" t="inlineStr">
        <is>
          <t>382</t>
        </is>
      </c>
      <c r="B383" t="inlineStr">
        <is>
          <t>Matt Steel</t>
        </is>
      </c>
      <c r="C383" t="inlineStr">
        <is>
          <t>Shaftesbury CC</t>
        </is>
      </c>
      <c r="D383" t="inlineStr">
        <is>
          <t>6</t>
        </is>
      </c>
      <c r="E383">
        <f>HYPERLINK("https://www.britishcycling.org.uk/points?person_id=701683&amp;year=2021&amp;type=national&amp;d=6","Results")</f>
        <v/>
      </c>
    </row>
    <row r="384">
      <c r="A384" t="inlineStr">
        <is>
          <t>383</t>
        </is>
      </c>
      <c r="B384" t="inlineStr">
        <is>
          <t>David Tate</t>
        </is>
      </c>
      <c r="C384" t="inlineStr">
        <is>
          <t>Arctic Aircon RT</t>
        </is>
      </c>
      <c r="D384" t="inlineStr">
        <is>
          <t>6</t>
        </is>
      </c>
      <c r="E384">
        <f>HYPERLINK("https://www.britishcycling.org.uk/points?person_id=77250&amp;year=2021&amp;type=national&amp;d=6","Results")</f>
        <v/>
      </c>
    </row>
    <row r="385">
      <c r="A385" t="inlineStr">
        <is>
          <t>384</t>
        </is>
      </c>
      <c r="B385" t="inlineStr">
        <is>
          <t>Jonathan Carter</t>
        </is>
      </c>
      <c r="C385" t="inlineStr">
        <is>
          <t>Louth Cycle Centre RT</t>
        </is>
      </c>
      <c r="D385" t="inlineStr">
        <is>
          <t>5</t>
        </is>
      </c>
      <c r="E385">
        <f>HYPERLINK("https://www.britishcycling.org.uk/points?person_id=438950&amp;year=2021&amp;type=national&amp;d=6","Results")</f>
        <v/>
      </c>
    </row>
    <row r="386">
      <c r="A386" t="inlineStr">
        <is>
          <t>385</t>
        </is>
      </c>
      <c r="B386" t="inlineStr">
        <is>
          <t>Mervyn Dempsey</t>
        </is>
      </c>
      <c r="C386" t="inlineStr">
        <is>
          <t>Berkhamsted Cycling Club</t>
        </is>
      </c>
      <c r="D386" t="inlineStr">
        <is>
          <t>5</t>
        </is>
      </c>
      <c r="E386">
        <f>HYPERLINK("https://www.britishcycling.org.uk/points?person_id=420336&amp;year=2021&amp;type=national&amp;d=6","Results")</f>
        <v/>
      </c>
    </row>
    <row r="387">
      <c r="A387" t="inlineStr">
        <is>
          <t>386</t>
        </is>
      </c>
      <c r="B387" t="inlineStr">
        <is>
          <t>Antony Glover</t>
        </is>
      </c>
      <c r="C387" t="inlineStr">
        <is>
          <t>Derwentside CC</t>
        </is>
      </c>
      <c r="D387" t="inlineStr">
        <is>
          <t>5</t>
        </is>
      </c>
      <c r="E387">
        <f>HYPERLINK("https://www.britishcycling.org.uk/points?person_id=42001&amp;year=2021&amp;type=national&amp;d=6","Results")</f>
        <v/>
      </c>
    </row>
    <row r="388">
      <c r="A388" t="inlineStr">
        <is>
          <t>387</t>
        </is>
      </c>
      <c r="B388" t="inlineStr">
        <is>
          <t>Steve Hambling</t>
        </is>
      </c>
      <c r="C388" t="inlineStr"/>
      <c r="D388" t="inlineStr">
        <is>
          <t>5</t>
        </is>
      </c>
      <c r="E388">
        <f>HYPERLINK("https://www.britishcycling.org.uk/points?person_id=79257&amp;year=2021&amp;type=national&amp;d=6","Results")</f>
        <v/>
      </c>
    </row>
    <row r="389">
      <c r="A389" t="inlineStr">
        <is>
          <t>388</t>
        </is>
      </c>
      <c r="B389" t="inlineStr">
        <is>
          <t>Alex Ioannides</t>
        </is>
      </c>
      <c r="C389" t="inlineStr">
        <is>
          <t>Dulwich Paragon CC</t>
        </is>
      </c>
      <c r="D389" t="inlineStr">
        <is>
          <t>5</t>
        </is>
      </c>
      <c r="E389">
        <f>HYPERLINK("https://www.britishcycling.org.uk/points?person_id=62482&amp;year=2021&amp;type=national&amp;d=6","Results")</f>
        <v/>
      </c>
    </row>
    <row r="390">
      <c r="A390" t="inlineStr">
        <is>
          <t>389</t>
        </is>
      </c>
      <c r="B390" t="inlineStr">
        <is>
          <t>Daniel Lyness</t>
        </is>
      </c>
      <c r="C390" t="inlineStr">
        <is>
          <t>Royal Navy &amp; Royal Marines CA</t>
        </is>
      </c>
      <c r="D390" t="inlineStr">
        <is>
          <t>5</t>
        </is>
      </c>
      <c r="E390">
        <f>HYPERLINK("https://www.britishcycling.org.uk/points?person_id=418750&amp;year=2021&amp;type=national&amp;d=6","Results")</f>
        <v/>
      </c>
    </row>
    <row r="391">
      <c r="A391" t="inlineStr">
        <is>
          <t>390</t>
        </is>
      </c>
      <c r="B391" t="inlineStr">
        <is>
          <t>Ian Munday</t>
        </is>
      </c>
      <c r="C391" t="inlineStr">
        <is>
          <t>JRC-INTERFLON Race Team</t>
        </is>
      </c>
      <c r="D391" t="inlineStr">
        <is>
          <t>5</t>
        </is>
      </c>
      <c r="E391">
        <f>HYPERLINK("https://www.britishcycling.org.uk/points?person_id=350295&amp;year=2021&amp;type=national&amp;d=6","Results")</f>
        <v/>
      </c>
    </row>
    <row r="392">
      <c r="A392" t="inlineStr">
        <is>
          <t>391</t>
        </is>
      </c>
      <c r="B392" t="inlineStr">
        <is>
          <t>Ollie Rastall</t>
        </is>
      </c>
      <c r="C392" t="inlineStr">
        <is>
          <t>GS Mossa</t>
        </is>
      </c>
      <c r="D392" t="inlineStr">
        <is>
          <t>5</t>
        </is>
      </c>
      <c r="E392">
        <f>HYPERLINK("https://www.britishcycling.org.uk/points?person_id=565163&amp;year=2021&amp;type=national&amp;d=6","Results")</f>
        <v/>
      </c>
    </row>
    <row r="393">
      <c r="A393" t="inlineStr">
        <is>
          <t>392</t>
        </is>
      </c>
      <c r="B393" t="inlineStr">
        <is>
          <t>Mark Reed</t>
        </is>
      </c>
      <c r="C393" t="inlineStr">
        <is>
          <t>Tyneside Vagabonds CC</t>
        </is>
      </c>
      <c r="D393" t="inlineStr">
        <is>
          <t>5</t>
        </is>
      </c>
      <c r="E393">
        <f>HYPERLINK("https://www.britishcycling.org.uk/points?person_id=106848&amp;year=2021&amp;type=national&amp;d=6","Results")</f>
        <v/>
      </c>
    </row>
    <row r="394">
      <c r="A394" t="inlineStr">
        <is>
          <t>393</t>
        </is>
      </c>
      <c r="B394" t="inlineStr">
        <is>
          <t>Christopher Smith</t>
        </is>
      </c>
      <c r="C394" t="inlineStr"/>
      <c r="D394" t="inlineStr">
        <is>
          <t>5</t>
        </is>
      </c>
      <c r="E394">
        <f>HYPERLINK("https://www.britishcycling.org.uk/points?person_id=8253&amp;year=2021&amp;type=national&amp;d=6","Results")</f>
        <v/>
      </c>
    </row>
    <row r="395">
      <c r="A395" t="inlineStr">
        <is>
          <t>394</t>
        </is>
      </c>
      <c r="B395" t="inlineStr">
        <is>
          <t>Ashley Strowger</t>
        </is>
      </c>
      <c r="C395" t="inlineStr">
        <is>
          <t>VC Norwich</t>
        </is>
      </c>
      <c r="D395" t="inlineStr">
        <is>
          <t>5</t>
        </is>
      </c>
      <c r="E395">
        <f>HYPERLINK("https://www.britishcycling.org.uk/points?person_id=678519&amp;year=2021&amp;type=national&amp;d=6","Results")</f>
        <v/>
      </c>
    </row>
    <row r="396">
      <c r="A396" t="inlineStr">
        <is>
          <t>395</t>
        </is>
      </c>
      <c r="B396" t="inlineStr">
        <is>
          <t>Edwin Ward</t>
        </is>
      </c>
      <c r="C396" t="inlineStr"/>
      <c r="D396" t="inlineStr">
        <is>
          <t>5</t>
        </is>
      </c>
      <c r="E396">
        <f>HYPERLINK("https://www.britishcycling.org.uk/points?person_id=444387&amp;year=2021&amp;type=national&amp;d=6","Results")</f>
        <v/>
      </c>
    </row>
    <row r="397">
      <c r="A397" t="inlineStr">
        <is>
          <t>396</t>
        </is>
      </c>
      <c r="B397" t="inlineStr">
        <is>
          <t>Stephen Carr</t>
        </is>
      </c>
      <c r="C397" t="inlineStr">
        <is>
          <t>Cestria CC</t>
        </is>
      </c>
      <c r="D397" t="inlineStr">
        <is>
          <t>4</t>
        </is>
      </c>
      <c r="E397">
        <f>HYPERLINK("https://www.britishcycling.org.uk/points?person_id=935718&amp;year=2021&amp;type=national&amp;d=6","Results")</f>
        <v/>
      </c>
    </row>
    <row r="398">
      <c r="A398" t="inlineStr">
        <is>
          <t>397</t>
        </is>
      </c>
      <c r="B398" t="inlineStr">
        <is>
          <t>Daniel Carr</t>
        </is>
      </c>
      <c r="C398" t="inlineStr">
        <is>
          <t>Salt &amp; Sham Cycle Club</t>
        </is>
      </c>
      <c r="D398" t="inlineStr">
        <is>
          <t>4</t>
        </is>
      </c>
      <c r="E398">
        <f>HYPERLINK("https://www.britishcycling.org.uk/points?person_id=356321&amp;year=2021&amp;type=national&amp;d=6","Results")</f>
        <v/>
      </c>
    </row>
    <row r="399">
      <c r="A399" t="inlineStr">
        <is>
          <t>398</t>
        </is>
      </c>
      <c r="B399" t="inlineStr">
        <is>
          <t>Ashley Dunn</t>
        </is>
      </c>
      <c r="C399" t="inlineStr">
        <is>
          <t>Velo Club Bristol</t>
        </is>
      </c>
      <c r="D399" t="inlineStr">
        <is>
          <t>4</t>
        </is>
      </c>
      <c r="E399">
        <f>HYPERLINK("https://www.britishcycling.org.uk/points?person_id=599616&amp;year=2021&amp;type=national&amp;d=6","Results")</f>
        <v/>
      </c>
    </row>
    <row r="400">
      <c r="A400" t="inlineStr">
        <is>
          <t>399</t>
        </is>
      </c>
      <c r="B400" t="inlineStr">
        <is>
          <t>Gareth Evans</t>
        </is>
      </c>
      <c r="C400" t="inlineStr">
        <is>
          <t>Lincoln Wheelers CC</t>
        </is>
      </c>
      <c r="D400" t="inlineStr">
        <is>
          <t>4</t>
        </is>
      </c>
      <c r="E400">
        <f>HYPERLINK("https://www.britishcycling.org.uk/points?person_id=31079&amp;year=2021&amp;type=national&amp;d=6","Results")</f>
        <v/>
      </c>
    </row>
    <row r="401">
      <c r="A401" t="inlineStr">
        <is>
          <t>400</t>
        </is>
      </c>
      <c r="B401" t="inlineStr">
        <is>
          <t>Justin Hoy</t>
        </is>
      </c>
      <c r="C401" t="inlineStr"/>
      <c r="D401" t="inlineStr">
        <is>
          <t>4</t>
        </is>
      </c>
      <c r="E401">
        <f>HYPERLINK("https://www.britishcycling.org.uk/points?person_id=22167&amp;year=2021&amp;type=national&amp;d=6","Results")</f>
        <v/>
      </c>
    </row>
    <row r="402">
      <c r="A402" t="inlineStr">
        <is>
          <t>401</t>
        </is>
      </c>
      <c r="B402" t="inlineStr">
        <is>
          <t>Andrew Macleod</t>
        </is>
      </c>
      <c r="C402" t="inlineStr">
        <is>
          <t>Caithness CC</t>
        </is>
      </c>
      <c r="D402" t="inlineStr">
        <is>
          <t>4</t>
        </is>
      </c>
      <c r="E402">
        <f>HYPERLINK("https://www.britishcycling.org.uk/points?person_id=187119&amp;year=2021&amp;type=national&amp;d=6","Results")</f>
        <v/>
      </c>
    </row>
    <row r="403">
      <c r="A403" t="inlineStr">
        <is>
          <t>402</t>
        </is>
      </c>
      <c r="B403" t="inlineStr">
        <is>
          <t>Stewart Phipps</t>
        </is>
      </c>
      <c r="C403" t="inlineStr">
        <is>
          <t>Redditch Road &amp; Path CC</t>
        </is>
      </c>
      <c r="D403" t="inlineStr">
        <is>
          <t>4</t>
        </is>
      </c>
      <c r="E403">
        <f>HYPERLINK("https://www.britishcycling.org.uk/points?person_id=794278&amp;year=2021&amp;type=national&amp;d=6","Results")</f>
        <v/>
      </c>
    </row>
    <row r="404">
      <c r="A404" t="inlineStr">
        <is>
          <t>403</t>
        </is>
      </c>
      <c r="B404" t="inlineStr">
        <is>
          <t>Andrew Ramsdale</t>
        </is>
      </c>
      <c r="C404" t="inlineStr">
        <is>
          <t>Leisure Lakes Bikes.com</t>
        </is>
      </c>
      <c r="D404" t="inlineStr">
        <is>
          <t>4</t>
        </is>
      </c>
      <c r="E404">
        <f>HYPERLINK("https://www.britishcycling.org.uk/points?person_id=246519&amp;year=2021&amp;type=national&amp;d=6","Results")</f>
        <v/>
      </c>
    </row>
    <row r="405">
      <c r="A405" t="inlineStr">
        <is>
          <t>404</t>
        </is>
      </c>
      <c r="B405" t="inlineStr">
        <is>
          <t>Matthew Shaylor</t>
        </is>
      </c>
      <c r="C405" t="inlineStr"/>
      <c r="D405" t="inlineStr">
        <is>
          <t>4</t>
        </is>
      </c>
      <c r="E405">
        <f>HYPERLINK("https://www.britishcycling.org.uk/points?person_id=730807&amp;year=2021&amp;type=national&amp;d=6","Results")</f>
        <v/>
      </c>
    </row>
    <row r="406">
      <c r="A406" t="inlineStr">
        <is>
          <t>405</t>
        </is>
      </c>
      <c r="B406" t="inlineStr">
        <is>
          <t>Austin Smith</t>
        </is>
      </c>
      <c r="C406" t="inlineStr">
        <is>
          <t>Welland Valley CC</t>
        </is>
      </c>
      <c r="D406" t="inlineStr">
        <is>
          <t>4</t>
        </is>
      </c>
      <c r="E406">
        <f>HYPERLINK("https://www.britishcycling.org.uk/points?person_id=400203&amp;year=2021&amp;type=national&amp;d=6","Results")</f>
        <v/>
      </c>
    </row>
    <row r="407">
      <c r="A407" t="inlineStr">
        <is>
          <t>406</t>
        </is>
      </c>
      <c r="B407" t="inlineStr">
        <is>
          <t>Jonathan Vaughan</t>
        </is>
      </c>
      <c r="C407" t="inlineStr">
        <is>
          <t>Iceni Velo</t>
        </is>
      </c>
      <c r="D407" t="inlineStr">
        <is>
          <t>4</t>
        </is>
      </c>
      <c r="E407">
        <f>HYPERLINK("https://www.britishcycling.org.uk/points?person_id=106653&amp;year=2021&amp;type=national&amp;d=6","Results")</f>
        <v/>
      </c>
    </row>
    <row r="408">
      <c r="A408" t="inlineStr">
        <is>
          <t>407</t>
        </is>
      </c>
      <c r="B408" t="inlineStr">
        <is>
          <t>James Cotty</t>
        </is>
      </c>
      <c r="C408" t="inlineStr">
        <is>
          <t>Hargroves RT</t>
        </is>
      </c>
      <c r="D408" t="inlineStr">
        <is>
          <t>3</t>
        </is>
      </c>
      <c r="E408">
        <f>HYPERLINK("https://www.britishcycling.org.uk/points?person_id=65374&amp;year=2021&amp;type=national&amp;d=6","Results")</f>
        <v/>
      </c>
    </row>
    <row r="409">
      <c r="A409" t="inlineStr">
        <is>
          <t>408</t>
        </is>
      </c>
      <c r="B409" t="inlineStr">
        <is>
          <t>Matthew Eastwood</t>
        </is>
      </c>
      <c r="C409" t="inlineStr">
        <is>
          <t>York Cycleworks</t>
        </is>
      </c>
      <c r="D409" t="inlineStr">
        <is>
          <t>3</t>
        </is>
      </c>
      <c r="E409">
        <f>HYPERLINK("https://www.britishcycling.org.uk/points?person_id=62663&amp;year=2021&amp;type=national&amp;d=6","Results")</f>
        <v/>
      </c>
    </row>
    <row r="410">
      <c r="A410" t="inlineStr">
        <is>
          <t>409</t>
        </is>
      </c>
      <c r="B410" t="inlineStr">
        <is>
          <t>Peter Fenwick</t>
        </is>
      </c>
      <c r="C410" t="inlineStr">
        <is>
          <t>Moray Firth Cycling Club</t>
        </is>
      </c>
      <c r="D410" t="inlineStr">
        <is>
          <t>3</t>
        </is>
      </c>
      <c r="E410">
        <f>HYPERLINK("https://www.britishcycling.org.uk/points?person_id=42301&amp;year=2021&amp;type=national&amp;d=6","Results")</f>
        <v/>
      </c>
    </row>
    <row r="411">
      <c r="A411" t="inlineStr">
        <is>
          <t>410</t>
        </is>
      </c>
      <c r="B411" t="inlineStr">
        <is>
          <t>Chris Glass</t>
        </is>
      </c>
      <c r="C411" t="inlineStr">
        <is>
          <t>Hetton Hawks Cycling Club</t>
        </is>
      </c>
      <c r="D411" t="inlineStr">
        <is>
          <t>3</t>
        </is>
      </c>
      <c r="E411">
        <f>HYPERLINK("https://www.britishcycling.org.uk/points?person_id=100853&amp;year=2021&amp;type=national&amp;d=6","Results")</f>
        <v/>
      </c>
    </row>
    <row r="412">
      <c r="A412" t="inlineStr">
        <is>
          <t>411</t>
        </is>
      </c>
      <c r="B412" t="inlineStr">
        <is>
          <t>Eddie Halstead</t>
        </is>
      </c>
      <c r="C412" t="inlineStr">
        <is>
          <t>Backyardbikeshop.com</t>
        </is>
      </c>
      <c r="D412" t="inlineStr">
        <is>
          <t>3</t>
        </is>
      </c>
      <c r="E412">
        <f>HYPERLINK("https://www.britishcycling.org.uk/points?person_id=279596&amp;year=2021&amp;type=national&amp;d=6","Results")</f>
        <v/>
      </c>
    </row>
    <row r="413">
      <c r="A413" t="inlineStr">
        <is>
          <t>412</t>
        </is>
      </c>
      <c r="B413" t="inlineStr">
        <is>
          <t>Tom Knight</t>
        </is>
      </c>
      <c r="C413" t="inlineStr">
        <is>
          <t>Medway Velo</t>
        </is>
      </c>
      <c r="D413" t="inlineStr">
        <is>
          <t>3</t>
        </is>
      </c>
      <c r="E413">
        <f>HYPERLINK("https://www.britishcycling.org.uk/points?person_id=8071&amp;year=2021&amp;type=national&amp;d=6","Results")</f>
        <v/>
      </c>
    </row>
    <row r="414">
      <c r="A414" t="inlineStr">
        <is>
          <t>413</t>
        </is>
      </c>
      <c r="B414" t="inlineStr">
        <is>
          <t>Alan Ramsay</t>
        </is>
      </c>
      <c r="C414" t="inlineStr">
        <is>
          <t>West Lothian Clarion CC</t>
        </is>
      </c>
      <c r="D414" t="inlineStr">
        <is>
          <t>3</t>
        </is>
      </c>
      <c r="E414">
        <f>HYPERLINK("https://www.britishcycling.org.uk/points?person_id=612210&amp;year=2021&amp;type=national&amp;d=6","Results")</f>
        <v/>
      </c>
    </row>
    <row r="415">
      <c r="A415" t="inlineStr">
        <is>
          <t>414</t>
        </is>
      </c>
      <c r="B415" t="inlineStr">
        <is>
          <t>Stuart Spies</t>
        </is>
      </c>
      <c r="C415" t="inlineStr">
        <is>
          <t>CHAINGANG Racing Team</t>
        </is>
      </c>
      <c r="D415" t="inlineStr">
        <is>
          <t>3</t>
        </is>
      </c>
      <c r="E415">
        <f>HYPERLINK("https://www.britishcycling.org.uk/points?person_id=14850&amp;year=2021&amp;type=national&amp;d=6","Results")</f>
        <v/>
      </c>
    </row>
    <row r="416">
      <c r="A416" t="inlineStr">
        <is>
          <t>415</t>
        </is>
      </c>
      <c r="B416" t="inlineStr">
        <is>
          <t>David Whittaker</t>
        </is>
      </c>
      <c r="C416" t="inlineStr">
        <is>
          <t>Origin Race Team</t>
        </is>
      </c>
      <c r="D416" t="inlineStr">
        <is>
          <t>3</t>
        </is>
      </c>
      <c r="E416">
        <f>HYPERLINK("https://www.britishcycling.org.uk/points?person_id=304712&amp;year=2021&amp;type=national&amp;d=6","Results")</f>
        <v/>
      </c>
    </row>
    <row r="417">
      <c r="A417" t="inlineStr">
        <is>
          <t>416</t>
        </is>
      </c>
      <c r="B417" t="inlineStr">
        <is>
          <t>Jamie Anderson</t>
        </is>
      </c>
      <c r="C417" t="inlineStr">
        <is>
          <t>North Road CC</t>
        </is>
      </c>
      <c r="D417" t="inlineStr">
        <is>
          <t>2</t>
        </is>
      </c>
      <c r="E417">
        <f>HYPERLINK("https://www.britishcycling.org.uk/points?person_id=67909&amp;year=2021&amp;type=national&amp;d=6","Results")</f>
        <v/>
      </c>
    </row>
    <row r="418">
      <c r="A418" t="inlineStr">
        <is>
          <t>417</t>
        </is>
      </c>
      <c r="B418" t="inlineStr">
        <is>
          <t>Matthew Berriman</t>
        </is>
      </c>
      <c r="C418" t="inlineStr">
        <is>
          <t>Penzance Wheelers</t>
        </is>
      </c>
      <c r="D418" t="inlineStr">
        <is>
          <t>2</t>
        </is>
      </c>
      <c r="E418">
        <f>HYPERLINK("https://www.britishcycling.org.uk/points?person_id=172850&amp;year=2021&amp;type=national&amp;d=6","Results")</f>
        <v/>
      </c>
    </row>
    <row r="419">
      <c r="A419" t="inlineStr">
        <is>
          <t>418</t>
        </is>
      </c>
      <c r="B419" t="inlineStr">
        <is>
          <t>Geoff Burgess</t>
        </is>
      </c>
      <c r="C419" t="inlineStr">
        <is>
          <t>Stockport Clarion CC</t>
        </is>
      </c>
      <c r="D419" t="inlineStr">
        <is>
          <t>2</t>
        </is>
      </c>
      <c r="E419">
        <f>HYPERLINK("https://www.britishcycling.org.uk/points?person_id=22946&amp;year=2021&amp;type=national&amp;d=6","Results")</f>
        <v/>
      </c>
    </row>
    <row r="420">
      <c r="A420" t="inlineStr">
        <is>
          <t>419</t>
        </is>
      </c>
      <c r="B420" t="inlineStr">
        <is>
          <t>Lee Coulson</t>
        </is>
      </c>
      <c r="C420" t="inlineStr">
        <is>
          <t>Hull Thursday RC</t>
        </is>
      </c>
      <c r="D420" t="inlineStr">
        <is>
          <t>2</t>
        </is>
      </c>
      <c r="E420">
        <f>HYPERLINK("https://www.britishcycling.org.uk/points?person_id=28918&amp;year=2021&amp;type=national&amp;d=6","Results")</f>
        <v/>
      </c>
    </row>
    <row r="421">
      <c r="A421" t="inlineStr">
        <is>
          <t>420</t>
        </is>
      </c>
      <c r="B421" t="inlineStr">
        <is>
          <t>Iain Hazell</t>
        </is>
      </c>
      <c r="C421" t="inlineStr">
        <is>
          <t>Rossendale RC</t>
        </is>
      </c>
      <c r="D421" t="inlineStr">
        <is>
          <t>2</t>
        </is>
      </c>
      <c r="E421">
        <f>HYPERLINK("https://www.britishcycling.org.uk/points?person_id=500651&amp;year=2021&amp;type=national&amp;d=6","Results")</f>
        <v/>
      </c>
    </row>
    <row r="422">
      <c r="A422" t="inlineStr">
        <is>
          <t>421</t>
        </is>
      </c>
      <c r="B422" t="inlineStr">
        <is>
          <t>Stuart Hibbert</t>
        </is>
      </c>
      <c r="C422" t="inlineStr">
        <is>
          <t>Coalville Wheelers CC</t>
        </is>
      </c>
      <c r="D422" t="inlineStr">
        <is>
          <t>2</t>
        </is>
      </c>
      <c r="E422">
        <f>HYPERLINK("https://www.britishcycling.org.uk/points?person_id=201900&amp;year=2021&amp;type=national&amp;d=6","Results")</f>
        <v/>
      </c>
    </row>
    <row r="423">
      <c r="A423" t="inlineStr">
        <is>
          <t>422</t>
        </is>
      </c>
      <c r="B423" t="inlineStr">
        <is>
          <t>Kim Little</t>
        </is>
      </c>
      <c r="C423" t="inlineStr">
        <is>
          <t>Merida Factory Racing</t>
        </is>
      </c>
      <c r="D423" t="inlineStr">
        <is>
          <t>2</t>
        </is>
      </c>
      <c r="E423">
        <f>HYPERLINK("https://www.britishcycling.org.uk/points?person_id=132519&amp;year=2021&amp;type=national&amp;d=6","Results")</f>
        <v/>
      </c>
    </row>
    <row r="424">
      <c r="A424" t="inlineStr">
        <is>
          <t>423</t>
        </is>
      </c>
      <c r="B424" t="inlineStr">
        <is>
          <t>Mathew Livesey</t>
        </is>
      </c>
      <c r="C424" t="inlineStr"/>
      <c r="D424" t="inlineStr">
        <is>
          <t>2</t>
        </is>
      </c>
      <c r="E424">
        <f>HYPERLINK("https://www.britishcycling.org.uk/points?person_id=224130&amp;year=2021&amp;type=national&amp;d=6","Results")</f>
        <v/>
      </c>
    </row>
    <row r="425">
      <c r="A425" t="inlineStr">
        <is>
          <t>424</t>
        </is>
      </c>
      <c r="B425" t="inlineStr">
        <is>
          <t>James Mason</t>
        </is>
      </c>
      <c r="C425" t="inlineStr">
        <is>
          <t>INFLITE</t>
        </is>
      </c>
      <c r="D425" t="inlineStr">
        <is>
          <t>2</t>
        </is>
      </c>
      <c r="E425">
        <f>HYPERLINK("https://www.britishcycling.org.uk/points?person_id=258811&amp;year=2021&amp;type=national&amp;d=6","Results")</f>
        <v/>
      </c>
    </row>
    <row r="426">
      <c r="A426" t="inlineStr">
        <is>
          <t>425</t>
        </is>
      </c>
      <c r="B426" t="inlineStr">
        <is>
          <t>Chris Morgan</t>
        </is>
      </c>
      <c r="C426" t="inlineStr">
        <is>
          <t>Velo Club Newport</t>
        </is>
      </c>
      <c r="D426" t="inlineStr">
        <is>
          <t>2</t>
        </is>
      </c>
      <c r="E426">
        <f>HYPERLINK("https://www.britishcycling.org.uk/points?person_id=213637&amp;year=2021&amp;type=national&amp;d=6","Results")</f>
        <v/>
      </c>
    </row>
    <row r="427">
      <c r="A427" t="inlineStr">
        <is>
          <t>426</t>
        </is>
      </c>
      <c r="B427" t="inlineStr">
        <is>
          <t>Gethin Musk</t>
        </is>
      </c>
      <c r="C427" t="inlineStr">
        <is>
          <t>Performance Cycles</t>
        </is>
      </c>
      <c r="D427" t="inlineStr">
        <is>
          <t>2</t>
        </is>
      </c>
      <c r="E427">
        <f>HYPERLINK("https://www.britishcycling.org.uk/points?person_id=322623&amp;year=2021&amp;type=national&amp;d=6","Results")</f>
        <v/>
      </c>
    </row>
    <row r="428">
      <c r="A428" t="inlineStr">
        <is>
          <t>427</t>
        </is>
      </c>
      <c r="B428" t="inlineStr">
        <is>
          <t>Lee Pilcher</t>
        </is>
      </c>
      <c r="C428" t="inlineStr">
        <is>
          <t>Sheppey Velo</t>
        </is>
      </c>
      <c r="D428" t="inlineStr">
        <is>
          <t>2</t>
        </is>
      </c>
      <c r="E428">
        <f>HYPERLINK("https://www.britishcycling.org.uk/points?person_id=301332&amp;year=2021&amp;type=national&amp;d=6","Results")</f>
        <v/>
      </c>
    </row>
    <row r="429">
      <c r="A429" t="inlineStr">
        <is>
          <t>428</t>
        </is>
      </c>
      <c r="B429" t="inlineStr">
        <is>
          <t>Martin Stanley</t>
        </is>
      </c>
      <c r="C429" t="inlineStr">
        <is>
          <t>Didcot Phoenix CC</t>
        </is>
      </c>
      <c r="D429" t="inlineStr">
        <is>
          <t>2</t>
        </is>
      </c>
      <c r="E429">
        <f>HYPERLINK("https://www.britishcycling.org.uk/points?person_id=233853&amp;year=2021&amp;type=national&amp;d=6","Results")</f>
        <v/>
      </c>
    </row>
    <row r="430">
      <c r="A430" t="inlineStr">
        <is>
          <t>429</t>
        </is>
      </c>
      <c r="B430" t="inlineStr">
        <is>
          <t>Simon Titmuss</t>
        </is>
      </c>
      <c r="C430" t="inlineStr">
        <is>
          <t>Ronde Cycling Club</t>
        </is>
      </c>
      <c r="D430" t="inlineStr">
        <is>
          <t>2</t>
        </is>
      </c>
      <c r="E430">
        <f>HYPERLINK("https://www.britishcycling.org.uk/points?person_id=282969&amp;year=2021&amp;type=national&amp;d=6","Results")</f>
        <v/>
      </c>
    </row>
    <row r="431">
      <c r="A431" t="inlineStr">
        <is>
          <t>430</t>
        </is>
      </c>
      <c r="B431" t="inlineStr">
        <is>
          <t>Carwyn Williams</t>
        </is>
      </c>
      <c r="C431" t="inlineStr">
        <is>
          <t>Cardiff JIF</t>
        </is>
      </c>
      <c r="D431" t="inlineStr">
        <is>
          <t>2</t>
        </is>
      </c>
      <c r="E431">
        <f>HYPERLINK("https://www.britishcycling.org.uk/points?person_id=426265&amp;year=2021&amp;type=national&amp;d=6","Results")</f>
        <v/>
      </c>
    </row>
    <row r="432">
      <c r="A432" t="inlineStr">
        <is>
          <t>431</t>
        </is>
      </c>
      <c r="B432" t="inlineStr">
        <is>
          <t>Graham Carrick</t>
        </is>
      </c>
      <c r="C432" t="inlineStr">
        <is>
          <t>Barrow Central Wheelers</t>
        </is>
      </c>
      <c r="D432" t="inlineStr">
        <is>
          <t>1</t>
        </is>
      </c>
      <c r="E432">
        <f>HYPERLINK("https://www.britishcycling.org.uk/points?person_id=284048&amp;year=2021&amp;type=national&amp;d=6","Results")</f>
        <v/>
      </c>
    </row>
    <row r="433">
      <c r="A433" t="inlineStr">
        <is>
          <t>432</t>
        </is>
      </c>
      <c r="B433" t="inlineStr">
        <is>
          <t>Nathaniel Cooke</t>
        </is>
      </c>
      <c r="C433" t="inlineStr">
        <is>
          <t>Sunday Echappée</t>
        </is>
      </c>
      <c r="D433" t="inlineStr">
        <is>
          <t>1</t>
        </is>
      </c>
      <c r="E433">
        <f>HYPERLINK("https://www.britishcycling.org.uk/points?person_id=344225&amp;year=2021&amp;type=national&amp;d=6","Results")</f>
        <v/>
      </c>
    </row>
    <row r="434">
      <c r="A434" t="inlineStr">
        <is>
          <t>433</t>
        </is>
      </c>
      <c r="B434" t="inlineStr">
        <is>
          <t>Joseph Fee</t>
        </is>
      </c>
      <c r="C434" t="inlineStr">
        <is>
          <t>Deeside Thistle CC</t>
        </is>
      </c>
      <c r="D434" t="inlineStr">
        <is>
          <t>1</t>
        </is>
      </c>
      <c r="E434">
        <f>HYPERLINK("https://www.britishcycling.org.uk/points?person_id=43816&amp;year=2021&amp;type=national&amp;d=6","Results")</f>
        <v/>
      </c>
    </row>
    <row r="435">
      <c r="A435" t="inlineStr">
        <is>
          <t>434</t>
        </is>
      </c>
      <c r="B435" t="inlineStr">
        <is>
          <t>Daniel Hall</t>
        </is>
      </c>
      <c r="C435" t="inlineStr">
        <is>
          <t>Cycle Club Ashwell (CCA)</t>
        </is>
      </c>
      <c r="D435" t="inlineStr">
        <is>
          <t>1</t>
        </is>
      </c>
      <c r="E435">
        <f>HYPERLINK("https://www.britishcycling.org.uk/points?person_id=557340&amp;year=2021&amp;type=national&amp;d=6","Results")</f>
        <v/>
      </c>
    </row>
    <row r="436">
      <c r="A436" t="inlineStr">
        <is>
          <t>435</t>
        </is>
      </c>
      <c r="B436" t="inlineStr">
        <is>
          <t>Carlo Mascia</t>
        </is>
      </c>
      <c r="C436" t="inlineStr">
        <is>
          <t>360VRT</t>
        </is>
      </c>
      <c r="D436" t="inlineStr">
        <is>
          <t>1</t>
        </is>
      </c>
      <c r="E436">
        <f>HYPERLINK("https://www.britishcycling.org.uk/points?person_id=588561&amp;year=2021&amp;type=national&amp;d=6","Results")</f>
        <v/>
      </c>
    </row>
    <row r="437">
      <c r="A437" t="inlineStr">
        <is>
          <t>436</t>
        </is>
      </c>
      <c r="B437" t="inlineStr">
        <is>
          <t>Mike Pears</t>
        </is>
      </c>
      <c r="C437" t="inlineStr">
        <is>
          <t>VC Revolution</t>
        </is>
      </c>
      <c r="D437" t="inlineStr">
        <is>
          <t>1</t>
        </is>
      </c>
      <c r="E437">
        <f>HYPERLINK("https://www.britishcycling.org.uk/points?person_id=831679&amp;year=2021&amp;type=national&amp;d=6","Results")</f>
        <v/>
      </c>
    </row>
    <row r="438">
      <c r="A438" t="inlineStr">
        <is>
          <t>437</t>
        </is>
      </c>
      <c r="B438" t="inlineStr">
        <is>
          <t>David Pugh</t>
        </is>
      </c>
      <c r="C438" t="inlineStr">
        <is>
          <t>Velo Runner</t>
        </is>
      </c>
      <c r="D438" t="inlineStr">
        <is>
          <t>1</t>
        </is>
      </c>
      <c r="E438">
        <f>HYPERLINK("https://www.britishcycling.org.uk/points?person_id=378650&amp;year=2021&amp;type=national&amp;d=6","Results")</f>
        <v/>
      </c>
    </row>
    <row r="439">
      <c r="A439" t="inlineStr">
        <is>
          <t>438</t>
        </is>
      </c>
      <c r="B439" t="inlineStr">
        <is>
          <t>Lewis Selby</t>
        </is>
      </c>
      <c r="C439" t="inlineStr"/>
      <c r="D439" t="inlineStr">
        <is>
          <t>1</t>
        </is>
      </c>
      <c r="E439">
        <f>HYPERLINK("https://www.britishcycling.org.uk/points?person_id=1022756&amp;year=2021&amp;type=national&amp;d=6","Results")</f>
        <v/>
      </c>
    </row>
    <row r="440">
      <c r="A440" t="inlineStr">
        <is>
          <t>439</t>
        </is>
      </c>
      <c r="B440" t="inlineStr">
        <is>
          <t>Kevin Thomas</t>
        </is>
      </c>
      <c r="C440" t="inlineStr">
        <is>
          <t>Bradford on Avon</t>
        </is>
      </c>
      <c r="D440" t="inlineStr">
        <is>
          <t>1</t>
        </is>
      </c>
      <c r="E440">
        <f>HYPERLINK("https://www.britishcycling.org.uk/points?person_id=43304&amp;year=2021&amp;type=national&amp;d=6","Results")</f>
        <v/>
      </c>
    </row>
    <row r="441">
      <c r="A441" t="inlineStr">
        <is>
          <t>440</t>
        </is>
      </c>
      <c r="B441" t="inlineStr">
        <is>
          <t>Ben Winstanley</t>
        </is>
      </c>
      <c r="C441" t="inlineStr">
        <is>
          <t>Maindy Flyers CC</t>
        </is>
      </c>
      <c r="D441" t="inlineStr">
        <is>
          <t>1</t>
        </is>
      </c>
      <c r="E441">
        <f>HYPERLINK("https://www.britishcycling.org.uk/points?person_id=255309&amp;year=2021&amp;type=national&amp;d=6","Results")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07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Mike Simpson</t>
        </is>
      </c>
      <c r="C2" t="inlineStr">
        <is>
          <t>Beeline Bicycles RT</t>
        </is>
      </c>
      <c r="D2" t="inlineStr">
        <is>
          <t>990</t>
        </is>
      </c>
      <c r="E2">
        <f>HYPERLINK("https://www.britishcycling.org.uk/points?person_id=37986&amp;year=2021&amp;type=national&amp;d=6","Results")</f>
        <v/>
      </c>
    </row>
    <row r="3">
      <c r="A3" t="inlineStr">
        <is>
          <t>2</t>
        </is>
      </c>
      <c r="B3" t="inlineStr">
        <is>
          <t>Simon Hale</t>
        </is>
      </c>
      <c r="C3" t="inlineStr">
        <is>
          <t>Army Cycling Union</t>
        </is>
      </c>
      <c r="D3" t="inlineStr">
        <is>
          <t>922</t>
        </is>
      </c>
      <c r="E3">
        <f>HYPERLINK("https://www.britishcycling.org.uk/points?person_id=305916&amp;year=2021&amp;type=national&amp;d=6","Results")</f>
        <v/>
      </c>
    </row>
    <row r="4">
      <c r="A4" t="inlineStr">
        <is>
          <t>3</t>
        </is>
      </c>
      <c r="B4" t="inlineStr">
        <is>
          <t>Nicholas Whitley</t>
        </is>
      </c>
      <c r="C4" t="inlineStr">
        <is>
          <t>Chester RC</t>
        </is>
      </c>
      <c r="D4" t="inlineStr">
        <is>
          <t>860</t>
        </is>
      </c>
      <c r="E4">
        <f>HYPERLINK("https://www.britishcycling.org.uk/points?person_id=304160&amp;year=2021&amp;type=national&amp;d=6","Results")</f>
        <v/>
      </c>
    </row>
    <row r="5">
      <c r="A5" t="inlineStr">
        <is>
          <t>4</t>
        </is>
      </c>
      <c r="B5" t="inlineStr">
        <is>
          <t>Darren Atkins</t>
        </is>
      </c>
      <c r="C5" t="inlineStr">
        <is>
          <t>Team Jewson-M.I.Racing</t>
        </is>
      </c>
      <c r="D5" t="inlineStr">
        <is>
          <t>670</t>
        </is>
      </c>
      <c r="E5">
        <f>HYPERLINK("https://www.britishcycling.org.uk/points?person_id=25650&amp;year=2021&amp;type=national&amp;d=6","Results")</f>
        <v/>
      </c>
    </row>
    <row r="6">
      <c r="A6" t="inlineStr">
        <is>
          <t>5</t>
        </is>
      </c>
      <c r="B6" t="inlineStr">
        <is>
          <t>Nicholas Craig</t>
        </is>
      </c>
      <c r="C6" t="inlineStr">
        <is>
          <t>SCOTT Racing</t>
        </is>
      </c>
      <c r="D6" t="inlineStr">
        <is>
          <t>640</t>
        </is>
      </c>
      <c r="E6">
        <f>HYPERLINK("https://www.britishcycling.org.uk/points?person_id=12100&amp;year=2021&amp;type=national&amp;d=6","Results")</f>
        <v/>
      </c>
    </row>
    <row r="7">
      <c r="A7" t="inlineStr">
        <is>
          <t>6</t>
        </is>
      </c>
      <c r="B7" t="inlineStr">
        <is>
          <t>Nicholas Popham</t>
        </is>
      </c>
      <c r="C7" t="inlineStr">
        <is>
          <t>ROTOR Race Team</t>
        </is>
      </c>
      <c r="D7" t="inlineStr">
        <is>
          <t>619</t>
        </is>
      </c>
      <c r="E7">
        <f>HYPERLINK("https://www.britishcycling.org.uk/points?person_id=104475&amp;year=2021&amp;type=national&amp;d=6","Results")</f>
        <v/>
      </c>
    </row>
    <row r="8">
      <c r="A8" t="inlineStr">
        <is>
          <t>7</t>
        </is>
      </c>
      <c r="B8" t="inlineStr">
        <is>
          <t>Steven Henshall</t>
        </is>
      </c>
      <c r="C8" t="inlineStr">
        <is>
          <t>Port Sunlight Whls CC</t>
        </is>
      </c>
      <c r="D8" t="inlineStr">
        <is>
          <t>595</t>
        </is>
      </c>
      <c r="E8">
        <f>HYPERLINK("https://www.britishcycling.org.uk/points?person_id=288497&amp;year=2021&amp;type=national&amp;d=6","Results")</f>
        <v/>
      </c>
    </row>
    <row r="9">
      <c r="A9" t="inlineStr">
        <is>
          <t>8</t>
        </is>
      </c>
      <c r="B9" t="inlineStr">
        <is>
          <t>Daniel Alexander</t>
        </is>
      </c>
      <c r="C9" t="inlineStr">
        <is>
          <t>www.Zepnat.com RT - Lazer helmets</t>
        </is>
      </c>
      <c r="D9" t="inlineStr">
        <is>
          <t>591</t>
        </is>
      </c>
      <c r="E9">
        <f>HYPERLINK("https://www.britishcycling.org.uk/points?person_id=13974&amp;year=2021&amp;type=national&amp;d=6","Results")</f>
        <v/>
      </c>
    </row>
    <row r="10">
      <c r="A10" t="inlineStr">
        <is>
          <t>9</t>
        </is>
      </c>
      <c r="B10" t="inlineStr">
        <is>
          <t>Chris Taylor</t>
        </is>
      </c>
      <c r="C10" t="inlineStr">
        <is>
          <t>Shibden Cycling Club</t>
        </is>
      </c>
      <c r="D10" t="inlineStr">
        <is>
          <t>533</t>
        </is>
      </c>
      <c r="E10">
        <f>HYPERLINK("https://www.britishcycling.org.uk/points?person_id=22608&amp;year=2021&amp;type=national&amp;d=6","Results")</f>
        <v/>
      </c>
    </row>
    <row r="11">
      <c r="A11" t="inlineStr">
        <is>
          <t>10</t>
        </is>
      </c>
      <c r="B11" t="inlineStr">
        <is>
          <t>Simon Muir</t>
        </is>
      </c>
      <c r="C11" t="inlineStr">
        <is>
          <t>Blumilk.com</t>
        </is>
      </c>
      <c r="D11" t="inlineStr">
        <is>
          <t>525</t>
        </is>
      </c>
      <c r="E11">
        <f>HYPERLINK("https://www.britishcycling.org.uk/points?person_id=220033&amp;year=2021&amp;type=national&amp;d=6","Results")</f>
        <v/>
      </c>
    </row>
    <row r="12">
      <c r="A12" t="inlineStr">
        <is>
          <t>11</t>
        </is>
      </c>
      <c r="B12" t="inlineStr">
        <is>
          <t>Ian Knights</t>
        </is>
      </c>
      <c r="C12" t="inlineStr">
        <is>
          <t>Velo Culture</t>
        </is>
      </c>
      <c r="D12" t="inlineStr">
        <is>
          <t>523</t>
        </is>
      </c>
      <c r="E12">
        <f>HYPERLINK("https://www.britishcycling.org.uk/points?person_id=40208&amp;year=2021&amp;type=national&amp;d=6","Results")</f>
        <v/>
      </c>
    </row>
    <row r="13">
      <c r="A13" t="inlineStr">
        <is>
          <t>12</t>
        </is>
      </c>
      <c r="B13" t="inlineStr">
        <is>
          <t>John McGrath</t>
        </is>
      </c>
      <c r="C13" t="inlineStr">
        <is>
          <t>Team TMC - Strada Wheels</t>
        </is>
      </c>
      <c r="D13" t="inlineStr">
        <is>
          <t>512</t>
        </is>
      </c>
      <c r="E13">
        <f>HYPERLINK("https://www.britishcycling.org.uk/points?person_id=228740&amp;year=2021&amp;type=national&amp;d=6","Results")</f>
        <v/>
      </c>
    </row>
    <row r="14">
      <c r="A14" t="inlineStr">
        <is>
          <t>13</t>
        </is>
      </c>
      <c r="B14" t="inlineStr">
        <is>
          <t>Greg Simcock</t>
        </is>
      </c>
      <c r="C14" t="inlineStr">
        <is>
          <t>CC Luton</t>
        </is>
      </c>
      <c r="D14" t="inlineStr">
        <is>
          <t>510</t>
        </is>
      </c>
      <c r="E14">
        <f>HYPERLINK("https://www.britishcycling.org.uk/points?person_id=78594&amp;year=2021&amp;type=national&amp;d=6","Results")</f>
        <v/>
      </c>
    </row>
    <row r="15">
      <c r="A15" t="inlineStr">
        <is>
          <t>14</t>
        </is>
      </c>
      <c r="B15" t="inlineStr">
        <is>
          <t>Matthew Crouch</t>
        </is>
      </c>
      <c r="C15" t="inlineStr">
        <is>
          <t>Fossa Racing</t>
        </is>
      </c>
      <c r="D15" t="inlineStr">
        <is>
          <t>504</t>
        </is>
      </c>
      <c r="E15">
        <f>HYPERLINK("https://www.britishcycling.org.uk/points?person_id=31504&amp;year=2021&amp;type=national&amp;d=6","Results")</f>
        <v/>
      </c>
    </row>
    <row r="16">
      <c r="A16" t="inlineStr">
        <is>
          <t>15</t>
        </is>
      </c>
      <c r="B16" t="inlineStr">
        <is>
          <t>Jon Lyons</t>
        </is>
      </c>
      <c r="C16" t="inlineStr">
        <is>
          <t>GS Invicta-ELO-Herberts Cycles</t>
        </is>
      </c>
      <c r="D16" t="inlineStr">
        <is>
          <t>493</t>
        </is>
      </c>
      <c r="E16">
        <f>HYPERLINK("https://www.britishcycling.org.uk/points?person_id=69332&amp;year=2021&amp;type=national&amp;d=6","Results")</f>
        <v/>
      </c>
    </row>
    <row r="17">
      <c r="A17" t="inlineStr">
        <is>
          <t>16</t>
        </is>
      </c>
      <c r="B17" t="inlineStr">
        <is>
          <t>Ian Russell</t>
        </is>
      </c>
      <c r="C17" t="inlineStr">
        <is>
          <t>Moda RT</t>
        </is>
      </c>
      <c r="D17" t="inlineStr">
        <is>
          <t>487</t>
        </is>
      </c>
      <c r="E17">
        <f>HYPERLINK("https://www.britishcycling.org.uk/points?person_id=79255&amp;year=2021&amp;type=national&amp;d=6","Results")</f>
        <v/>
      </c>
    </row>
    <row r="18">
      <c r="A18" t="inlineStr">
        <is>
          <t>17</t>
        </is>
      </c>
      <c r="B18" t="inlineStr">
        <is>
          <t>Anthony White</t>
        </is>
      </c>
      <c r="C18" t="inlineStr">
        <is>
          <t>Fenland Clarion CC</t>
        </is>
      </c>
      <c r="D18" t="inlineStr">
        <is>
          <t>469</t>
        </is>
      </c>
      <c r="E18">
        <f>HYPERLINK("https://www.britishcycling.org.uk/points?person_id=929&amp;year=2021&amp;type=national&amp;d=6","Results")</f>
        <v/>
      </c>
    </row>
    <row r="19">
      <c r="A19" t="inlineStr">
        <is>
          <t>18</t>
        </is>
      </c>
      <c r="B19" t="inlineStr">
        <is>
          <t>Gary Barlow</t>
        </is>
      </c>
      <c r="C19" t="inlineStr">
        <is>
          <t>Reading CC</t>
        </is>
      </c>
      <c r="D19" t="inlineStr">
        <is>
          <t>460</t>
        </is>
      </c>
      <c r="E19">
        <f>HYPERLINK("https://www.britishcycling.org.uk/points?person_id=27253&amp;year=2021&amp;type=national&amp;d=6","Results")</f>
        <v/>
      </c>
    </row>
    <row r="20">
      <c r="A20" t="inlineStr">
        <is>
          <t>19</t>
        </is>
      </c>
      <c r="B20" t="inlineStr">
        <is>
          <t>Carl Jackson</t>
        </is>
      </c>
      <c r="C20" t="inlineStr">
        <is>
          <t>Ellmore Factory Racing</t>
        </is>
      </c>
      <c r="D20" t="inlineStr">
        <is>
          <t>450</t>
        </is>
      </c>
      <c r="E20">
        <f>HYPERLINK("https://www.britishcycling.org.uk/points?person_id=410192&amp;year=2021&amp;type=national&amp;d=6","Results")</f>
        <v/>
      </c>
    </row>
    <row r="21">
      <c r="A21" t="inlineStr">
        <is>
          <t>20</t>
        </is>
      </c>
      <c r="B21" t="inlineStr">
        <is>
          <t>Stephen Knight</t>
        </is>
      </c>
      <c r="C21" t="inlineStr">
        <is>
          <t>Team Jewson-M.I.Racing</t>
        </is>
      </c>
      <c r="D21" t="inlineStr">
        <is>
          <t>436</t>
        </is>
      </c>
      <c r="E21">
        <f>HYPERLINK("https://www.britishcycling.org.uk/points?person_id=173619&amp;year=2021&amp;type=national&amp;d=6","Results")</f>
        <v/>
      </c>
    </row>
    <row r="22">
      <c r="A22" t="inlineStr">
        <is>
          <t>21</t>
        </is>
      </c>
      <c r="B22" t="inlineStr">
        <is>
          <t>David Haygarth</t>
        </is>
      </c>
      <c r="C22" t="inlineStr">
        <is>
          <t>Wheelbase CabTech Castelli</t>
        </is>
      </c>
      <c r="D22" t="inlineStr">
        <is>
          <t>429</t>
        </is>
      </c>
      <c r="E22">
        <f>HYPERLINK("https://www.britishcycling.org.uk/points?person_id=70096&amp;year=2021&amp;type=national&amp;d=6","Results")</f>
        <v/>
      </c>
    </row>
    <row r="23">
      <c r="A23" t="inlineStr">
        <is>
          <t>22</t>
        </is>
      </c>
      <c r="B23" t="inlineStr">
        <is>
          <t>Grant Johnson</t>
        </is>
      </c>
      <c r="C23" t="inlineStr"/>
      <c r="D23" t="inlineStr">
        <is>
          <t>410</t>
        </is>
      </c>
      <c r="E23">
        <f>HYPERLINK("https://www.britishcycling.org.uk/points?person_id=184707&amp;year=2021&amp;type=national&amp;d=6","Results")</f>
        <v/>
      </c>
    </row>
    <row r="24">
      <c r="A24" t="inlineStr">
        <is>
          <t>23</t>
        </is>
      </c>
      <c r="B24" t="inlineStr">
        <is>
          <t>Pete Middleton</t>
        </is>
      </c>
      <c r="C24" t="inlineStr">
        <is>
          <t>www.Zepnat.com RT - Lazer helmets</t>
        </is>
      </c>
      <c r="D24" t="inlineStr">
        <is>
          <t>406</t>
        </is>
      </c>
      <c r="E24">
        <f>HYPERLINK("https://www.britishcycling.org.uk/points?person_id=78371&amp;year=2021&amp;type=national&amp;d=6","Results")</f>
        <v/>
      </c>
    </row>
    <row r="25">
      <c r="A25" t="inlineStr">
        <is>
          <t>24</t>
        </is>
      </c>
      <c r="B25" t="inlineStr">
        <is>
          <t>Paul Byford</t>
        </is>
      </c>
      <c r="C25" t="inlineStr">
        <is>
          <t>Crawley Wheelers</t>
        </is>
      </c>
      <c r="D25" t="inlineStr">
        <is>
          <t>392</t>
        </is>
      </c>
      <c r="E25">
        <f>HYPERLINK("https://www.britishcycling.org.uk/points?person_id=68833&amp;year=2021&amp;type=national&amp;d=6","Results")</f>
        <v/>
      </c>
    </row>
    <row r="26">
      <c r="A26" t="inlineStr">
        <is>
          <t>25</t>
        </is>
      </c>
      <c r="B26" t="inlineStr">
        <is>
          <t>Bill Kay</t>
        </is>
      </c>
      <c r="C26" t="inlineStr">
        <is>
          <t>Reifen Racing</t>
        </is>
      </c>
      <c r="D26" t="inlineStr">
        <is>
          <t>388</t>
        </is>
      </c>
      <c r="E26">
        <f>HYPERLINK("https://www.britishcycling.org.uk/points?person_id=259706&amp;year=2021&amp;type=national&amp;d=6","Results")</f>
        <v/>
      </c>
    </row>
    <row r="27">
      <c r="A27" t="inlineStr">
        <is>
          <t>26</t>
        </is>
      </c>
      <c r="B27" t="inlineStr">
        <is>
          <t>Philip Boarer</t>
        </is>
      </c>
      <c r="C27" t="inlineStr">
        <is>
          <t>GS Vecchi</t>
        </is>
      </c>
      <c r="D27" t="inlineStr">
        <is>
          <t>375</t>
        </is>
      </c>
      <c r="E27">
        <f>HYPERLINK("https://www.britishcycling.org.uk/points?person_id=263650&amp;year=2021&amp;type=national&amp;d=6","Results")</f>
        <v/>
      </c>
    </row>
    <row r="28">
      <c r="A28" t="inlineStr">
        <is>
          <t>27</t>
        </is>
      </c>
      <c r="B28" t="inlineStr">
        <is>
          <t>Stefan Macina</t>
        </is>
      </c>
      <c r="C28" t="inlineStr">
        <is>
          <t>Shibden Cycling Club</t>
        </is>
      </c>
      <c r="D28" t="inlineStr">
        <is>
          <t>370</t>
        </is>
      </c>
      <c r="E28">
        <f>HYPERLINK("https://www.britishcycling.org.uk/points?person_id=2125&amp;year=2021&amp;type=national&amp;d=6","Results")</f>
        <v/>
      </c>
    </row>
    <row r="29">
      <c r="A29" t="inlineStr">
        <is>
          <t>28</t>
        </is>
      </c>
      <c r="B29" t="inlineStr">
        <is>
          <t>Jason Marriott</t>
        </is>
      </c>
      <c r="C29" t="inlineStr">
        <is>
          <t>Army Cycling Union</t>
        </is>
      </c>
      <c r="D29" t="inlineStr">
        <is>
          <t>369</t>
        </is>
      </c>
      <c r="E29">
        <f>HYPERLINK("https://www.britishcycling.org.uk/points?person_id=104264&amp;year=2021&amp;type=national&amp;d=6","Results")</f>
        <v/>
      </c>
    </row>
    <row r="30">
      <c r="A30" t="inlineStr">
        <is>
          <t>29</t>
        </is>
      </c>
      <c r="B30" t="inlineStr">
        <is>
          <t>Brian Johnson</t>
        </is>
      </c>
      <c r="C30" t="inlineStr">
        <is>
          <t>Reifen Racing</t>
        </is>
      </c>
      <c r="D30" t="inlineStr">
        <is>
          <t>362</t>
        </is>
      </c>
      <c r="E30">
        <f>HYPERLINK("https://www.britishcycling.org.uk/points?person_id=276279&amp;year=2021&amp;type=national&amp;d=6","Results")</f>
        <v/>
      </c>
    </row>
    <row r="31">
      <c r="A31" t="inlineStr">
        <is>
          <t>30</t>
        </is>
      </c>
      <c r="B31" t="inlineStr">
        <is>
          <t>Paul Nutton</t>
        </is>
      </c>
      <c r="C31" t="inlineStr">
        <is>
          <t>Shibden Cycling Club</t>
        </is>
      </c>
      <c r="D31" t="inlineStr">
        <is>
          <t>362</t>
        </is>
      </c>
      <c r="E31">
        <f>HYPERLINK("https://www.britishcycling.org.uk/points?person_id=226248&amp;year=2021&amp;type=national&amp;d=6","Results")</f>
        <v/>
      </c>
    </row>
    <row r="32">
      <c r="A32" t="inlineStr">
        <is>
          <t>31</t>
        </is>
      </c>
      <c r="B32" t="inlineStr">
        <is>
          <t>Stuart Evans</t>
        </is>
      </c>
      <c r="C32" t="inlineStr">
        <is>
          <t>Crawley Wheelers Race Team</t>
        </is>
      </c>
      <c r="D32" t="inlineStr">
        <is>
          <t>360</t>
        </is>
      </c>
      <c r="E32">
        <f>HYPERLINK("https://www.britishcycling.org.uk/points?person_id=455977&amp;year=2021&amp;type=national&amp;d=6","Results")</f>
        <v/>
      </c>
    </row>
    <row r="33">
      <c r="A33" t="inlineStr">
        <is>
          <t>32</t>
        </is>
      </c>
      <c r="B33" t="inlineStr">
        <is>
          <t>Jonathan Hall</t>
        </is>
      </c>
      <c r="C33" t="inlineStr">
        <is>
          <t>Sotonia CC</t>
        </is>
      </c>
      <c r="D33" t="inlineStr">
        <is>
          <t>356</t>
        </is>
      </c>
      <c r="E33">
        <f>HYPERLINK("https://www.britishcycling.org.uk/points?person_id=457136&amp;year=2021&amp;type=national&amp;d=6","Results")</f>
        <v/>
      </c>
    </row>
    <row r="34">
      <c r="A34" t="inlineStr">
        <is>
          <t>33</t>
        </is>
      </c>
      <c r="B34" t="inlineStr">
        <is>
          <t>John Russell</t>
        </is>
      </c>
      <c r="C34" t="inlineStr">
        <is>
          <t>Dream Cycling</t>
        </is>
      </c>
      <c r="D34" t="inlineStr">
        <is>
          <t>344</t>
        </is>
      </c>
      <c r="E34">
        <f>HYPERLINK("https://www.britishcycling.org.uk/points?person_id=51602&amp;year=2021&amp;type=national&amp;d=6","Results")</f>
        <v/>
      </c>
    </row>
    <row r="35">
      <c r="A35" t="inlineStr">
        <is>
          <t>34</t>
        </is>
      </c>
      <c r="B35" t="inlineStr">
        <is>
          <t>Simon Hime</t>
        </is>
      </c>
      <c r="C35" t="inlineStr">
        <is>
          <t>Finchley Racing Team</t>
        </is>
      </c>
      <c r="D35" t="inlineStr">
        <is>
          <t>341</t>
        </is>
      </c>
      <c r="E35">
        <f>HYPERLINK("https://www.britishcycling.org.uk/points?person_id=15847&amp;year=2021&amp;type=national&amp;d=6","Results")</f>
        <v/>
      </c>
    </row>
    <row r="36">
      <c r="A36" t="inlineStr">
        <is>
          <t>35</t>
        </is>
      </c>
      <c r="B36" t="inlineStr">
        <is>
          <t>Jeremy Parsons</t>
        </is>
      </c>
      <c r="C36" t="inlineStr">
        <is>
          <t>Brighton Excelsior CC</t>
        </is>
      </c>
      <c r="D36" t="inlineStr">
        <is>
          <t>328</t>
        </is>
      </c>
      <c r="E36">
        <f>HYPERLINK("https://www.britishcycling.org.uk/points?person_id=222815&amp;year=2021&amp;type=national&amp;d=6","Results")</f>
        <v/>
      </c>
    </row>
    <row r="37">
      <c r="A37" t="inlineStr">
        <is>
          <t>36</t>
        </is>
      </c>
      <c r="B37" t="inlineStr">
        <is>
          <t>Andrew Turner</t>
        </is>
      </c>
      <c r="C37" t="inlineStr">
        <is>
          <t>Element Cycling Team</t>
        </is>
      </c>
      <c r="D37" t="inlineStr">
        <is>
          <t>320</t>
        </is>
      </c>
      <c r="E37">
        <f>HYPERLINK("https://www.britishcycling.org.uk/points?person_id=137806&amp;year=2021&amp;type=national&amp;d=6","Results")</f>
        <v/>
      </c>
    </row>
    <row r="38">
      <c r="A38" t="inlineStr">
        <is>
          <t>37</t>
        </is>
      </c>
      <c r="B38" t="inlineStr">
        <is>
          <t>Nick Baldwin</t>
        </is>
      </c>
      <c r="C38" t="inlineStr">
        <is>
          <t>Somer Valley CC</t>
        </is>
      </c>
      <c r="D38" t="inlineStr">
        <is>
          <t>318</t>
        </is>
      </c>
      <c r="E38">
        <f>HYPERLINK("https://www.britishcycling.org.uk/points?person_id=14594&amp;year=2021&amp;type=national&amp;d=6","Results")</f>
        <v/>
      </c>
    </row>
    <row r="39">
      <c r="A39" t="inlineStr">
        <is>
          <t>38</t>
        </is>
      </c>
      <c r="B39" t="inlineStr">
        <is>
          <t>Kevin Knox</t>
        </is>
      </c>
      <c r="C39" t="inlineStr">
        <is>
          <t>ViCiOUS VELO</t>
        </is>
      </c>
      <c r="D39" t="inlineStr">
        <is>
          <t>317</t>
        </is>
      </c>
      <c r="E39">
        <f>HYPERLINK("https://www.britishcycling.org.uk/points?person_id=57655&amp;year=2021&amp;type=national&amp;d=6","Results")</f>
        <v/>
      </c>
    </row>
    <row r="40">
      <c r="A40" t="inlineStr">
        <is>
          <t>39</t>
        </is>
      </c>
      <c r="B40" t="inlineStr">
        <is>
          <t>Tim Gill</t>
        </is>
      </c>
      <c r="C40" t="inlineStr">
        <is>
          <t>Shibden Cycling Club</t>
        </is>
      </c>
      <c r="D40" t="inlineStr">
        <is>
          <t>314</t>
        </is>
      </c>
      <c r="E40">
        <f>HYPERLINK("https://www.britishcycling.org.uk/points?person_id=24141&amp;year=2021&amp;type=national&amp;d=6","Results")</f>
        <v/>
      </c>
    </row>
    <row r="41">
      <c r="A41" t="inlineStr">
        <is>
          <t>40</t>
        </is>
      </c>
      <c r="B41" t="inlineStr">
        <is>
          <t>Adam Ellis</t>
        </is>
      </c>
      <c r="C41" t="inlineStr">
        <is>
          <t>Spalding Cycling Club</t>
        </is>
      </c>
      <c r="D41" t="inlineStr">
        <is>
          <t>307</t>
        </is>
      </c>
      <c r="E41">
        <f>HYPERLINK("https://www.britishcycling.org.uk/points?person_id=19713&amp;year=2021&amp;type=national&amp;d=6","Results")</f>
        <v/>
      </c>
    </row>
    <row r="42">
      <c r="A42" t="inlineStr">
        <is>
          <t>41</t>
        </is>
      </c>
      <c r="B42" t="inlineStr">
        <is>
          <t>Kevin Dawson</t>
        </is>
      </c>
      <c r="C42" t="inlineStr">
        <is>
          <t>RTD - J'sCycleShack</t>
        </is>
      </c>
      <c r="D42" t="inlineStr">
        <is>
          <t>303</t>
        </is>
      </c>
      <c r="E42">
        <f>HYPERLINK("https://www.britishcycling.org.uk/points?person_id=65684&amp;year=2021&amp;type=national&amp;d=6","Results")</f>
        <v/>
      </c>
    </row>
    <row r="43">
      <c r="A43" t="inlineStr">
        <is>
          <t>42</t>
        </is>
      </c>
      <c r="B43" t="inlineStr">
        <is>
          <t>John Elwell</t>
        </is>
      </c>
      <c r="C43" t="inlineStr">
        <is>
          <t>www.Zepnat.com RT - Lazer helmets</t>
        </is>
      </c>
      <c r="D43" t="inlineStr">
        <is>
          <t>296</t>
        </is>
      </c>
      <c r="E43">
        <f>HYPERLINK("https://www.britishcycling.org.uk/points?person_id=239117&amp;year=2021&amp;type=national&amp;d=6","Results")</f>
        <v/>
      </c>
    </row>
    <row r="44">
      <c r="A44" t="inlineStr">
        <is>
          <t>43</t>
        </is>
      </c>
      <c r="B44" t="inlineStr">
        <is>
          <t>Tim Carpenter</t>
        </is>
      </c>
      <c r="C44" t="inlineStr">
        <is>
          <t>Exeter Wheelers</t>
        </is>
      </c>
      <c r="D44" t="inlineStr">
        <is>
          <t>292</t>
        </is>
      </c>
      <c r="E44">
        <f>HYPERLINK("https://www.britishcycling.org.uk/points?person_id=41877&amp;year=2021&amp;type=national&amp;d=6","Results")</f>
        <v/>
      </c>
    </row>
    <row r="45">
      <c r="A45" t="inlineStr">
        <is>
          <t>44</t>
        </is>
      </c>
      <c r="B45" t="inlineStr">
        <is>
          <t>Ian Newby</t>
        </is>
      </c>
      <c r="C45" t="inlineStr">
        <is>
          <t>Diss &amp; District CC</t>
        </is>
      </c>
      <c r="D45" t="inlineStr">
        <is>
          <t>291</t>
        </is>
      </c>
      <c r="E45">
        <f>HYPERLINK("https://www.britishcycling.org.uk/points?person_id=71288&amp;year=2021&amp;type=national&amp;d=6","Results")</f>
        <v/>
      </c>
    </row>
    <row r="46">
      <c r="A46" t="inlineStr">
        <is>
          <t>45</t>
        </is>
      </c>
      <c r="B46" t="inlineStr">
        <is>
          <t>John Darroch</t>
        </is>
      </c>
      <c r="C46" t="inlineStr"/>
      <c r="D46" t="inlineStr">
        <is>
          <t>287</t>
        </is>
      </c>
      <c r="E46">
        <f>HYPERLINK("https://www.britishcycling.org.uk/points?person_id=75468&amp;year=2021&amp;type=national&amp;d=6","Results")</f>
        <v/>
      </c>
    </row>
    <row r="47">
      <c r="A47" t="inlineStr">
        <is>
          <t>46</t>
        </is>
      </c>
      <c r="B47" t="inlineStr">
        <is>
          <t>Richard John</t>
        </is>
      </c>
      <c r="C47" t="inlineStr">
        <is>
          <t>Spirit BSS</t>
        </is>
      </c>
      <c r="D47" t="inlineStr">
        <is>
          <t>285</t>
        </is>
      </c>
      <c r="E47">
        <f>HYPERLINK("https://www.britishcycling.org.uk/points?person_id=3368&amp;year=2021&amp;type=national&amp;d=6","Results")</f>
        <v/>
      </c>
    </row>
    <row r="48">
      <c r="A48" t="inlineStr">
        <is>
          <t>47</t>
        </is>
      </c>
      <c r="B48" t="inlineStr">
        <is>
          <t>Patrick Foley</t>
        </is>
      </c>
      <c r="C48" t="inlineStr"/>
      <c r="D48" t="inlineStr">
        <is>
          <t>283</t>
        </is>
      </c>
      <c r="E48">
        <f>HYPERLINK("https://www.britishcycling.org.uk/points?person_id=36511&amp;year=2021&amp;type=national&amp;d=6","Results")</f>
        <v/>
      </c>
    </row>
    <row r="49">
      <c r="A49" t="inlineStr">
        <is>
          <t>48</t>
        </is>
      </c>
      <c r="B49" t="inlineStr">
        <is>
          <t>Robert Waller</t>
        </is>
      </c>
      <c r="C49" t="inlineStr">
        <is>
          <t>Banjo Cycles - Raceware - Specialized</t>
        </is>
      </c>
      <c r="D49" t="inlineStr">
        <is>
          <t>281</t>
        </is>
      </c>
      <c r="E49">
        <f>HYPERLINK("https://www.britishcycling.org.uk/points?person_id=51731&amp;year=2021&amp;type=national&amp;d=6","Results")</f>
        <v/>
      </c>
    </row>
    <row r="50">
      <c r="A50" t="inlineStr">
        <is>
          <t>49</t>
        </is>
      </c>
      <c r="B50" t="inlineStr">
        <is>
          <t>Philip Roach</t>
        </is>
      </c>
      <c r="C50" t="inlineStr">
        <is>
          <t>Team Jewson-M.I.Racing</t>
        </is>
      </c>
      <c r="D50" t="inlineStr">
        <is>
          <t>266</t>
        </is>
      </c>
      <c r="E50">
        <f>HYPERLINK("https://www.britishcycling.org.uk/points?person_id=64679&amp;year=2021&amp;type=national&amp;d=6","Results")</f>
        <v/>
      </c>
    </row>
    <row r="51">
      <c r="A51" t="inlineStr">
        <is>
          <t>50</t>
        </is>
      </c>
      <c r="B51" t="inlineStr">
        <is>
          <t>Martyn Hughes-Dowdle</t>
        </is>
      </c>
      <c r="C51" t="inlineStr">
        <is>
          <t>Gower Riders</t>
        </is>
      </c>
      <c r="D51" t="inlineStr">
        <is>
          <t>264</t>
        </is>
      </c>
      <c r="E51">
        <f>HYPERLINK("https://www.britishcycling.org.uk/points?person_id=10609&amp;year=2021&amp;type=national&amp;d=6","Results")</f>
        <v/>
      </c>
    </row>
    <row r="52">
      <c r="A52" t="inlineStr">
        <is>
          <t>51</t>
        </is>
      </c>
      <c r="B52" t="inlineStr">
        <is>
          <t>Chris Hutchings</t>
        </is>
      </c>
      <c r="C52" t="inlineStr">
        <is>
          <t>Velo Club Venta</t>
        </is>
      </c>
      <c r="D52" t="inlineStr">
        <is>
          <t>257</t>
        </is>
      </c>
      <c r="E52">
        <f>HYPERLINK("https://www.britishcycling.org.uk/points?person_id=129344&amp;year=2021&amp;type=national&amp;d=6","Results")</f>
        <v/>
      </c>
    </row>
    <row r="53">
      <c r="A53" t="inlineStr">
        <is>
          <t>52</t>
        </is>
      </c>
      <c r="B53" t="inlineStr">
        <is>
          <t>Mick Style</t>
        </is>
      </c>
      <c r="C53" t="inlineStr">
        <is>
          <t>Element Cycling Team</t>
        </is>
      </c>
      <c r="D53" t="inlineStr">
        <is>
          <t>257</t>
        </is>
      </c>
      <c r="E53">
        <f>HYPERLINK("https://www.britishcycling.org.uk/points?person_id=8627&amp;year=2021&amp;type=national&amp;d=6","Results")</f>
        <v/>
      </c>
    </row>
    <row r="54">
      <c r="A54" t="inlineStr">
        <is>
          <t>53</t>
        </is>
      </c>
      <c r="B54" t="inlineStr">
        <is>
          <t>Robin Wilmott</t>
        </is>
      </c>
      <c r="C54" t="inlineStr">
        <is>
          <t>Cotswold Veldrijden</t>
        </is>
      </c>
      <c r="D54" t="inlineStr">
        <is>
          <t>257</t>
        </is>
      </c>
      <c r="E54">
        <f>HYPERLINK("https://www.britishcycling.org.uk/points?person_id=29508&amp;year=2021&amp;type=national&amp;d=6","Results")</f>
        <v/>
      </c>
    </row>
    <row r="55">
      <c r="A55" t="inlineStr">
        <is>
          <t>54</t>
        </is>
      </c>
      <c r="B55" t="inlineStr">
        <is>
          <t>Peter Christopher</t>
        </is>
      </c>
      <c r="C55" t="inlineStr"/>
      <c r="D55" t="inlineStr">
        <is>
          <t>256</t>
        </is>
      </c>
      <c r="E55">
        <f>HYPERLINK("https://www.britishcycling.org.uk/points?person_id=168690&amp;year=2021&amp;type=national&amp;d=6","Results")</f>
        <v/>
      </c>
    </row>
    <row r="56">
      <c r="A56" t="inlineStr">
        <is>
          <t>55</t>
        </is>
      </c>
      <c r="B56" t="inlineStr">
        <is>
          <t>Andrew Stokes</t>
        </is>
      </c>
      <c r="C56" t="inlineStr">
        <is>
          <t>Buxton CC - Sett Valley Cycles</t>
        </is>
      </c>
      <c r="D56" t="inlineStr">
        <is>
          <t>256</t>
        </is>
      </c>
      <c r="E56">
        <f>HYPERLINK("https://www.britishcycling.org.uk/points?person_id=526187&amp;year=2021&amp;type=national&amp;d=6","Results")</f>
        <v/>
      </c>
    </row>
    <row r="57">
      <c r="A57" t="inlineStr">
        <is>
          <t>56</t>
        </is>
      </c>
      <c r="B57" t="inlineStr">
        <is>
          <t>Russell Bayliss</t>
        </is>
      </c>
      <c r="C57" t="inlineStr">
        <is>
          <t>GS Metro</t>
        </is>
      </c>
      <c r="D57" t="inlineStr">
        <is>
          <t>252</t>
        </is>
      </c>
      <c r="E57">
        <f>HYPERLINK("https://www.britishcycling.org.uk/points?person_id=19344&amp;year=2021&amp;type=national&amp;d=6","Results")</f>
        <v/>
      </c>
    </row>
    <row r="58">
      <c r="A58" t="inlineStr">
        <is>
          <t>57</t>
        </is>
      </c>
      <c r="B58" t="inlineStr">
        <is>
          <t>Murray Swanson</t>
        </is>
      </c>
      <c r="C58" t="inlineStr">
        <is>
          <t>Livingston Cycling Club</t>
        </is>
      </c>
      <c r="D58" t="inlineStr">
        <is>
          <t>252</t>
        </is>
      </c>
      <c r="E58">
        <f>HYPERLINK("https://www.britishcycling.org.uk/points?person_id=733322&amp;year=2021&amp;type=national&amp;d=6","Results")</f>
        <v/>
      </c>
    </row>
    <row r="59">
      <c r="A59" t="inlineStr">
        <is>
          <t>58</t>
        </is>
      </c>
      <c r="B59" t="inlineStr">
        <is>
          <t>Mark Mullender</t>
        </is>
      </c>
      <c r="C59" t="inlineStr">
        <is>
          <t>CC Giro</t>
        </is>
      </c>
      <c r="D59" t="inlineStr">
        <is>
          <t>244</t>
        </is>
      </c>
      <c r="E59">
        <f>HYPERLINK("https://www.britishcycling.org.uk/points?person_id=540665&amp;year=2021&amp;type=national&amp;d=6","Results")</f>
        <v/>
      </c>
    </row>
    <row r="60">
      <c r="A60" t="inlineStr">
        <is>
          <t>59</t>
        </is>
      </c>
      <c r="B60" t="inlineStr">
        <is>
          <t>Tarquin Robbins</t>
        </is>
      </c>
      <c r="C60" t="inlineStr">
        <is>
          <t>G!RO Cycles</t>
        </is>
      </c>
      <c r="D60" t="inlineStr">
        <is>
          <t>243</t>
        </is>
      </c>
      <c r="E60">
        <f>HYPERLINK("https://www.britishcycling.org.uk/points?person_id=589989&amp;year=2021&amp;type=national&amp;d=6","Results")</f>
        <v/>
      </c>
    </row>
    <row r="61">
      <c r="A61" t="inlineStr">
        <is>
          <t>60</t>
        </is>
      </c>
      <c r="B61" t="inlineStr">
        <is>
          <t>Paul Hopkins</t>
        </is>
      </c>
      <c r="C61" t="inlineStr">
        <is>
          <t>Gillingham and District Wheelers</t>
        </is>
      </c>
      <c r="D61" t="inlineStr">
        <is>
          <t>234</t>
        </is>
      </c>
      <c r="E61">
        <f>HYPERLINK("https://www.britishcycling.org.uk/points?person_id=44385&amp;year=2021&amp;type=national&amp;d=6","Results")</f>
        <v/>
      </c>
    </row>
    <row r="62">
      <c r="A62" t="inlineStr">
        <is>
          <t>61</t>
        </is>
      </c>
      <c r="B62" t="inlineStr">
        <is>
          <t>Dylan Bexley</t>
        </is>
      </c>
      <c r="C62" t="inlineStr">
        <is>
          <t>Dulwich Paragon CC</t>
        </is>
      </c>
      <c r="D62" t="inlineStr">
        <is>
          <t>233</t>
        </is>
      </c>
      <c r="E62">
        <f>HYPERLINK("https://www.britishcycling.org.uk/points?person_id=452837&amp;year=2021&amp;type=national&amp;d=6","Results")</f>
        <v/>
      </c>
    </row>
    <row r="63">
      <c r="A63" t="inlineStr">
        <is>
          <t>62</t>
        </is>
      </c>
      <c r="B63" t="inlineStr">
        <is>
          <t>Ian Jeremiah</t>
        </is>
      </c>
      <c r="C63" t="inlineStr">
        <is>
          <t>Cardiff JIF</t>
        </is>
      </c>
      <c r="D63" t="inlineStr">
        <is>
          <t>223</t>
        </is>
      </c>
      <c r="E63">
        <f>HYPERLINK("https://www.britishcycling.org.uk/points?person_id=63176&amp;year=2021&amp;type=national&amp;d=6","Results")</f>
        <v/>
      </c>
    </row>
    <row r="64">
      <c r="A64" t="inlineStr">
        <is>
          <t>63</t>
        </is>
      </c>
      <c r="B64" t="inlineStr">
        <is>
          <t>Martin Smith</t>
        </is>
      </c>
      <c r="C64" t="inlineStr">
        <is>
          <t>Mid Devon CC</t>
        </is>
      </c>
      <c r="D64" t="inlineStr">
        <is>
          <t>222</t>
        </is>
      </c>
      <c r="E64">
        <f>HYPERLINK("https://www.britishcycling.org.uk/points?person_id=280455&amp;year=2021&amp;type=national&amp;d=6","Results")</f>
        <v/>
      </c>
    </row>
    <row r="65">
      <c r="A65" t="inlineStr">
        <is>
          <t>64</t>
        </is>
      </c>
      <c r="B65" t="inlineStr">
        <is>
          <t>Roy Chamberlain</t>
        </is>
      </c>
      <c r="C65" t="inlineStr">
        <is>
          <t>Club Corley Cycles RC</t>
        </is>
      </c>
      <c r="D65" t="inlineStr">
        <is>
          <t>221</t>
        </is>
      </c>
      <c r="E65">
        <f>HYPERLINK("https://www.britishcycling.org.uk/points?person_id=78190&amp;year=2021&amp;type=national&amp;d=6","Results")</f>
        <v/>
      </c>
    </row>
    <row r="66">
      <c r="A66" t="inlineStr">
        <is>
          <t>65</t>
        </is>
      </c>
      <c r="B66" t="inlineStr">
        <is>
          <t>Anthony Matthews</t>
        </is>
      </c>
      <c r="C66" t="inlineStr">
        <is>
          <t>Paul Milnes - Bradford Olympic RC</t>
        </is>
      </c>
      <c r="D66" t="inlineStr">
        <is>
          <t>216</t>
        </is>
      </c>
      <c r="E66">
        <f>HYPERLINK("https://www.britishcycling.org.uk/points?person_id=630429&amp;year=2021&amp;type=national&amp;d=6","Results")</f>
        <v/>
      </c>
    </row>
    <row r="67">
      <c r="A67" t="inlineStr">
        <is>
          <t>66</t>
        </is>
      </c>
      <c r="B67" t="inlineStr">
        <is>
          <t>Andrew Peace</t>
        </is>
      </c>
      <c r="C67" t="inlineStr">
        <is>
          <t>Shibden Cycling Club</t>
        </is>
      </c>
      <c r="D67" t="inlineStr">
        <is>
          <t>215</t>
        </is>
      </c>
      <c r="E67">
        <f>HYPERLINK("https://www.britishcycling.org.uk/points?person_id=7502&amp;year=2021&amp;type=national&amp;d=6","Results")</f>
        <v/>
      </c>
    </row>
    <row r="68">
      <c r="A68" t="inlineStr">
        <is>
          <t>67</t>
        </is>
      </c>
      <c r="B68" t="inlineStr">
        <is>
          <t>James Melville</t>
        </is>
      </c>
      <c r="C68" t="inlineStr">
        <is>
          <t>Glasgow United CC</t>
        </is>
      </c>
      <c r="D68" t="inlineStr">
        <is>
          <t>214</t>
        </is>
      </c>
      <c r="E68">
        <f>HYPERLINK("https://www.britishcycling.org.uk/points?person_id=72838&amp;year=2021&amp;type=national&amp;d=6","Results")</f>
        <v/>
      </c>
    </row>
    <row r="69">
      <c r="A69" t="inlineStr">
        <is>
          <t>68</t>
        </is>
      </c>
      <c r="B69" t="inlineStr">
        <is>
          <t>Julian Freeman</t>
        </is>
      </c>
      <c r="C69" t="inlineStr">
        <is>
          <t>Rockingham Forest Whls</t>
        </is>
      </c>
      <c r="D69" t="inlineStr">
        <is>
          <t>211</t>
        </is>
      </c>
      <c r="E69">
        <f>HYPERLINK("https://www.britishcycling.org.uk/points?person_id=8887&amp;year=2021&amp;type=national&amp;d=6","Results")</f>
        <v/>
      </c>
    </row>
    <row r="70">
      <c r="A70" t="inlineStr">
        <is>
          <t>69</t>
        </is>
      </c>
      <c r="B70" t="inlineStr">
        <is>
          <t>Gideon Aroussi</t>
        </is>
      </c>
      <c r="C70" t="inlineStr">
        <is>
          <t>Exeter Wheelers</t>
        </is>
      </c>
      <c r="D70" t="inlineStr">
        <is>
          <t>207</t>
        </is>
      </c>
      <c r="E70">
        <f>HYPERLINK("https://www.britishcycling.org.uk/points?person_id=547274&amp;year=2021&amp;type=national&amp;d=6","Results")</f>
        <v/>
      </c>
    </row>
    <row r="71">
      <c r="A71" t="inlineStr">
        <is>
          <t>70</t>
        </is>
      </c>
      <c r="B71" t="inlineStr">
        <is>
          <t>Dave Copland</t>
        </is>
      </c>
      <c r="C71" t="inlineStr">
        <is>
          <t>Ipswich Bicycle Club</t>
        </is>
      </c>
      <c r="D71" t="inlineStr">
        <is>
          <t>205</t>
        </is>
      </c>
      <c r="E71">
        <f>HYPERLINK("https://www.britishcycling.org.uk/points?person_id=37075&amp;year=2021&amp;type=national&amp;d=6","Results")</f>
        <v/>
      </c>
    </row>
    <row r="72">
      <c r="A72" t="inlineStr">
        <is>
          <t>71</t>
        </is>
      </c>
      <c r="B72" t="inlineStr">
        <is>
          <t>Tim Costello</t>
        </is>
      </c>
      <c r="C72" t="inlineStr">
        <is>
          <t>GS Vecchi</t>
        </is>
      </c>
      <c r="D72" t="inlineStr">
        <is>
          <t>196</t>
        </is>
      </c>
      <c r="E72">
        <f>HYPERLINK("https://www.britishcycling.org.uk/points?person_id=12047&amp;year=2021&amp;type=national&amp;d=6","Results")</f>
        <v/>
      </c>
    </row>
    <row r="73">
      <c r="A73" t="inlineStr">
        <is>
          <t>72</t>
        </is>
      </c>
      <c r="B73" t="inlineStr">
        <is>
          <t>Killian Lomas</t>
        </is>
      </c>
      <c r="C73" t="inlineStr"/>
      <c r="D73" t="inlineStr">
        <is>
          <t>196</t>
        </is>
      </c>
      <c r="E73">
        <f>HYPERLINK("https://www.britishcycling.org.uk/points?person_id=519345&amp;year=2021&amp;type=national&amp;d=6","Results")</f>
        <v/>
      </c>
    </row>
    <row r="74">
      <c r="A74" t="inlineStr">
        <is>
          <t>73</t>
        </is>
      </c>
      <c r="B74" t="inlineStr">
        <is>
          <t>Philip Murrell</t>
        </is>
      </c>
      <c r="C74" t="inlineStr">
        <is>
          <t>Forest Side Riders</t>
        </is>
      </c>
      <c r="D74" t="inlineStr">
        <is>
          <t>193</t>
        </is>
      </c>
      <c r="E74">
        <f>HYPERLINK("https://www.britishcycling.org.uk/points?person_id=43477&amp;year=2021&amp;type=national&amp;d=6","Results")</f>
        <v/>
      </c>
    </row>
    <row r="75">
      <c r="A75" t="inlineStr">
        <is>
          <t>74</t>
        </is>
      </c>
      <c r="B75" t="inlineStr">
        <is>
          <t>Stephen Wilkinson</t>
        </is>
      </c>
      <c r="C75" t="inlineStr">
        <is>
          <t>TWB - ON TIME RACE TEAM</t>
        </is>
      </c>
      <c r="D75" t="inlineStr">
        <is>
          <t>193</t>
        </is>
      </c>
      <c r="E75">
        <f>HYPERLINK("https://www.britishcycling.org.uk/points?person_id=51576&amp;year=2021&amp;type=national&amp;d=6","Results")</f>
        <v/>
      </c>
    </row>
    <row r="76">
      <c r="A76" t="inlineStr">
        <is>
          <t>75</t>
        </is>
      </c>
      <c r="B76" t="inlineStr">
        <is>
          <t>Phil Oliver</t>
        </is>
      </c>
      <c r="C76" t="inlineStr">
        <is>
          <t>Rutland CC</t>
        </is>
      </c>
      <c r="D76" t="inlineStr">
        <is>
          <t>186</t>
        </is>
      </c>
      <c r="E76">
        <f>HYPERLINK("https://www.britishcycling.org.uk/points?person_id=773476&amp;year=2021&amp;type=national&amp;d=6","Results")</f>
        <v/>
      </c>
    </row>
    <row r="77">
      <c r="A77" t="inlineStr">
        <is>
          <t>76</t>
        </is>
      </c>
      <c r="B77" t="inlineStr">
        <is>
          <t>Andrew Brindle</t>
        </is>
      </c>
      <c r="C77" t="inlineStr">
        <is>
          <t>Horwich CC</t>
        </is>
      </c>
      <c r="D77" t="inlineStr">
        <is>
          <t>182</t>
        </is>
      </c>
      <c r="E77">
        <f>HYPERLINK("https://www.britishcycling.org.uk/points?person_id=15692&amp;year=2021&amp;type=national&amp;d=6","Results")</f>
        <v/>
      </c>
    </row>
    <row r="78">
      <c r="A78" t="inlineStr">
        <is>
          <t>77</t>
        </is>
      </c>
      <c r="B78" t="inlineStr">
        <is>
          <t>Stephen Walker</t>
        </is>
      </c>
      <c r="C78" t="inlineStr">
        <is>
          <t>Trent Valley Road Club</t>
        </is>
      </c>
      <c r="D78" t="inlineStr">
        <is>
          <t>179</t>
        </is>
      </c>
      <c r="E78">
        <f>HYPERLINK("https://www.britishcycling.org.uk/points?person_id=510171&amp;year=2021&amp;type=national&amp;d=6","Results")</f>
        <v/>
      </c>
    </row>
    <row r="79">
      <c r="A79" t="inlineStr">
        <is>
          <t>78</t>
        </is>
      </c>
      <c r="B79" t="inlineStr">
        <is>
          <t>Paul Bond</t>
        </is>
      </c>
      <c r="C79" t="inlineStr">
        <is>
          <t>Ellmore Factory Racing</t>
        </is>
      </c>
      <c r="D79" t="inlineStr">
        <is>
          <t>174</t>
        </is>
      </c>
      <c r="E79">
        <f>HYPERLINK("https://www.britishcycling.org.uk/points?person_id=30468&amp;year=2021&amp;type=national&amp;d=6","Results")</f>
        <v/>
      </c>
    </row>
    <row r="80">
      <c r="A80" t="inlineStr">
        <is>
          <t>79</t>
        </is>
      </c>
      <c r="B80" t="inlineStr">
        <is>
          <t>Peter Busby</t>
        </is>
      </c>
      <c r="C80" t="inlineStr">
        <is>
          <t>Team Jewson-M.I.Racing</t>
        </is>
      </c>
      <c r="D80" t="inlineStr">
        <is>
          <t>172</t>
        </is>
      </c>
      <c r="E80">
        <f>HYPERLINK("https://www.britishcycling.org.uk/points?person_id=109091&amp;year=2021&amp;type=national&amp;d=6","Results")</f>
        <v/>
      </c>
    </row>
    <row r="81">
      <c r="A81" t="inlineStr">
        <is>
          <t>80</t>
        </is>
      </c>
      <c r="B81" t="inlineStr">
        <is>
          <t>Mike Smith</t>
        </is>
      </c>
      <c r="C81" t="inlineStr">
        <is>
          <t>Rapha Cycling Club</t>
        </is>
      </c>
      <c r="D81" t="inlineStr">
        <is>
          <t>152</t>
        </is>
      </c>
      <c r="E81">
        <f>HYPERLINK("https://www.britishcycling.org.uk/points?person_id=26492&amp;year=2021&amp;type=national&amp;d=6","Results")</f>
        <v/>
      </c>
    </row>
    <row r="82">
      <c r="A82" t="inlineStr">
        <is>
          <t>81</t>
        </is>
      </c>
      <c r="B82" t="inlineStr">
        <is>
          <t>Paul Moss</t>
        </is>
      </c>
      <c r="C82" t="inlineStr">
        <is>
          <t>Stowmarket &amp; District CC</t>
        </is>
      </c>
      <c r="D82" t="inlineStr">
        <is>
          <t>148</t>
        </is>
      </c>
      <c r="E82">
        <f>HYPERLINK("https://www.britishcycling.org.uk/points?person_id=36231&amp;year=2021&amp;type=national&amp;d=6","Results")</f>
        <v/>
      </c>
    </row>
    <row r="83">
      <c r="A83" t="inlineStr">
        <is>
          <t>82</t>
        </is>
      </c>
      <c r="B83" t="inlineStr">
        <is>
          <t>James Farren</t>
        </is>
      </c>
      <c r="C83" t="inlineStr">
        <is>
          <t>Amisvelo Racing Team</t>
        </is>
      </c>
      <c r="D83" t="inlineStr">
        <is>
          <t>146</t>
        </is>
      </c>
      <c r="E83">
        <f>HYPERLINK("https://www.britishcycling.org.uk/points?person_id=440942&amp;year=2021&amp;type=national&amp;d=6","Results")</f>
        <v/>
      </c>
    </row>
    <row r="84">
      <c r="A84" t="inlineStr">
        <is>
          <t>83</t>
        </is>
      </c>
      <c r="B84" t="inlineStr">
        <is>
          <t>Jez Hart</t>
        </is>
      </c>
      <c r="C84" t="inlineStr">
        <is>
          <t>Sotonia CC</t>
        </is>
      </c>
      <c r="D84" t="inlineStr">
        <is>
          <t>144</t>
        </is>
      </c>
      <c r="E84">
        <f>HYPERLINK("https://www.britishcycling.org.uk/points?person_id=132305&amp;year=2021&amp;type=national&amp;d=6","Results")</f>
        <v/>
      </c>
    </row>
    <row r="85">
      <c r="A85" t="inlineStr">
        <is>
          <t>84</t>
        </is>
      </c>
      <c r="B85" t="inlineStr">
        <is>
          <t>John Polak</t>
        </is>
      </c>
      <c r="C85" t="inlineStr">
        <is>
          <t>Cotswold Veldrijden</t>
        </is>
      </c>
      <c r="D85" t="inlineStr">
        <is>
          <t>140</t>
        </is>
      </c>
      <c r="E85">
        <f>HYPERLINK("https://www.britishcycling.org.uk/points?person_id=173980&amp;year=2021&amp;type=national&amp;d=6","Results")</f>
        <v/>
      </c>
    </row>
    <row r="86">
      <c r="A86" t="inlineStr">
        <is>
          <t>85</t>
        </is>
      </c>
      <c r="B86" t="inlineStr">
        <is>
          <t>Pete Dawe</t>
        </is>
      </c>
      <c r="C86" t="inlineStr">
        <is>
          <t>Southfork Racing.co.uk</t>
        </is>
      </c>
      <c r="D86" t="inlineStr">
        <is>
          <t>138</t>
        </is>
      </c>
      <c r="E86">
        <f>HYPERLINK("https://www.britishcycling.org.uk/points?person_id=66442&amp;year=2021&amp;type=national&amp;d=6","Results")</f>
        <v/>
      </c>
    </row>
    <row r="87">
      <c r="A87" t="inlineStr">
        <is>
          <t>86</t>
        </is>
      </c>
      <c r="B87" t="inlineStr">
        <is>
          <t>Ross Porter</t>
        </is>
      </c>
      <c r="C87" t="inlineStr">
        <is>
          <t>Cwmcarn Paragon Cycling Club</t>
        </is>
      </c>
      <c r="D87" t="inlineStr">
        <is>
          <t>136</t>
        </is>
      </c>
      <c r="E87">
        <f>HYPERLINK("https://www.britishcycling.org.uk/points?person_id=61025&amp;year=2021&amp;type=national&amp;d=6","Results")</f>
        <v/>
      </c>
    </row>
    <row r="88">
      <c r="A88" t="inlineStr">
        <is>
          <t>87</t>
        </is>
      </c>
      <c r="B88" t="inlineStr">
        <is>
          <t>Jim Davies</t>
        </is>
      </c>
      <c r="C88" t="inlineStr">
        <is>
          <t>Kendal Cycle Club</t>
        </is>
      </c>
      <c r="D88" t="inlineStr">
        <is>
          <t>133</t>
        </is>
      </c>
      <c r="E88">
        <f>HYPERLINK("https://www.britishcycling.org.uk/points?person_id=735728&amp;year=2021&amp;type=national&amp;d=6","Results")</f>
        <v/>
      </c>
    </row>
    <row r="89">
      <c r="A89" t="inlineStr">
        <is>
          <t>88</t>
        </is>
      </c>
      <c r="B89" t="inlineStr">
        <is>
          <t>Peter Fielding-Smith</t>
        </is>
      </c>
      <c r="C89" t="inlineStr">
        <is>
          <t>Wilsons Wheels Race Team</t>
        </is>
      </c>
      <c r="D89" t="inlineStr">
        <is>
          <t>132</t>
        </is>
      </c>
      <c r="E89">
        <f>HYPERLINK("https://www.britishcycling.org.uk/points?person_id=35291&amp;year=2021&amp;type=national&amp;d=6","Results")</f>
        <v/>
      </c>
    </row>
    <row r="90">
      <c r="A90" t="inlineStr">
        <is>
          <t>89</t>
        </is>
      </c>
      <c r="B90" t="inlineStr">
        <is>
          <t>John Hines</t>
        </is>
      </c>
      <c r="C90" t="inlineStr">
        <is>
          <t>Newport Shropshire CC</t>
        </is>
      </c>
      <c r="D90" t="inlineStr">
        <is>
          <t>125</t>
        </is>
      </c>
      <c r="E90">
        <f>HYPERLINK("https://www.britishcycling.org.uk/points?person_id=98865&amp;year=2021&amp;type=national&amp;d=6","Results")</f>
        <v/>
      </c>
    </row>
    <row r="91">
      <c r="A91" t="inlineStr">
        <is>
          <t>90</t>
        </is>
      </c>
      <c r="B91" t="inlineStr">
        <is>
          <t>Shaun Campling</t>
        </is>
      </c>
      <c r="C91" t="inlineStr">
        <is>
          <t>Leicester Forest CC</t>
        </is>
      </c>
      <c r="D91" t="inlineStr">
        <is>
          <t>123</t>
        </is>
      </c>
      <c r="E91">
        <f>HYPERLINK("https://www.britishcycling.org.uk/points?person_id=479127&amp;year=2021&amp;type=national&amp;d=6","Results")</f>
        <v/>
      </c>
    </row>
    <row r="92">
      <c r="A92" t="inlineStr">
        <is>
          <t>91</t>
        </is>
      </c>
      <c r="B92" t="inlineStr">
        <is>
          <t>Matthew Camps</t>
        </is>
      </c>
      <c r="C92" t="inlineStr">
        <is>
          <t>Bridport CC</t>
        </is>
      </c>
      <c r="D92" t="inlineStr">
        <is>
          <t>122</t>
        </is>
      </c>
      <c r="E92">
        <f>HYPERLINK("https://www.britishcycling.org.uk/points?person_id=556234&amp;year=2021&amp;type=national&amp;d=6","Results")</f>
        <v/>
      </c>
    </row>
    <row r="93">
      <c r="A93" t="inlineStr">
        <is>
          <t>92</t>
        </is>
      </c>
      <c r="B93" t="inlineStr">
        <is>
          <t>Paul Douglas</t>
        </is>
      </c>
      <c r="C93" t="inlineStr">
        <is>
          <t>Cheltenham &amp; County Cycling Club</t>
        </is>
      </c>
      <c r="D93" t="inlineStr">
        <is>
          <t>122</t>
        </is>
      </c>
      <c r="E93">
        <f>HYPERLINK("https://www.britishcycling.org.uk/points?person_id=46015&amp;year=2021&amp;type=national&amp;d=6","Results")</f>
        <v/>
      </c>
    </row>
    <row r="94">
      <c r="A94" t="inlineStr">
        <is>
          <t>93</t>
        </is>
      </c>
      <c r="B94" t="inlineStr">
        <is>
          <t>Shaun Green</t>
        </is>
      </c>
      <c r="C94" t="inlineStr"/>
      <c r="D94" t="inlineStr">
        <is>
          <t>122</t>
        </is>
      </c>
      <c r="E94">
        <f>HYPERLINK("https://www.britishcycling.org.uk/points?person_id=71756&amp;year=2021&amp;type=national&amp;d=6","Results")</f>
        <v/>
      </c>
    </row>
    <row r="95">
      <c r="A95" t="inlineStr">
        <is>
          <t>94</t>
        </is>
      </c>
      <c r="B95" t="inlineStr">
        <is>
          <t>Ben Paton</t>
        </is>
      </c>
      <c r="C95" t="inlineStr">
        <is>
          <t>Amisvelo Racing Team</t>
        </is>
      </c>
      <c r="D95" t="inlineStr">
        <is>
          <t>121</t>
        </is>
      </c>
      <c r="E95">
        <f>HYPERLINK("https://www.britishcycling.org.uk/points?person_id=75729&amp;year=2021&amp;type=national&amp;d=6","Results")</f>
        <v/>
      </c>
    </row>
    <row r="96">
      <c r="A96" t="inlineStr">
        <is>
          <t>95</t>
        </is>
      </c>
      <c r="B96" t="inlineStr">
        <is>
          <t>Michael Murray</t>
        </is>
      </c>
      <c r="C96" t="inlineStr">
        <is>
          <t>Brighton Excelsior CC</t>
        </is>
      </c>
      <c r="D96" t="inlineStr">
        <is>
          <t>119</t>
        </is>
      </c>
      <c r="E96">
        <f>HYPERLINK("https://www.britishcycling.org.uk/points?person_id=50404&amp;year=2021&amp;type=national&amp;d=6","Results")</f>
        <v/>
      </c>
    </row>
    <row r="97">
      <c r="A97" t="inlineStr">
        <is>
          <t>96</t>
        </is>
      </c>
      <c r="B97" t="inlineStr">
        <is>
          <t>Nigel Dykes</t>
        </is>
      </c>
      <c r="C97" t="inlineStr"/>
      <c r="D97" t="inlineStr">
        <is>
          <t>118</t>
        </is>
      </c>
      <c r="E97">
        <f>HYPERLINK("https://www.britishcycling.org.uk/points?person_id=519973&amp;year=2021&amp;type=national&amp;d=6","Results")</f>
        <v/>
      </c>
    </row>
    <row r="98">
      <c r="A98" t="inlineStr">
        <is>
          <t>97</t>
        </is>
      </c>
      <c r="B98" t="inlineStr">
        <is>
          <t>Andrew South</t>
        </is>
      </c>
      <c r="C98" t="inlineStr">
        <is>
          <t>GS Avanti</t>
        </is>
      </c>
      <c r="D98" t="inlineStr">
        <is>
          <t>118</t>
        </is>
      </c>
      <c r="E98">
        <f>HYPERLINK("https://www.britishcycling.org.uk/points?person_id=427013&amp;year=2021&amp;type=national&amp;d=6","Results")</f>
        <v/>
      </c>
    </row>
    <row r="99">
      <c r="A99" t="inlineStr">
        <is>
          <t>98</t>
        </is>
      </c>
      <c r="B99" t="inlineStr">
        <is>
          <t>Ian Marshall</t>
        </is>
      </c>
      <c r="C99" t="inlineStr">
        <is>
          <t>Cardiff JIF</t>
        </is>
      </c>
      <c r="D99" t="inlineStr">
        <is>
          <t>117</t>
        </is>
      </c>
      <c r="E99">
        <f>HYPERLINK("https://www.britishcycling.org.uk/points?person_id=407806&amp;year=2021&amp;type=national&amp;d=6","Results")</f>
        <v/>
      </c>
    </row>
    <row r="100">
      <c r="A100" t="inlineStr">
        <is>
          <t>99</t>
        </is>
      </c>
      <c r="B100" t="inlineStr">
        <is>
          <t>Richard House</t>
        </is>
      </c>
      <c r="C100" t="inlineStr">
        <is>
          <t>WarVena Racing Team</t>
        </is>
      </c>
      <c r="D100" t="inlineStr">
        <is>
          <t>112</t>
        </is>
      </c>
      <c r="E100">
        <f>HYPERLINK("https://www.britishcycling.org.uk/points?person_id=124029&amp;year=2021&amp;type=national&amp;d=6","Results")</f>
        <v/>
      </c>
    </row>
    <row r="101">
      <c r="A101" t="inlineStr">
        <is>
          <t>100</t>
        </is>
      </c>
      <c r="B101" t="inlineStr">
        <is>
          <t>Keith Sheridan</t>
        </is>
      </c>
      <c r="C101" t="inlineStr">
        <is>
          <t>Recycles RCC</t>
        </is>
      </c>
      <c r="D101" t="inlineStr">
        <is>
          <t>112</t>
        </is>
      </c>
      <c r="E101">
        <f>HYPERLINK("https://www.britishcycling.org.uk/points?person_id=69399&amp;year=2021&amp;type=national&amp;d=6","Results")</f>
        <v/>
      </c>
    </row>
    <row r="102">
      <c r="A102" t="inlineStr">
        <is>
          <t>101</t>
        </is>
      </c>
      <c r="B102" t="inlineStr">
        <is>
          <t>Adrian Lyons</t>
        </is>
      </c>
      <c r="C102" t="inlineStr">
        <is>
          <t>GS Invicta-ELO-Herberts Cycles</t>
        </is>
      </c>
      <c r="D102" t="inlineStr">
        <is>
          <t>110</t>
        </is>
      </c>
      <c r="E102">
        <f>HYPERLINK("https://www.britishcycling.org.uk/points?person_id=23622&amp;year=2021&amp;type=national&amp;d=6","Results")</f>
        <v/>
      </c>
    </row>
    <row r="103">
      <c r="A103" t="inlineStr">
        <is>
          <t>102</t>
        </is>
      </c>
      <c r="B103" t="inlineStr">
        <is>
          <t>Paul Conneely</t>
        </is>
      </c>
      <c r="C103" t="inlineStr">
        <is>
          <t>Witham Wheelers Cycling Club</t>
        </is>
      </c>
      <c r="D103" t="inlineStr">
        <is>
          <t>108</t>
        </is>
      </c>
      <c r="E103">
        <f>HYPERLINK("https://www.britishcycling.org.uk/points?person_id=11756&amp;year=2021&amp;type=national&amp;d=6","Results")</f>
        <v/>
      </c>
    </row>
    <row r="104">
      <c r="A104" t="inlineStr">
        <is>
          <t>103</t>
        </is>
      </c>
      <c r="B104" t="inlineStr">
        <is>
          <t>Neil Mansfield</t>
        </is>
      </c>
      <c r="C104" t="inlineStr">
        <is>
          <t>Morvelo Magspeed Racing</t>
        </is>
      </c>
      <c r="D104" t="inlineStr">
        <is>
          <t>106</t>
        </is>
      </c>
      <c r="E104">
        <f>HYPERLINK("https://www.britishcycling.org.uk/points?person_id=69484&amp;year=2021&amp;type=national&amp;d=6","Results")</f>
        <v/>
      </c>
    </row>
    <row r="105">
      <c r="A105" t="inlineStr">
        <is>
          <t>104</t>
        </is>
      </c>
      <c r="B105" t="inlineStr">
        <is>
          <t>Nick Pashley</t>
        </is>
      </c>
      <c r="C105" t="inlineStr">
        <is>
          <t>Bristol CX</t>
        </is>
      </c>
      <c r="D105" t="inlineStr">
        <is>
          <t>106</t>
        </is>
      </c>
      <c r="E105">
        <f>HYPERLINK("https://www.britishcycling.org.uk/points?person_id=667108&amp;year=2021&amp;type=national&amp;d=6","Results")</f>
        <v/>
      </c>
    </row>
    <row r="106">
      <c r="A106" t="inlineStr">
        <is>
          <t>105</t>
        </is>
      </c>
      <c r="B106" t="inlineStr">
        <is>
          <t>Gareth Highley</t>
        </is>
      </c>
      <c r="C106" t="inlineStr">
        <is>
          <t>INFLITE</t>
        </is>
      </c>
      <c r="D106" t="inlineStr">
        <is>
          <t>105</t>
        </is>
      </c>
      <c r="E106">
        <f>HYPERLINK("https://www.britishcycling.org.uk/points?person_id=587918&amp;year=2021&amp;type=national&amp;d=6","Results")</f>
        <v/>
      </c>
    </row>
    <row r="107">
      <c r="A107" t="inlineStr">
        <is>
          <t>106</t>
        </is>
      </c>
      <c r="B107" t="inlineStr">
        <is>
          <t>Anthony Turner</t>
        </is>
      </c>
      <c r="C107" t="inlineStr">
        <is>
          <t>Cotswold Veldrijden</t>
        </is>
      </c>
      <c r="D107" t="inlineStr">
        <is>
          <t>101</t>
        </is>
      </c>
      <c r="E107">
        <f>HYPERLINK("https://www.britishcycling.org.uk/points?person_id=99454&amp;year=2021&amp;type=national&amp;d=6","Results")</f>
        <v/>
      </c>
    </row>
    <row r="108">
      <c r="A108" t="inlineStr">
        <is>
          <t>107</t>
        </is>
      </c>
      <c r="B108" t="inlineStr">
        <is>
          <t>Gary Brooks</t>
        </is>
      </c>
      <c r="C108" t="inlineStr">
        <is>
          <t>Kenilworth Wheelers CC</t>
        </is>
      </c>
      <c r="D108" t="inlineStr">
        <is>
          <t>94</t>
        </is>
      </c>
      <c r="E108">
        <f>HYPERLINK("https://www.britishcycling.org.uk/points?person_id=205019&amp;year=2021&amp;type=national&amp;d=6","Results")</f>
        <v/>
      </c>
    </row>
    <row r="109">
      <c r="A109" t="inlineStr">
        <is>
          <t>108</t>
        </is>
      </c>
      <c r="B109" t="inlineStr">
        <is>
          <t>David Kent</t>
        </is>
      </c>
      <c r="C109" t="inlineStr">
        <is>
          <t>Whitby Wheelers CC</t>
        </is>
      </c>
      <c r="D109" t="inlineStr">
        <is>
          <t>94</t>
        </is>
      </c>
      <c r="E109">
        <f>HYPERLINK("https://www.britishcycling.org.uk/points?person_id=323521&amp;year=2021&amp;type=national&amp;d=6","Results")</f>
        <v/>
      </c>
    </row>
    <row r="110">
      <c r="A110" t="inlineStr">
        <is>
          <t>109</t>
        </is>
      </c>
      <c r="B110" t="inlineStr">
        <is>
          <t>Andy Porter</t>
        </is>
      </c>
      <c r="C110" t="inlineStr">
        <is>
          <t>Horwich CC</t>
        </is>
      </c>
      <c r="D110" t="inlineStr">
        <is>
          <t>94</t>
        </is>
      </c>
      <c r="E110">
        <f>HYPERLINK("https://www.britishcycling.org.uk/points?person_id=292344&amp;year=2021&amp;type=national&amp;d=6","Results")</f>
        <v/>
      </c>
    </row>
    <row r="111">
      <c r="A111" t="inlineStr">
        <is>
          <t>110</t>
        </is>
      </c>
      <c r="B111" t="inlineStr">
        <is>
          <t>Stephen Jones</t>
        </is>
      </c>
      <c r="C111" t="inlineStr">
        <is>
          <t>Banjo Cycles/Raceware</t>
        </is>
      </c>
      <c r="D111" t="inlineStr">
        <is>
          <t>93</t>
        </is>
      </c>
      <c r="E111">
        <f>HYPERLINK("https://www.britishcycling.org.uk/points?person_id=4133&amp;year=2021&amp;type=national&amp;d=6","Results")</f>
        <v/>
      </c>
    </row>
    <row r="112">
      <c r="A112" t="inlineStr">
        <is>
          <t>111</t>
        </is>
      </c>
      <c r="B112" t="inlineStr">
        <is>
          <t>Philip Watkins</t>
        </is>
      </c>
      <c r="C112" t="inlineStr">
        <is>
          <t>North Norfolk Wheelers CC</t>
        </is>
      </c>
      <c r="D112" t="inlineStr">
        <is>
          <t>93</t>
        </is>
      </c>
      <c r="E112">
        <f>HYPERLINK("https://www.britishcycling.org.uk/points?person_id=65887&amp;year=2021&amp;type=national&amp;d=6","Results")</f>
        <v/>
      </c>
    </row>
    <row r="113">
      <c r="A113" t="inlineStr">
        <is>
          <t>112</t>
        </is>
      </c>
      <c r="B113" t="inlineStr">
        <is>
          <t>Franco Porco</t>
        </is>
      </c>
      <c r="C113" t="inlineStr">
        <is>
          <t>Forth Valley Velo</t>
        </is>
      </c>
      <c r="D113" t="inlineStr">
        <is>
          <t>92</t>
        </is>
      </c>
      <c r="E113">
        <f>HYPERLINK("https://www.britishcycling.org.uk/points?person_id=702&amp;year=2021&amp;type=national&amp;d=6","Results")</f>
        <v/>
      </c>
    </row>
    <row r="114">
      <c r="A114" t="inlineStr">
        <is>
          <t>113</t>
        </is>
      </c>
      <c r="B114" t="inlineStr">
        <is>
          <t>Guy Stevens</t>
        </is>
      </c>
      <c r="C114" t="inlineStr"/>
      <c r="D114" t="inlineStr">
        <is>
          <t>92</t>
        </is>
      </c>
      <c r="E114">
        <f>HYPERLINK("https://www.britishcycling.org.uk/points?person_id=24614&amp;year=2021&amp;type=national&amp;d=6","Results")</f>
        <v/>
      </c>
    </row>
    <row r="115">
      <c r="A115" t="inlineStr">
        <is>
          <t>114</t>
        </is>
      </c>
      <c r="B115" t="inlineStr">
        <is>
          <t>Philip Connell</t>
        </is>
      </c>
      <c r="C115" t="inlineStr">
        <is>
          <t>Sotonia CC</t>
        </is>
      </c>
      <c r="D115" t="inlineStr">
        <is>
          <t>91</t>
        </is>
      </c>
      <c r="E115">
        <f>HYPERLINK("https://www.britishcycling.org.uk/points?person_id=121581&amp;year=2021&amp;type=national&amp;d=6","Results")</f>
        <v/>
      </c>
    </row>
    <row r="116">
      <c r="A116" t="inlineStr">
        <is>
          <t>115</t>
        </is>
      </c>
      <c r="B116" t="inlineStr">
        <is>
          <t>Michael Burdon</t>
        </is>
      </c>
      <c r="C116" t="inlineStr">
        <is>
          <t>PH-MAS - Paul Milnes Cycles</t>
        </is>
      </c>
      <c r="D116" t="inlineStr">
        <is>
          <t>90</t>
        </is>
      </c>
      <c r="E116">
        <f>HYPERLINK("https://www.britishcycling.org.uk/points?person_id=243205&amp;year=2021&amp;type=national&amp;d=6","Results")</f>
        <v/>
      </c>
    </row>
    <row r="117">
      <c r="A117" t="inlineStr">
        <is>
          <t>116</t>
        </is>
      </c>
      <c r="B117" t="inlineStr">
        <is>
          <t>Stuart Lockyear</t>
        </is>
      </c>
      <c r="C117" t="inlineStr">
        <is>
          <t>Dulwich Paragon CC</t>
        </is>
      </c>
      <c r="D117" t="inlineStr">
        <is>
          <t>90</t>
        </is>
      </c>
      <c r="E117">
        <f>HYPERLINK("https://www.britishcycling.org.uk/points?person_id=51613&amp;year=2021&amp;type=national&amp;d=6","Results")</f>
        <v/>
      </c>
    </row>
    <row r="118">
      <c r="A118" t="inlineStr">
        <is>
          <t>117</t>
        </is>
      </c>
      <c r="B118" t="inlineStr">
        <is>
          <t>Gary McCrae</t>
        </is>
      </c>
      <c r="C118" t="inlineStr">
        <is>
          <t>Leslie Bike Shop-Bikers Boutique</t>
        </is>
      </c>
      <c r="D118" t="inlineStr">
        <is>
          <t>90</t>
        </is>
      </c>
      <c r="E118">
        <f>HYPERLINK("https://www.britishcycling.org.uk/points?person_id=59182&amp;year=2021&amp;type=national&amp;d=6","Results")</f>
        <v/>
      </c>
    </row>
    <row r="119">
      <c r="A119" t="inlineStr">
        <is>
          <t>118</t>
        </is>
      </c>
      <c r="B119" t="inlineStr">
        <is>
          <t>John Docker</t>
        </is>
      </c>
      <c r="C119" t="inlineStr">
        <is>
          <t>Huddersfield Star Wheelers</t>
        </is>
      </c>
      <c r="D119" t="inlineStr">
        <is>
          <t>89</t>
        </is>
      </c>
      <c r="E119">
        <f>HYPERLINK("https://www.britishcycling.org.uk/points?person_id=259269&amp;year=2021&amp;type=national&amp;d=6","Results")</f>
        <v/>
      </c>
    </row>
    <row r="120">
      <c r="A120" t="inlineStr">
        <is>
          <t>119</t>
        </is>
      </c>
      <c r="B120" t="inlineStr">
        <is>
          <t>Andrew Johnston</t>
        </is>
      </c>
      <c r="C120" t="inlineStr">
        <is>
          <t>Clifton CC</t>
        </is>
      </c>
      <c r="D120" t="inlineStr">
        <is>
          <t>88</t>
        </is>
      </c>
      <c r="E120">
        <f>HYPERLINK("https://www.britishcycling.org.uk/points?person_id=14729&amp;year=2021&amp;type=national&amp;d=6","Results")</f>
        <v/>
      </c>
    </row>
    <row r="121">
      <c r="A121" t="inlineStr">
        <is>
          <t>120</t>
        </is>
      </c>
      <c r="B121" t="inlineStr">
        <is>
          <t>Michael Vaughan</t>
        </is>
      </c>
      <c r="C121" t="inlineStr">
        <is>
          <t>Mike Vaughan Cycles</t>
        </is>
      </c>
      <c r="D121" t="inlineStr">
        <is>
          <t>88</t>
        </is>
      </c>
      <c r="E121">
        <f>HYPERLINK("https://www.britishcycling.org.uk/points?person_id=23890&amp;year=2021&amp;type=national&amp;d=6","Results")</f>
        <v/>
      </c>
    </row>
    <row r="122">
      <c r="A122" t="inlineStr">
        <is>
          <t>121</t>
        </is>
      </c>
      <c r="B122" t="inlineStr">
        <is>
          <t>Warren Drew</t>
        </is>
      </c>
      <c r="C122" t="inlineStr">
        <is>
          <t>Rapha Cycling Club</t>
        </is>
      </c>
      <c r="D122" t="inlineStr">
        <is>
          <t>87</t>
        </is>
      </c>
      <c r="E122">
        <f>HYPERLINK("https://www.britishcycling.org.uk/points?person_id=187608&amp;year=2021&amp;type=national&amp;d=6","Results")</f>
        <v/>
      </c>
    </row>
    <row r="123">
      <c r="A123" t="inlineStr">
        <is>
          <t>122</t>
        </is>
      </c>
      <c r="B123" t="inlineStr">
        <is>
          <t>Thomas Bardgett</t>
        </is>
      </c>
      <c r="C123" t="inlineStr">
        <is>
          <t>www.cyclocrossrider.com</t>
        </is>
      </c>
      <c r="D123" t="inlineStr">
        <is>
          <t>86</t>
        </is>
      </c>
      <c r="E123">
        <f>HYPERLINK("https://www.britishcycling.org.uk/points?person_id=17101&amp;year=2021&amp;type=national&amp;d=6","Results")</f>
        <v/>
      </c>
    </row>
    <row r="124">
      <c r="A124" t="inlineStr">
        <is>
          <t>123</t>
        </is>
      </c>
      <c r="B124" t="inlineStr">
        <is>
          <t>Gary Strickland</t>
        </is>
      </c>
      <c r="C124" t="inlineStr">
        <is>
          <t>VC Long Eaton</t>
        </is>
      </c>
      <c r="D124" t="inlineStr">
        <is>
          <t>86</t>
        </is>
      </c>
      <c r="E124">
        <f>HYPERLINK("https://www.britishcycling.org.uk/points?person_id=33107&amp;year=2021&amp;type=national&amp;d=6","Results")</f>
        <v/>
      </c>
    </row>
    <row r="125">
      <c r="A125" t="inlineStr">
        <is>
          <t>124</t>
        </is>
      </c>
      <c r="B125" t="inlineStr">
        <is>
          <t>Paul Champness</t>
        </is>
      </c>
      <c r="C125" t="inlineStr">
        <is>
          <t>Hadleigh MTB Club</t>
        </is>
      </c>
      <c r="D125" t="inlineStr">
        <is>
          <t>85</t>
        </is>
      </c>
      <c r="E125">
        <f>HYPERLINK("https://www.britishcycling.org.uk/points?person_id=6128&amp;year=2021&amp;type=national&amp;d=6","Results")</f>
        <v/>
      </c>
    </row>
    <row r="126">
      <c r="A126" t="inlineStr">
        <is>
          <t>125</t>
        </is>
      </c>
      <c r="B126" t="inlineStr">
        <is>
          <t>Andrew Granger</t>
        </is>
      </c>
      <c r="C126" t="inlineStr">
        <is>
          <t>Twickenham CC</t>
        </is>
      </c>
      <c r="D126" t="inlineStr">
        <is>
          <t>85</t>
        </is>
      </c>
      <c r="E126">
        <f>HYPERLINK("https://www.britishcycling.org.uk/points?person_id=19107&amp;year=2021&amp;type=national&amp;d=6","Results")</f>
        <v/>
      </c>
    </row>
    <row r="127">
      <c r="A127" t="inlineStr">
        <is>
          <t>126</t>
        </is>
      </c>
      <c r="B127" t="inlineStr">
        <is>
          <t>Graham Steward</t>
        </is>
      </c>
      <c r="C127" t="inlineStr">
        <is>
          <t>Bristol South CC</t>
        </is>
      </c>
      <c r="D127" t="inlineStr">
        <is>
          <t>84</t>
        </is>
      </c>
      <c r="E127">
        <f>HYPERLINK("https://www.britishcycling.org.uk/points?person_id=448918&amp;year=2021&amp;type=national&amp;d=6","Results")</f>
        <v/>
      </c>
    </row>
    <row r="128">
      <c r="A128" t="inlineStr">
        <is>
          <t>127</t>
        </is>
      </c>
      <c r="B128" t="inlineStr">
        <is>
          <t>Sean Beswick</t>
        </is>
      </c>
      <c r="C128" t="inlineStr">
        <is>
          <t>www.Zepnat.com RT - Lazer helmets</t>
        </is>
      </c>
      <c r="D128" t="inlineStr">
        <is>
          <t>82</t>
        </is>
      </c>
      <c r="E128">
        <f>HYPERLINK("https://www.britishcycling.org.uk/points?person_id=22247&amp;year=2021&amp;type=national&amp;d=6","Results")</f>
        <v/>
      </c>
    </row>
    <row r="129">
      <c r="A129" t="inlineStr">
        <is>
          <t>128</t>
        </is>
      </c>
      <c r="B129" t="inlineStr">
        <is>
          <t>Nick Davy</t>
        </is>
      </c>
      <c r="C129" t="inlineStr">
        <is>
          <t>C and N Cycles RT</t>
        </is>
      </c>
      <c r="D129" t="inlineStr">
        <is>
          <t>82</t>
        </is>
      </c>
      <c r="E129">
        <f>HYPERLINK("https://www.britishcycling.org.uk/points?person_id=294794&amp;year=2021&amp;type=national&amp;d=6","Results")</f>
        <v/>
      </c>
    </row>
    <row r="130">
      <c r="A130" t="inlineStr">
        <is>
          <t>129</t>
        </is>
      </c>
      <c r="B130" t="inlineStr">
        <is>
          <t>Peter Goy</t>
        </is>
      </c>
      <c r="C130" t="inlineStr">
        <is>
          <t>Louth Cycle Centre RT</t>
        </is>
      </c>
      <c r="D130" t="inlineStr">
        <is>
          <t>82</t>
        </is>
      </c>
      <c r="E130">
        <f>HYPERLINK("https://www.britishcycling.org.uk/points?person_id=300819&amp;year=2021&amp;type=national&amp;d=6","Results")</f>
        <v/>
      </c>
    </row>
    <row r="131">
      <c r="A131" t="inlineStr">
        <is>
          <t>130</t>
        </is>
      </c>
      <c r="B131" t="inlineStr">
        <is>
          <t>Roger Chamberlain</t>
        </is>
      </c>
      <c r="C131" t="inlineStr">
        <is>
          <t>VCEquipe-FlixOralHygiene-Propulse</t>
        </is>
      </c>
      <c r="D131" t="inlineStr">
        <is>
          <t>81</t>
        </is>
      </c>
      <c r="E131">
        <f>HYPERLINK("https://www.britishcycling.org.uk/points?person_id=58499&amp;year=2021&amp;type=national&amp;d=6","Results")</f>
        <v/>
      </c>
    </row>
    <row r="132">
      <c r="A132" t="inlineStr">
        <is>
          <t>131</t>
        </is>
      </c>
      <c r="B132" t="inlineStr">
        <is>
          <t>Richard Noble</t>
        </is>
      </c>
      <c r="C132" t="inlineStr">
        <is>
          <t>Tyne&amp;Wear Fire&amp;Rescue CC</t>
        </is>
      </c>
      <c r="D132" t="inlineStr">
        <is>
          <t>81</t>
        </is>
      </c>
      <c r="E132">
        <f>HYPERLINK("https://www.britishcycling.org.uk/points?person_id=179547&amp;year=2021&amp;type=national&amp;d=6","Results")</f>
        <v/>
      </c>
    </row>
    <row r="133">
      <c r="A133" t="inlineStr">
        <is>
          <t>132</t>
        </is>
      </c>
      <c r="B133" t="inlineStr">
        <is>
          <t>Brian Tear</t>
        </is>
      </c>
      <c r="C133" t="inlineStr">
        <is>
          <t>Team Jewson-M.I.Racing</t>
        </is>
      </c>
      <c r="D133" t="inlineStr">
        <is>
          <t>81</t>
        </is>
      </c>
      <c r="E133">
        <f>HYPERLINK("https://www.britishcycling.org.uk/points?person_id=32540&amp;year=2021&amp;type=national&amp;d=6","Results")</f>
        <v/>
      </c>
    </row>
    <row r="134">
      <c r="A134" t="inlineStr">
        <is>
          <t>133</t>
        </is>
      </c>
      <c r="B134" t="inlineStr">
        <is>
          <t>Christopher Blackmore</t>
        </is>
      </c>
      <c r="C134" t="inlineStr"/>
      <c r="D134" t="inlineStr">
        <is>
          <t>80</t>
        </is>
      </c>
      <c r="E134">
        <f>HYPERLINK("https://www.britishcycling.org.uk/points?person_id=247687&amp;year=2021&amp;type=national&amp;d=6","Results")</f>
        <v/>
      </c>
    </row>
    <row r="135">
      <c r="A135" t="inlineStr">
        <is>
          <t>134</t>
        </is>
      </c>
      <c r="B135" t="inlineStr">
        <is>
          <t>Martyn Dymond</t>
        </is>
      </c>
      <c r="C135" t="inlineStr">
        <is>
          <t>Pedalon.co.uk</t>
        </is>
      </c>
      <c r="D135" t="inlineStr">
        <is>
          <t>80</t>
        </is>
      </c>
      <c r="E135">
        <f>HYPERLINK("https://www.britishcycling.org.uk/points?person_id=36044&amp;year=2021&amp;type=national&amp;d=6","Results")</f>
        <v/>
      </c>
    </row>
    <row r="136">
      <c r="A136" t="inlineStr">
        <is>
          <t>135</t>
        </is>
      </c>
      <c r="B136" t="inlineStr">
        <is>
          <t>Philip Hinchliffe</t>
        </is>
      </c>
      <c r="C136" t="inlineStr">
        <is>
          <t>100 Just Ride</t>
        </is>
      </c>
      <c r="D136" t="inlineStr">
        <is>
          <t>79</t>
        </is>
      </c>
      <c r="E136">
        <f>HYPERLINK("https://www.britishcycling.org.uk/points?person_id=10828&amp;year=2021&amp;type=national&amp;d=6","Results")</f>
        <v/>
      </c>
    </row>
    <row r="137">
      <c r="A137" t="inlineStr">
        <is>
          <t>136</t>
        </is>
      </c>
      <c r="B137" t="inlineStr">
        <is>
          <t>John McDowall</t>
        </is>
      </c>
      <c r="C137" t="inlineStr">
        <is>
          <t>North Road CC</t>
        </is>
      </c>
      <c r="D137" t="inlineStr">
        <is>
          <t>78</t>
        </is>
      </c>
      <c r="E137">
        <f>HYPERLINK("https://www.britishcycling.org.uk/points?person_id=5332&amp;year=2021&amp;type=national&amp;d=6","Results")</f>
        <v/>
      </c>
    </row>
    <row r="138">
      <c r="A138" t="inlineStr">
        <is>
          <t>137</t>
        </is>
      </c>
      <c r="B138" t="inlineStr">
        <is>
          <t>Graham Veal</t>
        </is>
      </c>
      <c r="C138" t="inlineStr">
        <is>
          <t>Weaver Valley CC</t>
        </is>
      </c>
      <c r="D138" t="inlineStr">
        <is>
          <t>77</t>
        </is>
      </c>
      <c r="E138">
        <f>HYPERLINK("https://www.britishcycling.org.uk/points?person_id=13219&amp;year=2021&amp;type=national&amp;d=6","Results")</f>
        <v/>
      </c>
    </row>
    <row r="139">
      <c r="A139" t="inlineStr">
        <is>
          <t>138</t>
        </is>
      </c>
      <c r="B139" t="inlineStr">
        <is>
          <t>Adrian Hoyle</t>
        </is>
      </c>
      <c r="C139" t="inlineStr">
        <is>
          <t>Royal Air Force CA</t>
        </is>
      </c>
      <c r="D139" t="inlineStr">
        <is>
          <t>75</t>
        </is>
      </c>
      <c r="E139">
        <f>HYPERLINK("https://www.britishcycling.org.uk/points?person_id=73229&amp;year=2021&amp;type=national&amp;d=6","Results")</f>
        <v/>
      </c>
    </row>
    <row r="140">
      <c r="A140" t="inlineStr">
        <is>
          <t>139</t>
        </is>
      </c>
      <c r="B140" t="inlineStr">
        <is>
          <t>David West</t>
        </is>
      </c>
      <c r="C140" t="inlineStr">
        <is>
          <t>Amisvelo Racing Team</t>
        </is>
      </c>
      <c r="D140" t="inlineStr">
        <is>
          <t>75</t>
        </is>
      </c>
      <c r="E140">
        <f>HYPERLINK("https://www.britishcycling.org.uk/points?person_id=30508&amp;year=2021&amp;type=national&amp;d=6","Results")</f>
        <v/>
      </c>
    </row>
    <row r="141">
      <c r="A141" t="inlineStr">
        <is>
          <t>140</t>
        </is>
      </c>
      <c r="B141" t="inlineStr">
        <is>
          <t>Adrian Hill</t>
        </is>
      </c>
      <c r="C141" t="inlineStr">
        <is>
          <t>Wilsons Wheels Race Team</t>
        </is>
      </c>
      <c r="D141" t="inlineStr">
        <is>
          <t>74</t>
        </is>
      </c>
      <c r="E141">
        <f>HYPERLINK("https://www.britishcycling.org.uk/points?person_id=302293&amp;year=2021&amp;type=national&amp;d=6","Results")</f>
        <v/>
      </c>
    </row>
    <row r="142">
      <c r="A142" t="inlineStr">
        <is>
          <t>141</t>
        </is>
      </c>
      <c r="B142" t="inlineStr">
        <is>
          <t>Neil Taylor</t>
        </is>
      </c>
      <c r="C142" t="inlineStr">
        <is>
          <t>Coalville Wheelers CC</t>
        </is>
      </c>
      <c r="D142" t="inlineStr">
        <is>
          <t>74</t>
        </is>
      </c>
      <c r="E142">
        <f>HYPERLINK("https://www.britishcycling.org.uk/points?person_id=53000&amp;year=2021&amp;type=national&amp;d=6","Results")</f>
        <v/>
      </c>
    </row>
    <row r="143">
      <c r="A143" t="inlineStr">
        <is>
          <t>142</t>
        </is>
      </c>
      <c r="B143" t="inlineStr">
        <is>
          <t>Kieron Hastings</t>
        </is>
      </c>
      <c r="C143" t="inlineStr">
        <is>
          <t>Cardiff JIF</t>
        </is>
      </c>
      <c r="D143" t="inlineStr">
        <is>
          <t>73</t>
        </is>
      </c>
      <c r="E143">
        <f>HYPERLINK("https://www.britishcycling.org.uk/points?person_id=305973&amp;year=2021&amp;type=national&amp;d=6","Results")</f>
        <v/>
      </c>
    </row>
    <row r="144">
      <c r="A144" t="inlineStr">
        <is>
          <t>143</t>
        </is>
      </c>
      <c r="B144" t="inlineStr">
        <is>
          <t>Steffan Chandler</t>
        </is>
      </c>
      <c r="C144" t="inlineStr">
        <is>
          <t>Horwich CC</t>
        </is>
      </c>
      <c r="D144" t="inlineStr">
        <is>
          <t>70</t>
        </is>
      </c>
      <c r="E144">
        <f>HYPERLINK("https://www.britishcycling.org.uk/points?person_id=54570&amp;year=2021&amp;type=national&amp;d=6","Results")</f>
        <v/>
      </c>
    </row>
    <row r="145">
      <c r="A145" t="inlineStr">
        <is>
          <t>144</t>
        </is>
      </c>
      <c r="B145" t="inlineStr">
        <is>
          <t>John Jones</t>
        </is>
      </c>
      <c r="C145" t="inlineStr">
        <is>
          <t>Verulam - reallymoving.com</t>
        </is>
      </c>
      <c r="D145" t="inlineStr">
        <is>
          <t>70</t>
        </is>
      </c>
      <c r="E145">
        <f>HYPERLINK("https://www.britishcycling.org.uk/points?person_id=244886&amp;year=2021&amp;type=national&amp;d=6","Results")</f>
        <v/>
      </c>
    </row>
    <row r="146">
      <c r="A146" t="inlineStr">
        <is>
          <t>145</t>
        </is>
      </c>
      <c r="B146" t="inlineStr">
        <is>
          <t>Neil Raitt</t>
        </is>
      </c>
      <c r="C146" t="inlineStr">
        <is>
          <t>Dundee Thistle RC</t>
        </is>
      </c>
      <c r="D146" t="inlineStr">
        <is>
          <t>70</t>
        </is>
      </c>
      <c r="E146">
        <f>HYPERLINK("https://www.britishcycling.org.uk/points?person_id=64215&amp;year=2021&amp;type=national&amp;d=6","Results")</f>
        <v/>
      </c>
    </row>
    <row r="147">
      <c r="A147" t="inlineStr">
        <is>
          <t>146</t>
        </is>
      </c>
      <c r="B147" t="inlineStr">
        <is>
          <t>Jonathan Robinson</t>
        </is>
      </c>
      <c r="C147" t="inlineStr">
        <is>
          <t>Army Cycling Union</t>
        </is>
      </c>
      <c r="D147" t="inlineStr">
        <is>
          <t>69</t>
        </is>
      </c>
      <c r="E147">
        <f>HYPERLINK("https://www.britishcycling.org.uk/points?person_id=282734&amp;year=2021&amp;type=national&amp;d=6","Results")</f>
        <v/>
      </c>
    </row>
    <row r="148">
      <c r="A148" t="inlineStr">
        <is>
          <t>147</t>
        </is>
      </c>
      <c r="B148" t="inlineStr">
        <is>
          <t>Andrew Clapham</t>
        </is>
      </c>
      <c r="C148" t="inlineStr">
        <is>
          <t>Pedal Power Loughborough</t>
        </is>
      </c>
      <c r="D148" t="inlineStr">
        <is>
          <t>68</t>
        </is>
      </c>
      <c r="E148">
        <f>HYPERLINK("https://www.britishcycling.org.uk/points?person_id=47132&amp;year=2021&amp;type=national&amp;d=6","Results")</f>
        <v/>
      </c>
    </row>
    <row r="149">
      <c r="A149" t="inlineStr">
        <is>
          <t>148</t>
        </is>
      </c>
      <c r="B149" t="inlineStr">
        <is>
          <t>Leon Field</t>
        </is>
      </c>
      <c r="C149" t="inlineStr">
        <is>
          <t>CC Giro</t>
        </is>
      </c>
      <c r="D149" t="inlineStr">
        <is>
          <t>68</t>
        </is>
      </c>
      <c r="E149">
        <f>HYPERLINK("https://www.britishcycling.org.uk/points?person_id=487817&amp;year=2021&amp;type=national&amp;d=6","Results")</f>
        <v/>
      </c>
    </row>
    <row r="150">
      <c r="A150" t="inlineStr">
        <is>
          <t>149</t>
        </is>
      </c>
      <c r="B150" t="inlineStr">
        <is>
          <t>John Blunsdon</t>
        </is>
      </c>
      <c r="C150" t="inlineStr">
        <is>
          <t>Deeside Thistle CC</t>
        </is>
      </c>
      <c r="D150" t="inlineStr">
        <is>
          <t>66</t>
        </is>
      </c>
      <c r="E150">
        <f>HYPERLINK("https://www.britishcycling.org.uk/points?person_id=62127&amp;year=2021&amp;type=national&amp;d=6","Results")</f>
        <v/>
      </c>
    </row>
    <row r="151">
      <c r="A151" t="inlineStr">
        <is>
          <t>150</t>
        </is>
      </c>
      <c r="B151" t="inlineStr">
        <is>
          <t>Steve Coombs</t>
        </is>
      </c>
      <c r="C151" t="inlineStr">
        <is>
          <t>Rockingham Forest Whls</t>
        </is>
      </c>
      <c r="D151" t="inlineStr">
        <is>
          <t>66</t>
        </is>
      </c>
      <c r="E151">
        <f>HYPERLINK("https://www.britishcycling.org.uk/points?person_id=730592&amp;year=2021&amp;type=national&amp;d=6","Results")</f>
        <v/>
      </c>
    </row>
    <row r="152">
      <c r="A152" t="inlineStr">
        <is>
          <t>151</t>
        </is>
      </c>
      <c r="B152" t="inlineStr">
        <is>
          <t>David Jennaway</t>
        </is>
      </c>
      <c r="C152" t="inlineStr"/>
      <c r="D152" t="inlineStr">
        <is>
          <t>66</t>
        </is>
      </c>
      <c r="E152">
        <f>HYPERLINK("https://www.britishcycling.org.uk/points?person_id=101067&amp;year=2021&amp;type=national&amp;d=6","Results")</f>
        <v/>
      </c>
    </row>
    <row r="153">
      <c r="A153" t="inlineStr">
        <is>
          <t>152</t>
        </is>
      </c>
      <c r="B153" t="inlineStr">
        <is>
          <t>Raymond Turner</t>
        </is>
      </c>
      <c r="C153" t="inlineStr"/>
      <c r="D153" t="inlineStr">
        <is>
          <t>66</t>
        </is>
      </c>
      <c r="E153">
        <f>HYPERLINK("https://www.britishcycling.org.uk/points?person_id=49735&amp;year=2021&amp;type=national&amp;d=6","Results")</f>
        <v/>
      </c>
    </row>
    <row r="154">
      <c r="A154" t="inlineStr">
        <is>
          <t>153</t>
        </is>
      </c>
      <c r="B154" t="inlineStr">
        <is>
          <t>Dominic Watts</t>
        </is>
      </c>
      <c r="C154" t="inlineStr">
        <is>
          <t>Bolsover &amp; District Cycling Club</t>
        </is>
      </c>
      <c r="D154" t="inlineStr">
        <is>
          <t>66</t>
        </is>
      </c>
      <c r="E154">
        <f>HYPERLINK("https://www.britishcycling.org.uk/points?person_id=11372&amp;year=2021&amp;type=national&amp;d=6","Results")</f>
        <v/>
      </c>
    </row>
    <row r="155">
      <c r="A155" t="inlineStr">
        <is>
          <t>154</t>
        </is>
      </c>
      <c r="B155" t="inlineStr">
        <is>
          <t>Stuart Gillies</t>
        </is>
      </c>
      <c r="C155" t="inlineStr">
        <is>
          <t>Twickenham CC</t>
        </is>
      </c>
      <c r="D155" t="inlineStr">
        <is>
          <t>65</t>
        </is>
      </c>
      <c r="E155">
        <f>HYPERLINK("https://www.britishcycling.org.uk/points?person_id=341676&amp;year=2021&amp;type=national&amp;d=6","Results")</f>
        <v/>
      </c>
    </row>
    <row r="156">
      <c r="A156" t="inlineStr">
        <is>
          <t>155</t>
        </is>
      </c>
      <c r="B156" t="inlineStr">
        <is>
          <t>David Hobbs</t>
        </is>
      </c>
      <c r="C156" t="inlineStr">
        <is>
          <t>Cotswold Veldrijden</t>
        </is>
      </c>
      <c r="D156" t="inlineStr">
        <is>
          <t>64</t>
        </is>
      </c>
      <c r="E156">
        <f>HYPERLINK("https://www.britishcycling.org.uk/points?person_id=106141&amp;year=2021&amp;type=national&amp;d=6","Results")</f>
        <v/>
      </c>
    </row>
    <row r="157">
      <c r="A157" t="inlineStr">
        <is>
          <t>156</t>
        </is>
      </c>
      <c r="B157" t="inlineStr">
        <is>
          <t>Michael Thomson</t>
        </is>
      </c>
      <c r="C157" t="inlineStr">
        <is>
          <t>Deeside Thistle CC</t>
        </is>
      </c>
      <c r="D157" t="inlineStr">
        <is>
          <t>64</t>
        </is>
      </c>
      <c r="E157">
        <f>HYPERLINK("https://www.britishcycling.org.uk/points?person_id=91594&amp;year=2021&amp;type=national&amp;d=6","Results")</f>
        <v/>
      </c>
    </row>
    <row r="158">
      <c r="A158" t="inlineStr">
        <is>
          <t>157</t>
        </is>
      </c>
      <c r="B158" t="inlineStr">
        <is>
          <t>John Alderman</t>
        </is>
      </c>
      <c r="C158" t="inlineStr">
        <is>
          <t>GS Vecchi</t>
        </is>
      </c>
      <c r="D158" t="inlineStr">
        <is>
          <t>63</t>
        </is>
      </c>
      <c r="E158">
        <f>HYPERLINK("https://www.britishcycling.org.uk/points?person_id=71013&amp;year=2021&amp;type=national&amp;d=6","Results")</f>
        <v/>
      </c>
    </row>
    <row r="159">
      <c r="A159" t="inlineStr">
        <is>
          <t>158</t>
        </is>
      </c>
      <c r="B159" t="inlineStr">
        <is>
          <t>Lloyd Bettles</t>
        </is>
      </c>
      <c r="C159" t="inlineStr">
        <is>
          <t>Numplumz Mountainbikers</t>
        </is>
      </c>
      <c r="D159" t="inlineStr">
        <is>
          <t>63</t>
        </is>
      </c>
      <c r="E159">
        <f>HYPERLINK("https://www.britishcycling.org.uk/points?person_id=3940&amp;year=2021&amp;type=national&amp;d=6","Results")</f>
        <v/>
      </c>
    </row>
    <row r="160">
      <c r="A160" t="inlineStr">
        <is>
          <t>159</t>
        </is>
      </c>
      <c r="B160" t="inlineStr">
        <is>
          <t>David Collins</t>
        </is>
      </c>
      <c r="C160" t="inlineStr">
        <is>
          <t>Here Come The Belgians</t>
        </is>
      </c>
      <c r="D160" t="inlineStr">
        <is>
          <t>63</t>
        </is>
      </c>
      <c r="E160">
        <f>HYPERLINK("https://www.britishcycling.org.uk/points?person_id=533554&amp;year=2021&amp;type=national&amp;d=6","Results")</f>
        <v/>
      </c>
    </row>
    <row r="161">
      <c r="A161" t="inlineStr">
        <is>
          <t>160</t>
        </is>
      </c>
      <c r="B161" t="inlineStr">
        <is>
          <t>Adrian Dalgleish</t>
        </is>
      </c>
      <c r="C161" t="inlineStr">
        <is>
          <t>Lune Racing Cycling Club</t>
        </is>
      </c>
      <c r="D161" t="inlineStr">
        <is>
          <t>63</t>
        </is>
      </c>
      <c r="E161">
        <f>HYPERLINK("https://www.britishcycling.org.uk/points?person_id=6682&amp;year=2021&amp;type=national&amp;d=6","Results")</f>
        <v/>
      </c>
    </row>
    <row r="162">
      <c r="A162" t="inlineStr">
        <is>
          <t>161</t>
        </is>
      </c>
      <c r="B162" t="inlineStr">
        <is>
          <t>Christopher Green</t>
        </is>
      </c>
      <c r="C162" t="inlineStr">
        <is>
          <t>Matlock CC</t>
        </is>
      </c>
      <c r="D162" t="inlineStr">
        <is>
          <t>62</t>
        </is>
      </c>
      <c r="E162">
        <f>HYPERLINK("https://www.britishcycling.org.uk/points?person_id=41394&amp;year=2021&amp;type=national&amp;d=6","Results")</f>
        <v/>
      </c>
    </row>
    <row r="163">
      <c r="A163" t="inlineStr">
        <is>
          <t>162</t>
        </is>
      </c>
      <c r="B163" t="inlineStr">
        <is>
          <t>Craig Kidd</t>
        </is>
      </c>
      <c r="C163" t="inlineStr">
        <is>
          <t>Forth Valley Velo</t>
        </is>
      </c>
      <c r="D163" t="inlineStr">
        <is>
          <t>62</t>
        </is>
      </c>
      <c r="E163">
        <f>HYPERLINK("https://www.britishcycling.org.uk/points?person_id=209224&amp;year=2021&amp;type=national&amp;d=6","Results")</f>
        <v/>
      </c>
    </row>
    <row r="164">
      <c r="A164" t="inlineStr">
        <is>
          <t>163</t>
        </is>
      </c>
      <c r="B164" t="inlineStr">
        <is>
          <t>Barry McGuire</t>
        </is>
      </c>
      <c r="C164" t="inlineStr">
        <is>
          <t>Leslie Bike Shop-Bikers Boutique</t>
        </is>
      </c>
      <c r="D164" t="inlineStr">
        <is>
          <t>60</t>
        </is>
      </c>
      <c r="E164">
        <f>HYPERLINK("https://www.britishcycling.org.uk/points?person_id=180553&amp;year=2021&amp;type=national&amp;d=6","Results")</f>
        <v/>
      </c>
    </row>
    <row r="165">
      <c r="A165" t="inlineStr">
        <is>
          <t>164</t>
        </is>
      </c>
      <c r="B165" t="inlineStr">
        <is>
          <t>Paul Steadman</t>
        </is>
      </c>
      <c r="C165" t="inlineStr">
        <is>
          <t>South Shields Velo Cycling Club</t>
        </is>
      </c>
      <c r="D165" t="inlineStr">
        <is>
          <t>60</t>
        </is>
      </c>
      <c r="E165">
        <f>HYPERLINK("https://www.britishcycling.org.uk/points?person_id=172572&amp;year=2021&amp;type=national&amp;d=6","Results")</f>
        <v/>
      </c>
    </row>
    <row r="166">
      <c r="A166" t="inlineStr">
        <is>
          <t>165</t>
        </is>
      </c>
      <c r="B166" t="inlineStr">
        <is>
          <t>Mark Vooght</t>
        </is>
      </c>
      <c r="C166" t="inlineStr">
        <is>
          <t>Stevenage CC</t>
        </is>
      </c>
      <c r="D166" t="inlineStr">
        <is>
          <t>60</t>
        </is>
      </c>
      <c r="E166">
        <f>HYPERLINK("https://www.britishcycling.org.uk/points?person_id=174829&amp;year=2021&amp;type=national&amp;d=6","Results")</f>
        <v/>
      </c>
    </row>
    <row r="167">
      <c r="A167" t="inlineStr">
        <is>
          <t>166</t>
        </is>
      </c>
      <c r="B167" t="inlineStr">
        <is>
          <t>Nik Allen</t>
        </is>
      </c>
      <c r="C167" t="inlineStr">
        <is>
          <t>Team TMC - Strada Wheels</t>
        </is>
      </c>
      <c r="D167" t="inlineStr">
        <is>
          <t>58</t>
        </is>
      </c>
      <c r="E167">
        <f>HYPERLINK("https://www.britishcycling.org.uk/points?person_id=684866&amp;year=2021&amp;type=national&amp;d=6","Results")</f>
        <v/>
      </c>
    </row>
    <row r="168">
      <c r="A168" t="inlineStr">
        <is>
          <t>167</t>
        </is>
      </c>
      <c r="B168" t="inlineStr">
        <is>
          <t>Peter Davies</t>
        </is>
      </c>
      <c r="C168" t="inlineStr">
        <is>
          <t>Bynea CC</t>
        </is>
      </c>
      <c r="D168" t="inlineStr">
        <is>
          <t>58</t>
        </is>
      </c>
      <c r="E168">
        <f>HYPERLINK("https://www.britishcycling.org.uk/points?person_id=646719&amp;year=2021&amp;type=national&amp;d=6","Results")</f>
        <v/>
      </c>
    </row>
    <row r="169">
      <c r="A169" t="inlineStr">
        <is>
          <t>168</t>
        </is>
      </c>
      <c r="B169" t="inlineStr">
        <is>
          <t>Gary Webber</t>
        </is>
      </c>
      <c r="C169" t="inlineStr">
        <is>
          <t>Taw Velo</t>
        </is>
      </c>
      <c r="D169" t="inlineStr">
        <is>
          <t>57</t>
        </is>
      </c>
      <c r="E169">
        <f>HYPERLINK("https://www.britishcycling.org.uk/points?person_id=516449&amp;year=2021&amp;type=national&amp;d=6","Results")</f>
        <v/>
      </c>
    </row>
    <row r="170">
      <c r="A170" t="inlineStr">
        <is>
          <t>169</t>
        </is>
      </c>
      <c r="B170" t="inlineStr">
        <is>
          <t>Andy Collins</t>
        </is>
      </c>
      <c r="C170" t="inlineStr">
        <is>
          <t>Mid Shropshire Wheelers</t>
        </is>
      </c>
      <c r="D170" t="inlineStr">
        <is>
          <t>56</t>
        </is>
      </c>
      <c r="E170">
        <f>HYPERLINK("https://www.britishcycling.org.uk/points?person_id=416383&amp;year=2021&amp;type=national&amp;d=6","Results")</f>
        <v/>
      </c>
    </row>
    <row r="171">
      <c r="A171" t="inlineStr">
        <is>
          <t>170</t>
        </is>
      </c>
      <c r="B171" t="inlineStr">
        <is>
          <t>Dermot Mckee</t>
        </is>
      </c>
      <c r="C171" t="inlineStr">
        <is>
          <t>Bronte Wheelers - Neophix Eng</t>
        </is>
      </c>
      <c r="D171" t="inlineStr">
        <is>
          <t>56</t>
        </is>
      </c>
      <c r="E171">
        <f>HYPERLINK("https://www.britishcycling.org.uk/points?person_id=33380&amp;year=2021&amp;type=national&amp;d=6","Results")</f>
        <v/>
      </c>
    </row>
    <row r="172">
      <c r="A172" t="inlineStr">
        <is>
          <t>171</t>
        </is>
      </c>
      <c r="B172" t="inlineStr">
        <is>
          <t>James Brown</t>
        </is>
      </c>
      <c r="C172" t="inlineStr">
        <is>
          <t>VC Deal</t>
        </is>
      </c>
      <c r="D172" t="inlineStr">
        <is>
          <t>55</t>
        </is>
      </c>
      <c r="E172">
        <f>HYPERLINK("https://www.britishcycling.org.uk/points?person_id=242417&amp;year=2021&amp;type=national&amp;d=6","Results")</f>
        <v/>
      </c>
    </row>
    <row r="173">
      <c r="A173" t="inlineStr">
        <is>
          <t>172</t>
        </is>
      </c>
      <c r="B173" t="inlineStr">
        <is>
          <t>Mark Remon</t>
        </is>
      </c>
      <c r="C173" t="inlineStr">
        <is>
          <t>Dyson Cycles</t>
        </is>
      </c>
      <c r="D173" t="inlineStr">
        <is>
          <t>55</t>
        </is>
      </c>
      <c r="E173">
        <f>HYPERLINK("https://www.britishcycling.org.uk/points?person_id=218689&amp;year=2021&amp;type=national&amp;d=6","Results")</f>
        <v/>
      </c>
    </row>
    <row r="174">
      <c r="A174" t="inlineStr">
        <is>
          <t>173</t>
        </is>
      </c>
      <c r="B174" t="inlineStr">
        <is>
          <t>Andrew Cracknell</t>
        </is>
      </c>
      <c r="C174" t="inlineStr">
        <is>
          <t>Pedalon.co.uk</t>
        </is>
      </c>
      <c r="D174" t="inlineStr">
        <is>
          <t>54</t>
        </is>
      </c>
      <c r="E174">
        <f>HYPERLINK("https://www.britishcycling.org.uk/points?person_id=47789&amp;year=2021&amp;type=national&amp;d=6","Results")</f>
        <v/>
      </c>
    </row>
    <row r="175">
      <c r="A175" t="inlineStr">
        <is>
          <t>174</t>
        </is>
      </c>
      <c r="B175" t="inlineStr">
        <is>
          <t>Damien Slorach</t>
        </is>
      </c>
      <c r="C175" t="inlineStr">
        <is>
          <t>Leslie Bike Shop-Bikers Boutique</t>
        </is>
      </c>
      <c r="D175" t="inlineStr">
        <is>
          <t>54</t>
        </is>
      </c>
      <c r="E175">
        <f>HYPERLINK("https://www.britishcycling.org.uk/points?person_id=19007&amp;year=2021&amp;type=national&amp;d=6","Results")</f>
        <v/>
      </c>
    </row>
    <row r="176">
      <c r="A176" t="inlineStr">
        <is>
          <t>175</t>
        </is>
      </c>
      <c r="B176" t="inlineStr">
        <is>
          <t>Simon Croft</t>
        </is>
      </c>
      <c r="C176" t="inlineStr">
        <is>
          <t>Ellmore Factory Racing</t>
        </is>
      </c>
      <c r="D176" t="inlineStr">
        <is>
          <t>53</t>
        </is>
      </c>
      <c r="E176">
        <f>HYPERLINK("https://www.britishcycling.org.uk/points?person_id=191120&amp;year=2021&amp;type=national&amp;d=6","Results")</f>
        <v/>
      </c>
    </row>
    <row r="177">
      <c r="A177" t="inlineStr">
        <is>
          <t>176</t>
        </is>
      </c>
      <c r="B177" t="inlineStr">
        <is>
          <t>Glenn McMenamin</t>
        </is>
      </c>
      <c r="C177" t="inlineStr">
        <is>
          <t>Equipe Velo</t>
        </is>
      </c>
      <c r="D177" t="inlineStr">
        <is>
          <t>53</t>
        </is>
      </c>
      <c r="E177">
        <f>HYPERLINK("https://www.britishcycling.org.uk/points?person_id=72436&amp;year=2021&amp;type=national&amp;d=6","Results")</f>
        <v/>
      </c>
    </row>
    <row r="178">
      <c r="A178" t="inlineStr">
        <is>
          <t>177</t>
        </is>
      </c>
      <c r="B178" t="inlineStr">
        <is>
          <t>Scott Heyhoe</t>
        </is>
      </c>
      <c r="C178" t="inlineStr">
        <is>
          <t>Handsling Racing</t>
        </is>
      </c>
      <c r="D178" t="inlineStr">
        <is>
          <t>52</t>
        </is>
      </c>
      <c r="E178">
        <f>HYPERLINK("https://www.britishcycling.org.uk/points?person_id=199561&amp;year=2021&amp;type=national&amp;d=6","Results")</f>
        <v/>
      </c>
    </row>
    <row r="179">
      <c r="A179" t="inlineStr">
        <is>
          <t>178</t>
        </is>
      </c>
      <c r="B179" t="inlineStr">
        <is>
          <t>Kenny Kentley</t>
        </is>
      </c>
      <c r="C179" t="inlineStr">
        <is>
          <t>Velocity 44 RT</t>
        </is>
      </c>
      <c r="D179" t="inlineStr">
        <is>
          <t>52</t>
        </is>
      </c>
      <c r="E179">
        <f>HYPERLINK("https://www.britishcycling.org.uk/points?person_id=5610&amp;year=2021&amp;type=national&amp;d=6","Results")</f>
        <v/>
      </c>
    </row>
    <row r="180">
      <c r="A180" t="inlineStr">
        <is>
          <t>179</t>
        </is>
      </c>
      <c r="B180" t="inlineStr">
        <is>
          <t>Wayne Jones</t>
        </is>
      </c>
      <c r="C180" t="inlineStr">
        <is>
          <t>Stratford CC</t>
        </is>
      </c>
      <c r="D180" t="inlineStr">
        <is>
          <t>51</t>
        </is>
      </c>
      <c r="E180">
        <f>HYPERLINK("https://www.britishcycling.org.uk/points?person_id=49822&amp;year=2021&amp;type=national&amp;d=6","Results")</f>
        <v/>
      </c>
    </row>
    <row r="181">
      <c r="A181" t="inlineStr">
        <is>
          <t>180</t>
        </is>
      </c>
      <c r="B181" t="inlineStr">
        <is>
          <t>Keith Law</t>
        </is>
      </c>
      <c r="C181" t="inlineStr">
        <is>
          <t>Lakes RC</t>
        </is>
      </c>
      <c r="D181" t="inlineStr">
        <is>
          <t>51</t>
        </is>
      </c>
      <c r="E181">
        <f>HYPERLINK("https://www.britishcycling.org.uk/points?person_id=456234&amp;year=2021&amp;type=national&amp;d=6","Results")</f>
        <v/>
      </c>
    </row>
    <row r="182">
      <c r="A182" t="inlineStr">
        <is>
          <t>181</t>
        </is>
      </c>
      <c r="B182" t="inlineStr">
        <is>
          <t>Robert Kennison</t>
        </is>
      </c>
      <c r="C182" t="inlineStr">
        <is>
          <t>Medway Velo</t>
        </is>
      </c>
      <c r="D182" t="inlineStr">
        <is>
          <t>50</t>
        </is>
      </c>
      <c r="E182">
        <f>HYPERLINK("https://www.britishcycling.org.uk/points?person_id=27468&amp;year=2021&amp;type=national&amp;d=6","Results")</f>
        <v/>
      </c>
    </row>
    <row r="183">
      <c r="A183" t="inlineStr">
        <is>
          <t>182</t>
        </is>
      </c>
      <c r="B183" t="inlineStr">
        <is>
          <t>Jeff Roberts</t>
        </is>
      </c>
      <c r="C183" t="inlineStr">
        <is>
          <t>High Wycombe Cycling Club</t>
        </is>
      </c>
      <c r="D183" t="inlineStr">
        <is>
          <t>50</t>
        </is>
      </c>
      <c r="E183">
        <f>HYPERLINK("https://www.britishcycling.org.uk/points?person_id=127512&amp;year=2021&amp;type=national&amp;d=6","Results")</f>
        <v/>
      </c>
    </row>
    <row r="184">
      <c r="A184" t="inlineStr">
        <is>
          <t>183</t>
        </is>
      </c>
      <c r="B184" t="inlineStr">
        <is>
          <t>Jeremy Shotter</t>
        </is>
      </c>
      <c r="C184" t="inlineStr">
        <is>
          <t>Brighton Excelsior CC</t>
        </is>
      </c>
      <c r="D184" t="inlineStr">
        <is>
          <t>50</t>
        </is>
      </c>
      <c r="E184">
        <f>HYPERLINK("https://www.britishcycling.org.uk/points?person_id=239251&amp;year=2021&amp;type=national&amp;d=6","Results")</f>
        <v/>
      </c>
    </row>
    <row r="185">
      <c r="A185" t="inlineStr">
        <is>
          <t>184</t>
        </is>
      </c>
      <c r="B185" t="inlineStr">
        <is>
          <t>Richard Taylor</t>
        </is>
      </c>
      <c r="C185" t="inlineStr">
        <is>
          <t>Exeter Wheelers</t>
        </is>
      </c>
      <c r="D185" t="inlineStr">
        <is>
          <t>50</t>
        </is>
      </c>
      <c r="E185">
        <f>HYPERLINK("https://www.britishcycling.org.uk/points?person_id=70789&amp;year=2021&amp;type=national&amp;d=6","Results")</f>
        <v/>
      </c>
    </row>
    <row r="186">
      <c r="A186" t="inlineStr">
        <is>
          <t>185</t>
        </is>
      </c>
      <c r="B186" t="inlineStr">
        <is>
          <t>John Wood</t>
        </is>
      </c>
      <c r="C186" t="inlineStr">
        <is>
          <t>www.cyclocrossrider.com</t>
        </is>
      </c>
      <c r="D186" t="inlineStr">
        <is>
          <t>50</t>
        </is>
      </c>
      <c r="E186">
        <f>HYPERLINK("https://www.britishcycling.org.uk/points?person_id=41142&amp;year=2021&amp;type=national&amp;d=6","Results")</f>
        <v/>
      </c>
    </row>
    <row r="187">
      <c r="A187" t="inlineStr">
        <is>
          <t>186</t>
        </is>
      </c>
      <c r="B187" t="inlineStr">
        <is>
          <t>David Jackson</t>
        </is>
      </c>
      <c r="C187" t="inlineStr">
        <is>
          <t>Chorley Cycling Club</t>
        </is>
      </c>
      <c r="D187" t="inlineStr">
        <is>
          <t>48</t>
        </is>
      </c>
      <c r="E187">
        <f>HYPERLINK("https://www.britishcycling.org.uk/points?person_id=210842&amp;year=2021&amp;type=national&amp;d=6","Results")</f>
        <v/>
      </c>
    </row>
    <row r="188">
      <c r="A188" t="inlineStr">
        <is>
          <t>187</t>
        </is>
      </c>
      <c r="B188" t="inlineStr">
        <is>
          <t>Alan Green</t>
        </is>
      </c>
      <c r="C188" t="inlineStr">
        <is>
          <t>Morvelo Magspeed Racing</t>
        </is>
      </c>
      <c r="D188" t="inlineStr">
        <is>
          <t>47</t>
        </is>
      </c>
      <c r="E188">
        <f>HYPERLINK("https://www.britishcycling.org.uk/points?person_id=14900&amp;year=2021&amp;type=national&amp;d=6","Results")</f>
        <v/>
      </c>
    </row>
    <row r="189">
      <c r="A189" t="inlineStr">
        <is>
          <t>188</t>
        </is>
      </c>
      <c r="B189" t="inlineStr">
        <is>
          <t>Paul Hudson</t>
        </is>
      </c>
      <c r="C189" t="inlineStr">
        <is>
          <t>SprocketsUK</t>
        </is>
      </c>
      <c r="D189" t="inlineStr">
        <is>
          <t>46</t>
        </is>
      </c>
      <c r="E189">
        <f>HYPERLINK("https://www.britishcycling.org.uk/points?person_id=77617&amp;year=2021&amp;type=national&amp;d=6","Results")</f>
        <v/>
      </c>
    </row>
    <row r="190">
      <c r="A190" t="inlineStr">
        <is>
          <t>189</t>
        </is>
      </c>
      <c r="B190" t="inlineStr">
        <is>
          <t>Darren Robson</t>
        </is>
      </c>
      <c r="C190" t="inlineStr">
        <is>
          <t>North Tyneside Riders</t>
        </is>
      </c>
      <c r="D190" t="inlineStr">
        <is>
          <t>46</t>
        </is>
      </c>
      <c r="E190">
        <f>HYPERLINK("https://www.britishcycling.org.uk/points?person_id=408580&amp;year=2021&amp;type=national&amp;d=6","Results")</f>
        <v/>
      </c>
    </row>
    <row r="191">
      <c r="A191" t="inlineStr">
        <is>
          <t>190</t>
        </is>
      </c>
      <c r="B191" t="inlineStr">
        <is>
          <t>Darren Haynes</t>
        </is>
      </c>
      <c r="C191" t="inlineStr">
        <is>
          <t>Lewes Wanderers CC</t>
        </is>
      </c>
      <c r="D191" t="inlineStr">
        <is>
          <t>45</t>
        </is>
      </c>
      <c r="E191">
        <f>HYPERLINK("https://www.britishcycling.org.uk/points?person_id=211927&amp;year=2021&amp;type=national&amp;d=6","Results")</f>
        <v/>
      </c>
    </row>
    <row r="192">
      <c r="A192" t="inlineStr">
        <is>
          <t>191</t>
        </is>
      </c>
      <c r="B192" t="inlineStr">
        <is>
          <t>Nicholas Helsing</t>
        </is>
      </c>
      <c r="C192" t="inlineStr">
        <is>
          <t>Exeter Wheelers</t>
        </is>
      </c>
      <c r="D192" t="inlineStr">
        <is>
          <t>45</t>
        </is>
      </c>
      <c r="E192">
        <f>HYPERLINK("https://www.britishcycling.org.uk/points?person_id=124493&amp;year=2021&amp;type=national&amp;d=6","Results")</f>
        <v/>
      </c>
    </row>
    <row r="193">
      <c r="A193" t="inlineStr">
        <is>
          <t>192</t>
        </is>
      </c>
      <c r="B193" t="inlineStr">
        <is>
          <t>Joseph Heywood</t>
        </is>
      </c>
      <c r="C193" t="inlineStr">
        <is>
          <t>Horwich CC</t>
        </is>
      </c>
      <c r="D193" t="inlineStr">
        <is>
          <t>45</t>
        </is>
      </c>
      <c r="E193">
        <f>HYPERLINK("https://www.britishcycling.org.uk/points?person_id=73634&amp;year=2021&amp;type=national&amp;d=6","Results")</f>
        <v/>
      </c>
    </row>
    <row r="194">
      <c r="A194" t="inlineStr">
        <is>
          <t>193</t>
        </is>
      </c>
      <c r="B194" t="inlineStr">
        <is>
          <t>Matthew Bullock</t>
        </is>
      </c>
      <c r="C194" t="inlineStr">
        <is>
          <t>Aylsham Road Club</t>
        </is>
      </c>
      <c r="D194" t="inlineStr">
        <is>
          <t>44</t>
        </is>
      </c>
      <c r="E194">
        <f>HYPERLINK("https://www.britishcycling.org.uk/points?person_id=22600&amp;year=2021&amp;type=national&amp;d=6","Results")</f>
        <v/>
      </c>
    </row>
    <row r="195">
      <c r="A195" t="inlineStr">
        <is>
          <t>194</t>
        </is>
      </c>
      <c r="B195" t="inlineStr">
        <is>
          <t>Bruce Mackie</t>
        </is>
      </c>
      <c r="C195" t="inlineStr">
        <is>
          <t>Lee Valley Youth Cycling Club</t>
        </is>
      </c>
      <c r="D195" t="inlineStr">
        <is>
          <t>44</t>
        </is>
      </c>
      <c r="E195">
        <f>HYPERLINK("https://www.britishcycling.org.uk/points?person_id=49629&amp;year=2021&amp;type=national&amp;d=6","Results")</f>
        <v/>
      </c>
    </row>
    <row r="196">
      <c r="A196" t="inlineStr">
        <is>
          <t>195</t>
        </is>
      </c>
      <c r="B196" t="inlineStr">
        <is>
          <t>Keith Ashbridge</t>
        </is>
      </c>
      <c r="C196" t="inlineStr">
        <is>
          <t>Velo Club Cumbria</t>
        </is>
      </c>
      <c r="D196" t="inlineStr">
        <is>
          <t>43</t>
        </is>
      </c>
      <c r="E196">
        <f>HYPERLINK("https://www.britishcycling.org.uk/points?person_id=101426&amp;year=2021&amp;type=national&amp;d=6","Results")</f>
        <v/>
      </c>
    </row>
    <row r="197">
      <c r="A197" t="inlineStr">
        <is>
          <t>196</t>
        </is>
      </c>
      <c r="B197" t="inlineStr">
        <is>
          <t>Roy Jones</t>
        </is>
      </c>
      <c r="C197" t="inlineStr">
        <is>
          <t>Velo Club Montpellier</t>
        </is>
      </c>
      <c r="D197" t="inlineStr">
        <is>
          <t>43</t>
        </is>
      </c>
      <c r="E197">
        <f>HYPERLINK("https://www.britishcycling.org.uk/points?person_id=6532&amp;year=2021&amp;type=national&amp;d=6","Results")</f>
        <v/>
      </c>
    </row>
    <row r="198">
      <c r="A198" t="inlineStr">
        <is>
          <t>197</t>
        </is>
      </c>
      <c r="B198" t="inlineStr">
        <is>
          <t>Martin Page</t>
        </is>
      </c>
      <c r="C198" t="inlineStr">
        <is>
          <t>Ipswich Bicycle Club</t>
        </is>
      </c>
      <c r="D198" t="inlineStr">
        <is>
          <t>43</t>
        </is>
      </c>
      <c r="E198">
        <f>HYPERLINK("https://www.britishcycling.org.uk/points?person_id=136645&amp;year=2021&amp;type=national&amp;d=6","Results")</f>
        <v/>
      </c>
    </row>
    <row r="199">
      <c r="A199" t="inlineStr">
        <is>
          <t>198</t>
        </is>
      </c>
      <c r="B199" t="inlineStr">
        <is>
          <t>Paul Wilson</t>
        </is>
      </c>
      <c r="C199" t="inlineStr">
        <is>
          <t>Huddersfield Star Wheelers</t>
        </is>
      </c>
      <c r="D199" t="inlineStr">
        <is>
          <t>43</t>
        </is>
      </c>
      <c r="E199">
        <f>HYPERLINK("https://www.britishcycling.org.uk/points?person_id=347107&amp;year=2021&amp;type=national&amp;d=6","Results")</f>
        <v/>
      </c>
    </row>
    <row r="200">
      <c r="A200" t="inlineStr">
        <is>
          <t>199</t>
        </is>
      </c>
      <c r="B200" t="inlineStr">
        <is>
          <t>Peter Farrell</t>
        </is>
      </c>
      <c r="C200" t="inlineStr">
        <is>
          <t>East Coast Riders</t>
        </is>
      </c>
      <c r="D200" t="inlineStr">
        <is>
          <t>42</t>
        </is>
      </c>
      <c r="E200">
        <f>HYPERLINK("https://www.britishcycling.org.uk/points?person_id=198834&amp;year=2021&amp;type=national&amp;d=6","Results")</f>
        <v/>
      </c>
    </row>
    <row r="201">
      <c r="A201" t="inlineStr">
        <is>
          <t>200</t>
        </is>
      </c>
      <c r="B201" t="inlineStr">
        <is>
          <t>Gareth Richards</t>
        </is>
      </c>
      <c r="C201" t="inlineStr">
        <is>
          <t>Spalding Cycling Club</t>
        </is>
      </c>
      <c r="D201" t="inlineStr">
        <is>
          <t>42</t>
        </is>
      </c>
      <c r="E201">
        <f>HYPERLINK("https://www.britishcycling.org.uk/points?person_id=129116&amp;year=2021&amp;type=national&amp;d=6","Results")</f>
        <v/>
      </c>
    </row>
    <row r="202">
      <c r="A202" t="inlineStr">
        <is>
          <t>201</t>
        </is>
      </c>
      <c r="B202" t="inlineStr">
        <is>
          <t>Paul Crapper</t>
        </is>
      </c>
      <c r="C202" t="inlineStr">
        <is>
          <t>Abergavenny Road Club</t>
        </is>
      </c>
      <c r="D202" t="inlineStr">
        <is>
          <t>41</t>
        </is>
      </c>
      <c r="E202">
        <f>HYPERLINK("https://www.britishcycling.org.uk/points?person_id=271723&amp;year=2021&amp;type=national&amp;d=6","Results")</f>
        <v/>
      </c>
    </row>
    <row r="203">
      <c r="A203" t="inlineStr">
        <is>
          <t>202</t>
        </is>
      </c>
      <c r="B203" t="inlineStr">
        <is>
          <t>Ben Bardsley</t>
        </is>
      </c>
      <c r="C203" t="inlineStr">
        <is>
          <t>Cyclewise Academy</t>
        </is>
      </c>
      <c r="D203" t="inlineStr">
        <is>
          <t>40</t>
        </is>
      </c>
      <c r="E203">
        <f>HYPERLINK("https://www.britishcycling.org.uk/points?person_id=310762&amp;year=2021&amp;type=national&amp;d=6","Results")</f>
        <v/>
      </c>
    </row>
    <row r="204">
      <c r="A204" t="inlineStr">
        <is>
          <t>203</t>
        </is>
      </c>
      <c r="B204" t="inlineStr">
        <is>
          <t>Lewis King</t>
        </is>
      </c>
      <c r="C204" t="inlineStr"/>
      <c r="D204" t="inlineStr">
        <is>
          <t>40</t>
        </is>
      </c>
      <c r="E204">
        <f>HYPERLINK("https://www.britishcycling.org.uk/points?person_id=79108&amp;year=2021&amp;type=national&amp;d=6","Results")</f>
        <v/>
      </c>
    </row>
    <row r="205">
      <c r="A205" t="inlineStr">
        <is>
          <t>204</t>
        </is>
      </c>
      <c r="B205" t="inlineStr">
        <is>
          <t>Simon Nurse</t>
        </is>
      </c>
      <c r="C205" t="inlineStr">
        <is>
          <t>Cardiff JIF</t>
        </is>
      </c>
      <c r="D205" t="inlineStr">
        <is>
          <t>40</t>
        </is>
      </c>
      <c r="E205">
        <f>HYPERLINK("https://www.britishcycling.org.uk/points?person_id=60415&amp;year=2021&amp;type=national&amp;d=6","Results")</f>
        <v/>
      </c>
    </row>
    <row r="206">
      <c r="A206" t="inlineStr">
        <is>
          <t>205</t>
        </is>
      </c>
      <c r="B206" t="inlineStr">
        <is>
          <t>Tony Donaldson</t>
        </is>
      </c>
      <c r="C206" t="inlineStr">
        <is>
          <t>Ilkeston Cycle Club</t>
        </is>
      </c>
      <c r="D206" t="inlineStr">
        <is>
          <t>39</t>
        </is>
      </c>
      <c r="E206">
        <f>HYPERLINK("https://www.britishcycling.org.uk/points?person_id=395318&amp;year=2021&amp;type=national&amp;d=6","Results")</f>
        <v/>
      </c>
    </row>
    <row r="207">
      <c r="A207" t="inlineStr">
        <is>
          <t>206</t>
        </is>
      </c>
      <c r="B207" t="inlineStr">
        <is>
          <t>Richard Collins</t>
        </is>
      </c>
      <c r="C207" t="inlineStr">
        <is>
          <t>Imperial Racing Team</t>
        </is>
      </c>
      <c r="D207" t="inlineStr">
        <is>
          <t>38</t>
        </is>
      </c>
      <c r="E207">
        <f>HYPERLINK("https://www.britishcycling.org.uk/points?person_id=2369&amp;year=2021&amp;type=national&amp;d=6","Results")</f>
        <v/>
      </c>
    </row>
    <row r="208">
      <c r="A208" t="inlineStr">
        <is>
          <t>207</t>
        </is>
      </c>
      <c r="B208" t="inlineStr">
        <is>
          <t>Rich Cutsforth</t>
        </is>
      </c>
      <c r="C208" t="inlineStr">
        <is>
          <t>Wilsons Wheels Race Team</t>
        </is>
      </c>
      <c r="D208" t="inlineStr">
        <is>
          <t>38</t>
        </is>
      </c>
      <c r="E208">
        <f>HYPERLINK("https://www.britishcycling.org.uk/points?person_id=134774&amp;year=2021&amp;type=national&amp;d=6","Results")</f>
        <v/>
      </c>
    </row>
    <row r="209">
      <c r="A209" t="inlineStr">
        <is>
          <t>208</t>
        </is>
      </c>
      <c r="B209" t="inlineStr">
        <is>
          <t>Michael Nally</t>
        </is>
      </c>
      <c r="C209" t="inlineStr">
        <is>
          <t>Dunfermline CC</t>
        </is>
      </c>
      <c r="D209" t="inlineStr">
        <is>
          <t>38</t>
        </is>
      </c>
      <c r="E209">
        <f>HYPERLINK("https://www.britishcycling.org.uk/points?person_id=64211&amp;year=2021&amp;type=national&amp;d=6","Results")</f>
        <v/>
      </c>
    </row>
    <row r="210">
      <c r="A210" t="inlineStr">
        <is>
          <t>209</t>
        </is>
      </c>
      <c r="B210" t="inlineStr">
        <is>
          <t>Richard Gostick</t>
        </is>
      </c>
      <c r="C210" t="inlineStr">
        <is>
          <t>Reading CC</t>
        </is>
      </c>
      <c r="D210" t="inlineStr">
        <is>
          <t>37</t>
        </is>
      </c>
      <c r="E210">
        <f>HYPERLINK("https://www.britishcycling.org.uk/points?person_id=265&amp;year=2021&amp;type=national&amp;d=6","Results")</f>
        <v/>
      </c>
    </row>
    <row r="211">
      <c r="A211" t="inlineStr">
        <is>
          <t>210</t>
        </is>
      </c>
      <c r="B211" t="inlineStr">
        <is>
          <t>Keith Siddle</t>
        </is>
      </c>
      <c r="C211" t="inlineStr">
        <is>
          <t>Reifen Racing</t>
        </is>
      </c>
      <c r="D211" t="inlineStr">
        <is>
          <t>37</t>
        </is>
      </c>
      <c r="E211">
        <f>HYPERLINK("https://www.britishcycling.org.uk/points?person_id=408822&amp;year=2021&amp;type=national&amp;d=6","Results")</f>
        <v/>
      </c>
    </row>
    <row r="212">
      <c r="A212" t="inlineStr">
        <is>
          <t>211</t>
        </is>
      </c>
      <c r="B212" t="inlineStr">
        <is>
          <t>Russell Jones</t>
        </is>
      </c>
      <c r="C212" t="inlineStr">
        <is>
          <t>Hackney GT</t>
        </is>
      </c>
      <c r="D212" t="inlineStr">
        <is>
          <t>36</t>
        </is>
      </c>
      <c r="E212">
        <f>HYPERLINK("https://www.britishcycling.org.uk/points?person_id=105151&amp;year=2021&amp;type=national&amp;d=6","Results")</f>
        <v/>
      </c>
    </row>
    <row r="213">
      <c r="A213" t="inlineStr">
        <is>
          <t>212</t>
        </is>
      </c>
      <c r="B213" t="inlineStr">
        <is>
          <t>Kurt Minter</t>
        </is>
      </c>
      <c r="C213" t="inlineStr"/>
      <c r="D213" t="inlineStr">
        <is>
          <t>36</t>
        </is>
      </c>
      <c r="E213">
        <f>HYPERLINK("https://www.britishcycling.org.uk/points?person_id=190916&amp;year=2021&amp;type=national&amp;d=6","Results")</f>
        <v/>
      </c>
    </row>
    <row r="214">
      <c r="A214" t="inlineStr">
        <is>
          <t>213</t>
        </is>
      </c>
      <c r="B214" t="inlineStr">
        <is>
          <t>Gary Curtis</t>
        </is>
      </c>
      <c r="C214" t="inlineStr">
        <is>
          <t>EpicOrange Race Team</t>
        </is>
      </c>
      <c r="D214" t="inlineStr">
        <is>
          <t>34</t>
        </is>
      </c>
      <c r="E214">
        <f>HYPERLINK("https://www.britishcycling.org.uk/points?person_id=334555&amp;year=2021&amp;type=national&amp;d=6","Results")</f>
        <v/>
      </c>
    </row>
    <row r="215">
      <c r="A215" t="inlineStr">
        <is>
          <t>214</t>
        </is>
      </c>
      <c r="B215" t="inlineStr">
        <is>
          <t>Kevin Dunster</t>
        </is>
      </c>
      <c r="C215" t="inlineStr">
        <is>
          <t>Brecon Wheelers</t>
        </is>
      </c>
      <c r="D215" t="inlineStr">
        <is>
          <t>34</t>
        </is>
      </c>
      <c r="E215">
        <f>HYPERLINK("https://www.britishcycling.org.uk/points?person_id=108336&amp;year=2021&amp;type=national&amp;d=6","Results")</f>
        <v/>
      </c>
    </row>
    <row r="216">
      <c r="A216" t="inlineStr">
        <is>
          <t>215</t>
        </is>
      </c>
      <c r="B216" t="inlineStr">
        <is>
          <t>Simon Patton</t>
        </is>
      </c>
      <c r="C216" t="inlineStr">
        <is>
          <t>Matlock CC</t>
        </is>
      </c>
      <c r="D216" t="inlineStr">
        <is>
          <t>34</t>
        </is>
      </c>
      <c r="E216">
        <f>HYPERLINK("https://www.britishcycling.org.uk/points?person_id=6251&amp;year=2021&amp;type=national&amp;d=6","Results")</f>
        <v/>
      </c>
    </row>
    <row r="217">
      <c r="A217" t="inlineStr">
        <is>
          <t>216</t>
        </is>
      </c>
      <c r="B217" t="inlineStr">
        <is>
          <t>Gavin Rumbles</t>
        </is>
      </c>
      <c r="C217" t="inlineStr">
        <is>
          <t>CC Luton</t>
        </is>
      </c>
      <c r="D217" t="inlineStr">
        <is>
          <t>34</t>
        </is>
      </c>
      <c r="E217">
        <f>HYPERLINK("https://www.britishcycling.org.uk/points?person_id=79151&amp;year=2021&amp;type=national&amp;d=6","Results")</f>
        <v/>
      </c>
    </row>
    <row r="218">
      <c r="A218" t="inlineStr">
        <is>
          <t>217</t>
        </is>
      </c>
      <c r="B218" t="inlineStr">
        <is>
          <t>Gerard Scott</t>
        </is>
      </c>
      <c r="C218" t="inlineStr">
        <is>
          <t>Royal Leamington Spa CC (RLSCC)</t>
        </is>
      </c>
      <c r="D218" t="inlineStr">
        <is>
          <t>34</t>
        </is>
      </c>
      <c r="E218">
        <f>HYPERLINK("https://www.britishcycling.org.uk/points?person_id=408218&amp;year=2021&amp;type=national&amp;d=6","Results")</f>
        <v/>
      </c>
    </row>
    <row r="219">
      <c r="A219" t="inlineStr">
        <is>
          <t>218</t>
        </is>
      </c>
      <c r="B219" t="inlineStr">
        <is>
          <t>Darren Armstrong</t>
        </is>
      </c>
      <c r="C219" t="inlineStr">
        <is>
          <t>Taw Velo</t>
        </is>
      </c>
      <c r="D219" t="inlineStr">
        <is>
          <t>32</t>
        </is>
      </c>
      <c r="E219">
        <f>HYPERLINK("https://www.britishcycling.org.uk/points?person_id=226574&amp;year=2021&amp;type=national&amp;d=6","Results")</f>
        <v/>
      </c>
    </row>
    <row r="220">
      <c r="A220" t="inlineStr">
        <is>
          <t>219</t>
        </is>
      </c>
      <c r="B220" t="inlineStr">
        <is>
          <t>Stephen Brown</t>
        </is>
      </c>
      <c r="C220" t="inlineStr">
        <is>
          <t>Dream Cycling</t>
        </is>
      </c>
      <c r="D220" t="inlineStr">
        <is>
          <t>32</t>
        </is>
      </c>
      <c r="E220">
        <f>HYPERLINK("https://www.britishcycling.org.uk/points?person_id=106005&amp;year=2021&amp;type=national&amp;d=6","Results")</f>
        <v/>
      </c>
    </row>
    <row r="221">
      <c r="A221" t="inlineStr">
        <is>
          <t>220</t>
        </is>
      </c>
      <c r="B221" t="inlineStr">
        <is>
          <t>Julian Howell</t>
        </is>
      </c>
      <c r="C221" t="inlineStr">
        <is>
          <t>Gala Cycling Club</t>
        </is>
      </c>
      <c r="D221" t="inlineStr">
        <is>
          <t>32</t>
        </is>
      </c>
      <c r="E221">
        <f>HYPERLINK("https://www.britishcycling.org.uk/points?person_id=498930&amp;year=2021&amp;type=national&amp;d=6","Results")</f>
        <v/>
      </c>
    </row>
    <row r="222">
      <c r="A222" t="inlineStr">
        <is>
          <t>221</t>
        </is>
      </c>
      <c r="B222" t="inlineStr">
        <is>
          <t>Phil Kirby</t>
        </is>
      </c>
      <c r="C222" t="inlineStr">
        <is>
          <t>VC Londres</t>
        </is>
      </c>
      <c r="D222" t="inlineStr">
        <is>
          <t>32</t>
        </is>
      </c>
      <c r="E222">
        <f>HYPERLINK("https://www.britishcycling.org.uk/points?person_id=283147&amp;year=2021&amp;type=national&amp;d=6","Results")</f>
        <v/>
      </c>
    </row>
    <row r="223">
      <c r="A223" t="inlineStr">
        <is>
          <t>222</t>
        </is>
      </c>
      <c r="B223" t="inlineStr">
        <is>
          <t>Jonathan Watson</t>
        </is>
      </c>
      <c r="C223" t="inlineStr">
        <is>
          <t>SCOTT Racing</t>
        </is>
      </c>
      <c r="D223" t="inlineStr">
        <is>
          <t>32</t>
        </is>
      </c>
      <c r="E223">
        <f>HYPERLINK("https://www.britishcycling.org.uk/points?person_id=63650&amp;year=2021&amp;type=national&amp;d=6","Results")</f>
        <v/>
      </c>
    </row>
    <row r="224">
      <c r="A224" t="inlineStr">
        <is>
          <t>223</t>
        </is>
      </c>
      <c r="B224" t="inlineStr">
        <is>
          <t>David Garrett</t>
        </is>
      </c>
      <c r="C224" t="inlineStr">
        <is>
          <t>Rugby Velo</t>
        </is>
      </c>
      <c r="D224" t="inlineStr">
        <is>
          <t>31</t>
        </is>
      </c>
      <c r="E224">
        <f>HYPERLINK("https://www.britishcycling.org.uk/points?person_id=51702&amp;year=2021&amp;type=national&amp;d=6","Results")</f>
        <v/>
      </c>
    </row>
    <row r="225">
      <c r="A225" t="inlineStr">
        <is>
          <t>224</t>
        </is>
      </c>
      <c r="B225" t="inlineStr">
        <is>
          <t>Colin Knox</t>
        </is>
      </c>
      <c r="C225" t="inlineStr"/>
      <c r="D225" t="inlineStr">
        <is>
          <t>31</t>
        </is>
      </c>
      <c r="E225">
        <f>HYPERLINK("https://www.britishcycling.org.uk/points?person_id=568076&amp;year=2021&amp;type=national&amp;d=6","Results")</f>
        <v/>
      </c>
    </row>
    <row r="226">
      <c r="A226" t="inlineStr">
        <is>
          <t>225</t>
        </is>
      </c>
      <c r="B226" t="inlineStr">
        <is>
          <t>David Martin</t>
        </is>
      </c>
      <c r="C226" t="inlineStr">
        <is>
          <t>Velo Club Venta</t>
        </is>
      </c>
      <c r="D226" t="inlineStr">
        <is>
          <t>31</t>
        </is>
      </c>
      <c r="E226">
        <f>HYPERLINK("https://www.britishcycling.org.uk/points?person_id=265629&amp;year=2021&amp;type=national&amp;d=6","Results")</f>
        <v/>
      </c>
    </row>
    <row r="227">
      <c r="A227" t="inlineStr">
        <is>
          <t>226</t>
        </is>
      </c>
      <c r="B227" t="inlineStr">
        <is>
          <t>Craig Tabiner</t>
        </is>
      </c>
      <c r="C227" t="inlineStr">
        <is>
          <t>Port Sunlight Whls CC</t>
        </is>
      </c>
      <c r="D227" t="inlineStr">
        <is>
          <t>31</t>
        </is>
      </c>
      <c r="E227">
        <f>HYPERLINK("https://www.britishcycling.org.uk/points?person_id=292995&amp;year=2021&amp;type=national&amp;d=6","Results")</f>
        <v/>
      </c>
    </row>
    <row r="228">
      <c r="A228" t="inlineStr">
        <is>
          <t>227</t>
        </is>
      </c>
      <c r="B228" t="inlineStr">
        <is>
          <t>Richard Binks</t>
        </is>
      </c>
      <c r="C228" t="inlineStr">
        <is>
          <t>Huddersfield Star Wheelers</t>
        </is>
      </c>
      <c r="D228" t="inlineStr">
        <is>
          <t>30</t>
        </is>
      </c>
      <c r="E228">
        <f>HYPERLINK("https://www.britishcycling.org.uk/points?person_id=37568&amp;year=2021&amp;type=national&amp;d=6","Results")</f>
        <v/>
      </c>
    </row>
    <row r="229">
      <c r="A229" t="inlineStr">
        <is>
          <t>228</t>
        </is>
      </c>
      <c r="B229" t="inlineStr">
        <is>
          <t>Jimmy Bringlow</t>
        </is>
      </c>
      <c r="C229" t="inlineStr">
        <is>
          <t>Crawley Wheelers</t>
        </is>
      </c>
      <c r="D229" t="inlineStr">
        <is>
          <t>30</t>
        </is>
      </c>
      <c r="E229">
        <f>HYPERLINK("https://www.britishcycling.org.uk/points?person_id=737995&amp;year=2021&amp;type=national&amp;d=6","Results")</f>
        <v/>
      </c>
    </row>
    <row r="230">
      <c r="A230" t="inlineStr">
        <is>
          <t>229</t>
        </is>
      </c>
      <c r="B230" t="inlineStr">
        <is>
          <t>Tristan Ellis</t>
        </is>
      </c>
      <c r="C230" t="inlineStr">
        <is>
          <t>1st Chard Whls</t>
        </is>
      </c>
      <c r="D230" t="inlineStr">
        <is>
          <t>30</t>
        </is>
      </c>
      <c r="E230">
        <f>HYPERLINK("https://www.britishcycling.org.uk/points?person_id=332310&amp;year=2021&amp;type=national&amp;d=6","Results")</f>
        <v/>
      </c>
    </row>
    <row r="231">
      <c r="A231" t="inlineStr">
        <is>
          <t>230</t>
        </is>
      </c>
      <c r="B231" t="inlineStr">
        <is>
          <t>Mike Williams</t>
        </is>
      </c>
      <c r="C231" t="inlineStr">
        <is>
          <t>GS Vecchi</t>
        </is>
      </c>
      <c r="D231" t="inlineStr">
        <is>
          <t>30</t>
        </is>
      </c>
      <c r="E231">
        <f>HYPERLINK("https://www.britishcycling.org.uk/points?person_id=385861&amp;year=2021&amp;type=national&amp;d=6","Results")</f>
        <v/>
      </c>
    </row>
    <row r="232">
      <c r="A232" t="inlineStr">
        <is>
          <t>231</t>
        </is>
      </c>
      <c r="B232" t="inlineStr">
        <is>
          <t>Steve Dunn</t>
        </is>
      </c>
      <c r="C232" t="inlineStr">
        <is>
          <t>Verulam - reallymoving.com</t>
        </is>
      </c>
      <c r="D232" t="inlineStr">
        <is>
          <t>29</t>
        </is>
      </c>
      <c r="E232">
        <f>HYPERLINK("https://www.britishcycling.org.uk/points?person_id=239411&amp;year=2021&amp;type=national&amp;d=6","Results")</f>
        <v/>
      </c>
    </row>
    <row r="233">
      <c r="A233" t="inlineStr">
        <is>
          <t>232</t>
        </is>
      </c>
      <c r="B233" t="inlineStr">
        <is>
          <t>Darren Fearns</t>
        </is>
      </c>
      <c r="C233" t="inlineStr">
        <is>
          <t>Team Echelon</t>
        </is>
      </c>
      <c r="D233" t="inlineStr">
        <is>
          <t>29</t>
        </is>
      </c>
      <c r="E233">
        <f>HYPERLINK("https://www.britishcycling.org.uk/points?person_id=185347&amp;year=2021&amp;type=national&amp;d=6","Results")</f>
        <v/>
      </c>
    </row>
    <row r="234">
      <c r="A234" t="inlineStr">
        <is>
          <t>233</t>
        </is>
      </c>
      <c r="B234" t="inlineStr">
        <is>
          <t>Mark Barnett</t>
        </is>
      </c>
      <c r="C234" t="inlineStr">
        <is>
          <t>Leslie Bike Shop-Bikers Boutique</t>
        </is>
      </c>
      <c r="D234" t="inlineStr">
        <is>
          <t>28</t>
        </is>
      </c>
      <c r="E234">
        <f>HYPERLINK("https://www.britishcycling.org.uk/points?person_id=103548&amp;year=2021&amp;type=national&amp;d=6","Results")</f>
        <v/>
      </c>
    </row>
    <row r="235">
      <c r="A235" t="inlineStr">
        <is>
          <t>234</t>
        </is>
      </c>
      <c r="B235" t="inlineStr">
        <is>
          <t>Nigel Brown</t>
        </is>
      </c>
      <c r="C235" t="inlineStr">
        <is>
          <t>Westbury Wheelers</t>
        </is>
      </c>
      <c r="D235" t="inlineStr">
        <is>
          <t>28</t>
        </is>
      </c>
      <c r="E235">
        <f>HYPERLINK("https://www.britishcycling.org.uk/points?person_id=106950&amp;year=2021&amp;type=national&amp;d=6","Results")</f>
        <v/>
      </c>
    </row>
    <row r="236">
      <c r="A236" t="inlineStr">
        <is>
          <t>235</t>
        </is>
      </c>
      <c r="B236" t="inlineStr">
        <is>
          <t>Kevin Hayward</t>
        </is>
      </c>
      <c r="C236" t="inlineStr">
        <is>
          <t>FISHFACE CYCLES RT</t>
        </is>
      </c>
      <c r="D236" t="inlineStr">
        <is>
          <t>28</t>
        </is>
      </c>
      <c r="E236">
        <f>HYPERLINK("https://www.britishcycling.org.uk/points?person_id=256107&amp;year=2021&amp;type=national&amp;d=6","Results")</f>
        <v/>
      </c>
    </row>
    <row r="237">
      <c r="A237" t="inlineStr">
        <is>
          <t>236</t>
        </is>
      </c>
      <c r="B237" t="inlineStr">
        <is>
          <t>Andy Oldham</t>
        </is>
      </c>
      <c r="C237" t="inlineStr">
        <is>
          <t>Team Phoenix</t>
        </is>
      </c>
      <c r="D237" t="inlineStr">
        <is>
          <t>28</t>
        </is>
      </c>
      <c r="E237">
        <f>HYPERLINK("https://www.britishcycling.org.uk/points?person_id=13149&amp;year=2021&amp;type=national&amp;d=6","Results")</f>
        <v/>
      </c>
    </row>
    <row r="238">
      <c r="A238" t="inlineStr">
        <is>
          <t>237</t>
        </is>
      </c>
      <c r="B238" t="inlineStr">
        <is>
          <t>Paul James</t>
        </is>
      </c>
      <c r="C238" t="inlineStr">
        <is>
          <t>Crawley Wheelers Race Team</t>
        </is>
      </c>
      <c r="D238" t="inlineStr">
        <is>
          <t>27</t>
        </is>
      </c>
      <c r="E238">
        <f>HYPERLINK("https://www.britishcycling.org.uk/points?person_id=33795&amp;year=2021&amp;type=national&amp;d=6","Results")</f>
        <v/>
      </c>
    </row>
    <row r="239">
      <c r="A239" t="inlineStr">
        <is>
          <t>238</t>
        </is>
      </c>
      <c r="B239" t="inlineStr">
        <is>
          <t>Christopher Rowe</t>
        </is>
      </c>
      <c r="C239" t="inlineStr">
        <is>
          <t>www.Zepnat.com RT - Lazer helmets</t>
        </is>
      </c>
      <c r="D239" t="inlineStr">
        <is>
          <t>27</t>
        </is>
      </c>
      <c r="E239">
        <f>HYPERLINK("https://www.britishcycling.org.uk/points?person_id=4072&amp;year=2021&amp;type=national&amp;d=6","Results")</f>
        <v/>
      </c>
    </row>
    <row r="240">
      <c r="A240" t="inlineStr">
        <is>
          <t>239</t>
        </is>
      </c>
      <c r="B240" t="inlineStr">
        <is>
          <t>Alan Yule</t>
        </is>
      </c>
      <c r="C240" t="inlineStr">
        <is>
          <t>Crawley Wheelers</t>
        </is>
      </c>
      <c r="D240" t="inlineStr">
        <is>
          <t>27</t>
        </is>
      </c>
      <c r="E240">
        <f>HYPERLINK("https://www.britishcycling.org.uk/points?person_id=180906&amp;year=2021&amp;type=national&amp;d=6","Results")</f>
        <v/>
      </c>
    </row>
    <row r="241">
      <c r="A241" t="inlineStr">
        <is>
          <t>240</t>
        </is>
      </c>
      <c r="B241" t="inlineStr">
        <is>
          <t>Rob Burnham</t>
        </is>
      </c>
      <c r="C241" t="inlineStr"/>
      <c r="D241" t="inlineStr">
        <is>
          <t>26</t>
        </is>
      </c>
      <c r="E241">
        <f>HYPERLINK("https://www.britishcycling.org.uk/points?person_id=611854&amp;year=2021&amp;type=national&amp;d=6","Results")</f>
        <v/>
      </c>
    </row>
    <row r="242">
      <c r="A242" t="inlineStr">
        <is>
          <t>241</t>
        </is>
      </c>
      <c r="B242" t="inlineStr">
        <is>
          <t>Darrell Bradbury</t>
        </is>
      </c>
      <c r="C242" t="inlineStr">
        <is>
          <t>Norton Wheelers</t>
        </is>
      </c>
      <c r="D242" t="inlineStr">
        <is>
          <t>25</t>
        </is>
      </c>
      <c r="E242">
        <f>HYPERLINK("https://www.britishcycling.org.uk/points?person_id=1551&amp;year=2021&amp;type=national&amp;d=6","Results")</f>
        <v/>
      </c>
    </row>
    <row r="243">
      <c r="A243" t="inlineStr">
        <is>
          <t>242</t>
        </is>
      </c>
      <c r="B243" t="inlineStr">
        <is>
          <t>Ian Bradley</t>
        </is>
      </c>
      <c r="C243" t="inlineStr">
        <is>
          <t>Ilkeston Cycle Club</t>
        </is>
      </c>
      <c r="D243" t="inlineStr">
        <is>
          <t>25</t>
        </is>
      </c>
      <c r="E243">
        <f>HYPERLINK("https://www.britishcycling.org.uk/points?person_id=125696&amp;year=2021&amp;type=national&amp;d=6","Results")</f>
        <v/>
      </c>
    </row>
    <row r="244">
      <c r="A244" t="inlineStr">
        <is>
          <t>243</t>
        </is>
      </c>
      <c r="B244" t="inlineStr">
        <is>
          <t>Konrad Manning</t>
        </is>
      </c>
      <c r="C244" t="inlineStr">
        <is>
          <t>www.cyclocrossrider.com</t>
        </is>
      </c>
      <c r="D244" t="inlineStr">
        <is>
          <t>24</t>
        </is>
      </c>
      <c r="E244">
        <f>HYPERLINK("https://www.britishcycling.org.uk/points?person_id=58922&amp;year=2021&amp;type=national&amp;d=6","Results")</f>
        <v/>
      </c>
    </row>
    <row r="245">
      <c r="A245" t="inlineStr">
        <is>
          <t>244</t>
        </is>
      </c>
      <c r="B245" t="inlineStr">
        <is>
          <t>Andrew Prince</t>
        </is>
      </c>
      <c r="C245" t="inlineStr">
        <is>
          <t>Ilkeston Cycle Club</t>
        </is>
      </c>
      <c r="D245" t="inlineStr">
        <is>
          <t>24</t>
        </is>
      </c>
      <c r="E245">
        <f>HYPERLINK("https://www.britishcycling.org.uk/points?person_id=209356&amp;year=2021&amp;type=national&amp;d=6","Results")</f>
        <v/>
      </c>
    </row>
    <row r="246">
      <c r="A246" t="inlineStr">
        <is>
          <t>245</t>
        </is>
      </c>
      <c r="B246" t="inlineStr">
        <is>
          <t>George Roberts</t>
        </is>
      </c>
      <c r="C246" t="inlineStr">
        <is>
          <t>VC Glasgow South</t>
        </is>
      </c>
      <c r="D246" t="inlineStr">
        <is>
          <t>24</t>
        </is>
      </c>
      <c r="E246">
        <f>HYPERLINK("https://www.britishcycling.org.uk/points?person_id=105111&amp;year=2021&amp;type=national&amp;d=6","Results")</f>
        <v/>
      </c>
    </row>
    <row r="247">
      <c r="A247" t="inlineStr">
        <is>
          <t>246</t>
        </is>
      </c>
      <c r="B247" t="inlineStr">
        <is>
          <t>Adrian Brown</t>
        </is>
      </c>
      <c r="C247" t="inlineStr">
        <is>
          <t>Merthyr Cycling Club</t>
        </is>
      </c>
      <c r="D247" t="inlineStr">
        <is>
          <t>23</t>
        </is>
      </c>
      <c r="E247">
        <f>HYPERLINK("https://www.britishcycling.org.uk/points?person_id=586028&amp;year=2021&amp;type=national&amp;d=6","Results")</f>
        <v/>
      </c>
    </row>
    <row r="248">
      <c r="A248" t="inlineStr">
        <is>
          <t>247</t>
        </is>
      </c>
      <c r="B248" t="inlineStr">
        <is>
          <t>Jeremy Honor</t>
        </is>
      </c>
      <c r="C248" t="inlineStr">
        <is>
          <t>Equipe Velo</t>
        </is>
      </c>
      <c r="D248" t="inlineStr">
        <is>
          <t>23</t>
        </is>
      </c>
      <c r="E248">
        <f>HYPERLINK("https://www.britishcycling.org.uk/points?person_id=57513&amp;year=2021&amp;type=national&amp;d=6","Results")</f>
        <v/>
      </c>
    </row>
    <row r="249">
      <c r="A249" t="inlineStr">
        <is>
          <t>248</t>
        </is>
      </c>
      <c r="B249" t="inlineStr">
        <is>
          <t>Simon Jones</t>
        </is>
      </c>
      <c r="C249" t="inlineStr">
        <is>
          <t>Fred Williams Cycles</t>
        </is>
      </c>
      <c r="D249" t="inlineStr">
        <is>
          <t>23</t>
        </is>
      </c>
      <c r="E249">
        <f>HYPERLINK("https://www.britishcycling.org.uk/points?person_id=17938&amp;year=2021&amp;type=national&amp;d=6","Results")</f>
        <v/>
      </c>
    </row>
    <row r="250">
      <c r="A250" t="inlineStr">
        <is>
          <t>249</t>
        </is>
      </c>
      <c r="B250" t="inlineStr">
        <is>
          <t>Alan Lamont</t>
        </is>
      </c>
      <c r="C250" t="inlineStr">
        <is>
          <t>Forth Valley Velo</t>
        </is>
      </c>
      <c r="D250" t="inlineStr">
        <is>
          <t>23</t>
        </is>
      </c>
      <c r="E250">
        <f>HYPERLINK("https://www.britishcycling.org.uk/points?person_id=220056&amp;year=2021&amp;type=national&amp;d=6","Results")</f>
        <v/>
      </c>
    </row>
    <row r="251">
      <c r="A251" t="inlineStr">
        <is>
          <t>250</t>
        </is>
      </c>
      <c r="B251" t="inlineStr">
        <is>
          <t>Stephen Crawford</t>
        </is>
      </c>
      <c r="C251" t="inlineStr">
        <is>
          <t>Dunfermline CC</t>
        </is>
      </c>
      <c r="D251" t="inlineStr">
        <is>
          <t>22</t>
        </is>
      </c>
      <c r="E251">
        <f>HYPERLINK("https://www.britishcycling.org.uk/points?person_id=439944&amp;year=2021&amp;type=national&amp;d=6","Results")</f>
        <v/>
      </c>
    </row>
    <row r="252">
      <c r="A252" t="inlineStr">
        <is>
          <t>251</t>
        </is>
      </c>
      <c r="B252" t="inlineStr">
        <is>
          <t>Crad Lowe</t>
        </is>
      </c>
      <c r="C252" t="inlineStr">
        <is>
          <t>Brecon Wheelers</t>
        </is>
      </c>
      <c r="D252" t="inlineStr">
        <is>
          <t>22</t>
        </is>
      </c>
      <c r="E252">
        <f>HYPERLINK("https://www.britishcycling.org.uk/points?person_id=24514&amp;year=2021&amp;type=national&amp;d=6","Results")</f>
        <v/>
      </c>
    </row>
    <row r="253">
      <c r="A253" t="inlineStr">
        <is>
          <t>252</t>
        </is>
      </c>
      <c r="B253" t="inlineStr">
        <is>
          <t>Mark Booth</t>
        </is>
      </c>
      <c r="C253" t="inlineStr">
        <is>
          <t>Club Corley Cycles RC</t>
        </is>
      </c>
      <c r="D253" t="inlineStr">
        <is>
          <t>21</t>
        </is>
      </c>
      <c r="E253">
        <f>HYPERLINK("https://www.britishcycling.org.uk/points?person_id=76582&amp;year=2021&amp;type=national&amp;d=6","Results")</f>
        <v/>
      </c>
    </row>
    <row r="254">
      <c r="A254" t="inlineStr">
        <is>
          <t>253</t>
        </is>
      </c>
      <c r="B254" t="inlineStr">
        <is>
          <t>David Brown</t>
        </is>
      </c>
      <c r="C254" t="inlineStr">
        <is>
          <t>Bolsover &amp; District Cycling Club</t>
        </is>
      </c>
      <c r="D254" t="inlineStr">
        <is>
          <t>21</t>
        </is>
      </c>
      <c r="E254">
        <f>HYPERLINK("https://www.britishcycling.org.uk/points?person_id=308833&amp;year=2021&amp;type=national&amp;d=6","Results")</f>
        <v/>
      </c>
    </row>
    <row r="255">
      <c r="A255" t="inlineStr">
        <is>
          <t>254</t>
        </is>
      </c>
      <c r="B255" t="inlineStr">
        <is>
          <t>Charles Codrington</t>
        </is>
      </c>
      <c r="C255" t="inlineStr">
        <is>
          <t>Dulwich Paragon CC</t>
        </is>
      </c>
      <c r="D255" t="inlineStr">
        <is>
          <t>21</t>
        </is>
      </c>
      <c r="E255">
        <f>HYPERLINK("https://www.britishcycling.org.uk/points?person_id=18732&amp;year=2021&amp;type=national&amp;d=6","Results")</f>
        <v/>
      </c>
    </row>
    <row r="256">
      <c r="A256" t="inlineStr">
        <is>
          <t>255</t>
        </is>
      </c>
      <c r="B256" t="inlineStr">
        <is>
          <t>Martin Hillier</t>
        </is>
      </c>
      <c r="C256" t="inlineStr">
        <is>
          <t>Cycle Club Ashwell (CCA)</t>
        </is>
      </c>
      <c r="D256" t="inlineStr">
        <is>
          <t>21</t>
        </is>
      </c>
      <c r="E256">
        <f>HYPERLINK("https://www.britishcycling.org.uk/points?person_id=199067&amp;year=2021&amp;type=national&amp;d=6","Results")</f>
        <v/>
      </c>
    </row>
    <row r="257">
      <c r="A257" t="inlineStr">
        <is>
          <t>256</t>
        </is>
      </c>
      <c r="B257" t="inlineStr">
        <is>
          <t>Matt Ingram</t>
        </is>
      </c>
      <c r="C257" t="inlineStr">
        <is>
          <t>www.Zepnat.com RT - Lazer helmets</t>
        </is>
      </c>
      <c r="D257" t="inlineStr">
        <is>
          <t>21</t>
        </is>
      </c>
      <c r="E257">
        <f>HYPERLINK("https://www.britishcycling.org.uk/points?person_id=270101&amp;year=2021&amp;type=national&amp;d=6","Results")</f>
        <v/>
      </c>
    </row>
    <row r="258">
      <c r="A258" t="inlineStr">
        <is>
          <t>257</t>
        </is>
      </c>
      <c r="B258" t="inlineStr">
        <is>
          <t>Martin Peace</t>
        </is>
      </c>
      <c r="C258" t="inlineStr">
        <is>
          <t>Shibden Cycling Club</t>
        </is>
      </c>
      <c r="D258" t="inlineStr">
        <is>
          <t>21</t>
        </is>
      </c>
      <c r="E258">
        <f>HYPERLINK("https://www.britishcycling.org.uk/points?person_id=538165&amp;year=2021&amp;type=national&amp;d=6","Results")</f>
        <v/>
      </c>
    </row>
    <row r="259">
      <c r="A259" t="inlineStr">
        <is>
          <t>258</t>
        </is>
      </c>
      <c r="B259" t="inlineStr">
        <is>
          <t>Sean Davey</t>
        </is>
      </c>
      <c r="C259" t="inlineStr">
        <is>
          <t>Newport Phoenix CC</t>
        </is>
      </c>
      <c r="D259" t="inlineStr">
        <is>
          <t>20</t>
        </is>
      </c>
      <c r="E259">
        <f>HYPERLINK("https://www.britishcycling.org.uk/points?person_id=305332&amp;year=2021&amp;type=national&amp;d=6","Results")</f>
        <v/>
      </c>
    </row>
    <row r="260">
      <c r="A260" t="inlineStr">
        <is>
          <t>259</t>
        </is>
      </c>
      <c r="B260" t="inlineStr">
        <is>
          <t>Anthony Dyment</t>
        </is>
      </c>
      <c r="C260" t="inlineStr">
        <is>
          <t>North Hampshire RC</t>
        </is>
      </c>
      <c r="D260" t="inlineStr">
        <is>
          <t>20</t>
        </is>
      </c>
      <c r="E260">
        <f>HYPERLINK("https://www.britishcycling.org.uk/points?person_id=53215&amp;year=2021&amp;type=national&amp;d=6","Results")</f>
        <v/>
      </c>
    </row>
    <row r="261">
      <c r="A261" t="inlineStr">
        <is>
          <t>260</t>
        </is>
      </c>
      <c r="B261" t="inlineStr">
        <is>
          <t>Clive Franklin</t>
        </is>
      </c>
      <c r="C261" t="inlineStr">
        <is>
          <t>Somerset Road Club</t>
        </is>
      </c>
      <c r="D261" t="inlineStr">
        <is>
          <t>20</t>
        </is>
      </c>
      <c r="E261">
        <f>HYPERLINK("https://www.britishcycling.org.uk/points?person_id=271257&amp;year=2021&amp;type=national&amp;d=6","Results")</f>
        <v/>
      </c>
    </row>
    <row r="262">
      <c r="A262" t="inlineStr">
        <is>
          <t>261</t>
        </is>
      </c>
      <c r="B262" t="inlineStr">
        <is>
          <t>Tom Nicholson</t>
        </is>
      </c>
      <c r="C262" t="inlineStr">
        <is>
          <t>Hoddom Velo</t>
        </is>
      </c>
      <c r="D262" t="inlineStr">
        <is>
          <t>20</t>
        </is>
      </c>
      <c r="E262">
        <f>HYPERLINK("https://www.britishcycling.org.uk/points?person_id=243597&amp;year=2021&amp;type=national&amp;d=6","Results")</f>
        <v/>
      </c>
    </row>
    <row r="263">
      <c r="A263" t="inlineStr">
        <is>
          <t>262</t>
        </is>
      </c>
      <c r="B263" t="inlineStr">
        <is>
          <t>Howard Perkins</t>
        </is>
      </c>
      <c r="C263" t="inlineStr"/>
      <c r="D263" t="inlineStr">
        <is>
          <t>20</t>
        </is>
      </c>
      <c r="E263">
        <f>HYPERLINK("https://www.britishcycling.org.uk/points?person_id=42186&amp;year=2021&amp;type=national&amp;d=6","Results")</f>
        <v/>
      </c>
    </row>
    <row r="264">
      <c r="A264" t="inlineStr">
        <is>
          <t>263</t>
        </is>
      </c>
      <c r="B264" t="inlineStr">
        <is>
          <t>James Smith</t>
        </is>
      </c>
      <c r="C264" t="inlineStr"/>
      <c r="D264" t="inlineStr">
        <is>
          <t>20</t>
        </is>
      </c>
      <c r="E264">
        <f>HYPERLINK("https://www.britishcycling.org.uk/points?person_id=688784&amp;year=2021&amp;type=national&amp;d=6","Results")</f>
        <v/>
      </c>
    </row>
    <row r="265">
      <c r="A265" t="inlineStr">
        <is>
          <t>264</t>
        </is>
      </c>
      <c r="B265" t="inlineStr">
        <is>
          <t>Kevin Barker</t>
        </is>
      </c>
      <c r="C265" t="inlineStr">
        <is>
          <t>Ciclos Uno</t>
        </is>
      </c>
      <c r="D265" t="inlineStr">
        <is>
          <t>19</t>
        </is>
      </c>
      <c r="E265">
        <f>HYPERLINK("https://www.britishcycling.org.uk/points?person_id=60012&amp;year=2021&amp;type=national&amp;d=6","Results")</f>
        <v/>
      </c>
    </row>
    <row r="266">
      <c r="A266" t="inlineStr">
        <is>
          <t>265</t>
        </is>
      </c>
      <c r="B266" t="inlineStr">
        <is>
          <t>Tony Bowler</t>
        </is>
      </c>
      <c r="C266" t="inlineStr">
        <is>
          <t>Rossendale RC</t>
        </is>
      </c>
      <c r="D266" t="inlineStr">
        <is>
          <t>19</t>
        </is>
      </c>
      <c r="E266">
        <f>HYPERLINK("https://www.britishcycling.org.uk/points?person_id=350221&amp;year=2021&amp;type=national&amp;d=6","Results")</f>
        <v/>
      </c>
    </row>
    <row r="267">
      <c r="A267" t="inlineStr">
        <is>
          <t>266</t>
        </is>
      </c>
      <c r="B267" t="inlineStr">
        <is>
          <t>Ian Chatten</t>
        </is>
      </c>
      <c r="C267" t="inlineStr">
        <is>
          <t>Aylsham Road Club</t>
        </is>
      </c>
      <c r="D267" t="inlineStr">
        <is>
          <t>19</t>
        </is>
      </c>
      <c r="E267">
        <f>HYPERLINK("https://www.britishcycling.org.uk/points?person_id=224552&amp;year=2021&amp;type=national&amp;d=6","Results")</f>
        <v/>
      </c>
    </row>
    <row r="268">
      <c r="A268" t="inlineStr">
        <is>
          <t>267</t>
        </is>
      </c>
      <c r="B268" t="inlineStr">
        <is>
          <t>Stephen De Boltz</t>
        </is>
      </c>
      <c r="C268" t="inlineStr">
        <is>
          <t>XRT - Elmy Cycles</t>
        </is>
      </c>
      <c r="D268" t="inlineStr">
        <is>
          <t>19</t>
        </is>
      </c>
      <c r="E268">
        <f>HYPERLINK("https://www.britishcycling.org.uk/points?person_id=106951&amp;year=2021&amp;type=national&amp;d=6","Results")</f>
        <v/>
      </c>
    </row>
    <row r="269">
      <c r="A269" t="inlineStr">
        <is>
          <t>268</t>
        </is>
      </c>
      <c r="B269" t="inlineStr">
        <is>
          <t>Paul Mardon</t>
        </is>
      </c>
      <c r="C269" t="inlineStr">
        <is>
          <t>INFLITE</t>
        </is>
      </c>
      <c r="D269" t="inlineStr">
        <is>
          <t>19</t>
        </is>
      </c>
      <c r="E269">
        <f>HYPERLINK("https://www.britishcycling.org.uk/points?person_id=577403&amp;year=2021&amp;type=national&amp;d=6","Results")</f>
        <v/>
      </c>
    </row>
    <row r="270">
      <c r="A270" t="inlineStr">
        <is>
          <t>269</t>
        </is>
      </c>
      <c r="B270" t="inlineStr">
        <is>
          <t>Robin Murray</t>
        </is>
      </c>
      <c r="C270" t="inlineStr">
        <is>
          <t>Buxton CC - Sett Valley Cycles</t>
        </is>
      </c>
      <c r="D270" t="inlineStr">
        <is>
          <t>19</t>
        </is>
      </c>
      <c r="E270">
        <f>HYPERLINK("https://www.britishcycling.org.uk/points?person_id=307853&amp;year=2021&amp;type=national&amp;d=6","Results")</f>
        <v/>
      </c>
    </row>
    <row r="271">
      <c r="A271" t="inlineStr">
        <is>
          <t>270</t>
        </is>
      </c>
      <c r="B271" t="inlineStr">
        <is>
          <t>James Wallace</t>
        </is>
      </c>
      <c r="C271" t="inlineStr">
        <is>
          <t>Lee Velo (South East London)</t>
        </is>
      </c>
      <c r="D271" t="inlineStr">
        <is>
          <t>19</t>
        </is>
      </c>
      <c r="E271">
        <f>HYPERLINK("https://www.britishcycling.org.uk/points?person_id=23579&amp;year=2021&amp;type=national&amp;d=6","Results")</f>
        <v/>
      </c>
    </row>
    <row r="272">
      <c r="A272" t="inlineStr">
        <is>
          <t>271</t>
        </is>
      </c>
      <c r="B272" t="inlineStr">
        <is>
          <t>Jason Hurt</t>
        </is>
      </c>
      <c r="C272" t="inlineStr">
        <is>
          <t>Ribble rechrg Race Team</t>
        </is>
      </c>
      <c r="D272" t="inlineStr">
        <is>
          <t>18</t>
        </is>
      </c>
      <c r="E272">
        <f>HYPERLINK("https://www.britishcycling.org.uk/points?person_id=257020&amp;year=2021&amp;type=national&amp;d=6","Results")</f>
        <v/>
      </c>
    </row>
    <row r="273">
      <c r="A273" t="inlineStr">
        <is>
          <t>272</t>
        </is>
      </c>
      <c r="B273" t="inlineStr">
        <is>
          <t>Robert Allen</t>
        </is>
      </c>
      <c r="C273" t="inlineStr">
        <is>
          <t>Leisure Lakes Bikes.com</t>
        </is>
      </c>
      <c r="D273" t="inlineStr">
        <is>
          <t>17</t>
        </is>
      </c>
      <c r="E273">
        <f>HYPERLINK("https://www.britishcycling.org.uk/points?person_id=45339&amp;year=2021&amp;type=national&amp;d=6","Results")</f>
        <v/>
      </c>
    </row>
    <row r="274">
      <c r="A274" t="inlineStr">
        <is>
          <t>273</t>
        </is>
      </c>
      <c r="B274" t="inlineStr">
        <is>
          <t>George Higgs</t>
        </is>
      </c>
      <c r="C274" t="inlineStr">
        <is>
          <t>Crawley Wheelers</t>
        </is>
      </c>
      <c r="D274" t="inlineStr">
        <is>
          <t>17</t>
        </is>
      </c>
      <c r="E274">
        <f>HYPERLINK("https://www.britishcycling.org.uk/points?person_id=5933&amp;year=2021&amp;type=national&amp;d=6","Results")</f>
        <v/>
      </c>
    </row>
    <row r="275">
      <c r="A275" t="inlineStr">
        <is>
          <t>274</t>
        </is>
      </c>
      <c r="B275" t="inlineStr">
        <is>
          <t>Mike Adams</t>
        </is>
      </c>
      <c r="C275" t="inlineStr">
        <is>
          <t>Mapperley CC</t>
        </is>
      </c>
      <c r="D275" t="inlineStr">
        <is>
          <t>16</t>
        </is>
      </c>
      <c r="E275">
        <f>HYPERLINK("https://www.britishcycling.org.uk/points?person_id=853769&amp;year=2021&amp;type=national&amp;d=6","Results")</f>
        <v/>
      </c>
    </row>
    <row r="276">
      <c r="A276" t="inlineStr">
        <is>
          <t>275</t>
        </is>
      </c>
      <c r="B276" t="inlineStr">
        <is>
          <t>John Buchan</t>
        </is>
      </c>
      <c r="C276" t="inlineStr">
        <is>
          <t>Lichfield City CC</t>
        </is>
      </c>
      <c r="D276" t="inlineStr">
        <is>
          <t>15</t>
        </is>
      </c>
      <c r="E276">
        <f>HYPERLINK("https://www.britishcycling.org.uk/points?person_id=182133&amp;year=2021&amp;type=national&amp;d=6","Results")</f>
        <v/>
      </c>
    </row>
    <row r="277">
      <c r="A277" t="inlineStr">
        <is>
          <t>276</t>
        </is>
      </c>
      <c r="B277" t="inlineStr">
        <is>
          <t>Chris Horsfield</t>
        </is>
      </c>
      <c r="C277" t="inlineStr">
        <is>
          <t>Bridgnorth Cycling Club</t>
        </is>
      </c>
      <c r="D277" t="inlineStr">
        <is>
          <t>15</t>
        </is>
      </c>
      <c r="E277">
        <f>HYPERLINK("https://www.britishcycling.org.uk/points?person_id=27771&amp;year=2021&amp;type=national&amp;d=6","Results")</f>
        <v/>
      </c>
    </row>
    <row r="278">
      <c r="A278" t="inlineStr">
        <is>
          <t>277</t>
        </is>
      </c>
      <c r="B278" t="inlineStr">
        <is>
          <t>Steve Large</t>
        </is>
      </c>
      <c r="C278" t="inlineStr">
        <is>
          <t>Royal Leamington Spa CC (RLSCC)</t>
        </is>
      </c>
      <c r="D278" t="inlineStr">
        <is>
          <t>15</t>
        </is>
      </c>
      <c r="E278">
        <f>HYPERLINK("https://www.britishcycling.org.uk/points?person_id=225906&amp;year=2021&amp;type=national&amp;d=6","Results")</f>
        <v/>
      </c>
    </row>
    <row r="279">
      <c r="A279" t="inlineStr">
        <is>
          <t>278</t>
        </is>
      </c>
      <c r="B279" t="inlineStr">
        <is>
          <t>Alan Parsons</t>
        </is>
      </c>
      <c r="C279" t="inlineStr">
        <is>
          <t>Bolsover &amp; District Cycling Club</t>
        </is>
      </c>
      <c r="D279" t="inlineStr">
        <is>
          <t>15</t>
        </is>
      </c>
      <c r="E279">
        <f>HYPERLINK("https://www.britishcycling.org.uk/points?person_id=385333&amp;year=2021&amp;type=national&amp;d=6","Results")</f>
        <v/>
      </c>
    </row>
    <row r="280">
      <c r="A280" t="inlineStr">
        <is>
          <t>279</t>
        </is>
      </c>
      <c r="B280" t="inlineStr">
        <is>
          <t>Ian Thorpe</t>
        </is>
      </c>
      <c r="C280" t="inlineStr">
        <is>
          <t>Doncaster Whls CC</t>
        </is>
      </c>
      <c r="D280" t="inlineStr">
        <is>
          <t>15</t>
        </is>
      </c>
      <c r="E280">
        <f>HYPERLINK("https://www.britishcycling.org.uk/points?person_id=706711&amp;year=2021&amp;type=national&amp;d=6","Results")</f>
        <v/>
      </c>
    </row>
    <row r="281">
      <c r="A281" t="inlineStr">
        <is>
          <t>280</t>
        </is>
      </c>
      <c r="B281" t="inlineStr">
        <is>
          <t>Oisin Kelly</t>
        </is>
      </c>
      <c r="C281" t="inlineStr">
        <is>
          <t>Cotswold Veldrijden</t>
        </is>
      </c>
      <c r="D281" t="inlineStr">
        <is>
          <t>14</t>
        </is>
      </c>
      <c r="E281">
        <f>HYPERLINK("https://www.britishcycling.org.uk/points?person_id=258375&amp;year=2021&amp;type=national&amp;d=6","Results")</f>
        <v/>
      </c>
    </row>
    <row r="282">
      <c r="A282" t="inlineStr">
        <is>
          <t>281</t>
        </is>
      </c>
      <c r="B282" t="inlineStr">
        <is>
          <t>Andrew Kitchin</t>
        </is>
      </c>
      <c r="C282" t="inlineStr"/>
      <c r="D282" t="inlineStr">
        <is>
          <t>14</t>
        </is>
      </c>
      <c r="E282">
        <f>HYPERLINK("https://www.britishcycling.org.uk/points?person_id=308991&amp;year=2021&amp;type=national&amp;d=6","Results")</f>
        <v/>
      </c>
    </row>
    <row r="283">
      <c r="A283" t="inlineStr">
        <is>
          <t>282</t>
        </is>
      </c>
      <c r="B283" t="inlineStr">
        <is>
          <t>Roger May</t>
        </is>
      </c>
      <c r="C283" t="inlineStr"/>
      <c r="D283" t="inlineStr">
        <is>
          <t>14</t>
        </is>
      </c>
      <c r="E283">
        <f>HYPERLINK("https://www.britishcycling.org.uk/points?person_id=558401&amp;year=2021&amp;type=national&amp;d=6","Results")</f>
        <v/>
      </c>
    </row>
    <row r="284">
      <c r="A284" t="inlineStr">
        <is>
          <t>283</t>
        </is>
      </c>
      <c r="B284" t="inlineStr">
        <is>
          <t>Jamie Pattison</t>
        </is>
      </c>
      <c r="C284" t="inlineStr">
        <is>
          <t>VC Briganti</t>
        </is>
      </c>
      <c r="D284" t="inlineStr">
        <is>
          <t>14</t>
        </is>
      </c>
      <c r="E284">
        <f>HYPERLINK("https://www.britishcycling.org.uk/points?person_id=197520&amp;year=2021&amp;type=national&amp;d=6","Results")</f>
        <v/>
      </c>
    </row>
    <row r="285">
      <c r="A285" t="inlineStr">
        <is>
          <t>284</t>
        </is>
      </c>
      <c r="B285" t="inlineStr">
        <is>
          <t>Mark Shepherd</t>
        </is>
      </c>
      <c r="C285" t="inlineStr">
        <is>
          <t>Stourbridge CC</t>
        </is>
      </c>
      <c r="D285" t="inlineStr">
        <is>
          <t>14</t>
        </is>
      </c>
      <c r="E285">
        <f>HYPERLINK("https://www.britishcycling.org.uk/points?person_id=14516&amp;year=2021&amp;type=national&amp;d=6","Results")</f>
        <v/>
      </c>
    </row>
    <row r="286">
      <c r="A286" t="inlineStr">
        <is>
          <t>285</t>
        </is>
      </c>
      <c r="B286" t="inlineStr">
        <is>
          <t>Peter Smith</t>
        </is>
      </c>
      <c r="C286" t="inlineStr">
        <is>
          <t>Wilsons Wheels Race Team</t>
        </is>
      </c>
      <c r="D286" t="inlineStr">
        <is>
          <t>14</t>
        </is>
      </c>
      <c r="E286">
        <f>HYPERLINK("https://www.britishcycling.org.uk/points?person_id=261227&amp;year=2021&amp;type=national&amp;d=6","Results")</f>
        <v/>
      </c>
    </row>
    <row r="287">
      <c r="A287" t="inlineStr">
        <is>
          <t>286</t>
        </is>
      </c>
      <c r="B287" t="inlineStr">
        <is>
          <t>Simon Whitham</t>
        </is>
      </c>
      <c r="C287" t="inlineStr">
        <is>
          <t>Team Empella Cyclo-Cross.Com</t>
        </is>
      </c>
      <c r="D287" t="inlineStr">
        <is>
          <t>14</t>
        </is>
      </c>
      <c r="E287">
        <f>HYPERLINK("https://www.britishcycling.org.uk/points?person_id=125051&amp;year=2021&amp;type=national&amp;d=6","Results")</f>
        <v/>
      </c>
    </row>
    <row r="288">
      <c r="A288" t="inlineStr">
        <is>
          <t>287</t>
        </is>
      </c>
      <c r="B288" t="inlineStr">
        <is>
          <t>Neil Cranston</t>
        </is>
      </c>
      <c r="C288" t="inlineStr">
        <is>
          <t>Barnesbury CC</t>
        </is>
      </c>
      <c r="D288" t="inlineStr">
        <is>
          <t>13</t>
        </is>
      </c>
      <c r="E288">
        <f>HYPERLINK("https://www.britishcycling.org.uk/points?person_id=324892&amp;year=2021&amp;type=national&amp;d=6","Results")</f>
        <v/>
      </c>
    </row>
    <row r="289">
      <c r="A289" t="inlineStr">
        <is>
          <t>288</t>
        </is>
      </c>
      <c r="B289" t="inlineStr">
        <is>
          <t>Peter Danby</t>
        </is>
      </c>
      <c r="C289" t="inlineStr"/>
      <c r="D289" t="inlineStr">
        <is>
          <t>13</t>
        </is>
      </c>
      <c r="E289">
        <f>HYPERLINK("https://www.britishcycling.org.uk/points?person_id=73624&amp;year=2021&amp;type=national&amp;d=6","Results")</f>
        <v/>
      </c>
    </row>
    <row r="290">
      <c r="A290" t="inlineStr">
        <is>
          <t>289</t>
        </is>
      </c>
      <c r="B290" t="inlineStr">
        <is>
          <t>James Rimmer</t>
        </is>
      </c>
      <c r="C290" t="inlineStr">
        <is>
          <t>Bristol RC</t>
        </is>
      </c>
      <c r="D290" t="inlineStr">
        <is>
          <t>13</t>
        </is>
      </c>
      <c r="E290">
        <f>HYPERLINK("https://www.britishcycling.org.uk/points?person_id=20680&amp;year=2021&amp;type=national&amp;d=6","Results")</f>
        <v/>
      </c>
    </row>
    <row r="291">
      <c r="A291" t="inlineStr">
        <is>
          <t>290</t>
        </is>
      </c>
      <c r="B291" t="inlineStr">
        <is>
          <t>Mark Stone</t>
        </is>
      </c>
      <c r="C291" t="inlineStr">
        <is>
          <t>Bristol RC</t>
        </is>
      </c>
      <c r="D291" t="inlineStr">
        <is>
          <t>13</t>
        </is>
      </c>
      <c r="E291">
        <f>HYPERLINK("https://www.britishcycling.org.uk/points?person_id=54115&amp;year=2021&amp;type=national&amp;d=6","Results")</f>
        <v/>
      </c>
    </row>
    <row r="292">
      <c r="A292" t="inlineStr">
        <is>
          <t>291</t>
        </is>
      </c>
      <c r="B292" t="inlineStr">
        <is>
          <t>Kevin Chadwick</t>
        </is>
      </c>
      <c r="C292" t="inlineStr">
        <is>
          <t>Lakes RC</t>
        </is>
      </c>
      <c r="D292" t="inlineStr">
        <is>
          <t>12</t>
        </is>
      </c>
      <c r="E292">
        <f>HYPERLINK("https://www.britishcycling.org.uk/points?person_id=204907&amp;year=2021&amp;type=national&amp;d=6","Results")</f>
        <v/>
      </c>
    </row>
    <row r="293">
      <c r="A293" t="inlineStr">
        <is>
          <t>292</t>
        </is>
      </c>
      <c r="B293" t="inlineStr">
        <is>
          <t>Norman Gillan</t>
        </is>
      </c>
      <c r="C293" t="inlineStr"/>
      <c r="D293" t="inlineStr">
        <is>
          <t>12</t>
        </is>
      </c>
      <c r="E293">
        <f>HYPERLINK("https://www.britishcycling.org.uk/points?person_id=391037&amp;year=2021&amp;type=national&amp;d=6","Results")</f>
        <v/>
      </c>
    </row>
    <row r="294">
      <c r="A294" t="inlineStr">
        <is>
          <t>293</t>
        </is>
      </c>
      <c r="B294" t="inlineStr">
        <is>
          <t>Steven Jenkyn</t>
        </is>
      </c>
      <c r="C294" t="inlineStr">
        <is>
          <t>Pedal Power Loughborough</t>
        </is>
      </c>
      <c r="D294" t="inlineStr">
        <is>
          <t>12</t>
        </is>
      </c>
      <c r="E294">
        <f>HYPERLINK("https://www.britishcycling.org.uk/points?person_id=392943&amp;year=2021&amp;type=national&amp;d=6","Results")</f>
        <v/>
      </c>
    </row>
    <row r="295">
      <c r="A295" t="inlineStr">
        <is>
          <t>294</t>
        </is>
      </c>
      <c r="B295" t="inlineStr">
        <is>
          <t>David Lee</t>
        </is>
      </c>
      <c r="C295" t="inlineStr">
        <is>
          <t>HFD Cycling</t>
        </is>
      </c>
      <c r="D295" t="inlineStr">
        <is>
          <t>12</t>
        </is>
      </c>
      <c r="E295">
        <f>HYPERLINK("https://www.britishcycling.org.uk/points?person_id=10115&amp;year=2021&amp;type=national&amp;d=6","Results")</f>
        <v/>
      </c>
    </row>
    <row r="296">
      <c r="A296" t="inlineStr">
        <is>
          <t>295</t>
        </is>
      </c>
      <c r="B296" t="inlineStr">
        <is>
          <t>David Smith</t>
        </is>
      </c>
      <c r="C296" t="inlineStr">
        <is>
          <t>Kendal Cycle Club</t>
        </is>
      </c>
      <c r="D296" t="inlineStr">
        <is>
          <t>12</t>
        </is>
      </c>
      <c r="E296">
        <f>HYPERLINK("https://www.britishcycling.org.uk/points?person_id=613985&amp;year=2021&amp;type=national&amp;d=6","Results")</f>
        <v/>
      </c>
    </row>
    <row r="297">
      <c r="A297" t="inlineStr">
        <is>
          <t>296</t>
        </is>
      </c>
      <c r="B297" t="inlineStr">
        <is>
          <t>Christopher Ware</t>
        </is>
      </c>
      <c r="C297" t="inlineStr">
        <is>
          <t>Lincsquad (Quadrathlon Club)</t>
        </is>
      </c>
      <c r="D297" t="inlineStr">
        <is>
          <t>12</t>
        </is>
      </c>
      <c r="E297">
        <f>HYPERLINK("https://www.britishcycling.org.uk/points?person_id=187872&amp;year=2021&amp;type=national&amp;d=6","Results")</f>
        <v/>
      </c>
    </row>
    <row r="298">
      <c r="A298" t="inlineStr">
        <is>
          <t>297</t>
        </is>
      </c>
      <c r="B298" t="inlineStr">
        <is>
          <t>John Watt</t>
        </is>
      </c>
      <c r="C298" t="inlineStr">
        <is>
          <t>Paisley Velo Cycling Club</t>
        </is>
      </c>
      <c r="D298" t="inlineStr">
        <is>
          <t>12</t>
        </is>
      </c>
      <c r="E298">
        <f>HYPERLINK("https://www.britishcycling.org.uk/points?person_id=1028786&amp;year=2021&amp;type=national&amp;d=6","Results")</f>
        <v/>
      </c>
    </row>
    <row r="299">
      <c r="A299" t="inlineStr">
        <is>
          <t>298</t>
        </is>
      </c>
      <c r="B299" t="inlineStr">
        <is>
          <t>Matthew Butters</t>
        </is>
      </c>
      <c r="C299" t="inlineStr">
        <is>
          <t>Velo Club Walcot</t>
        </is>
      </c>
      <c r="D299" t="inlineStr">
        <is>
          <t>11</t>
        </is>
      </c>
      <c r="E299">
        <f>HYPERLINK("https://www.britishcycling.org.uk/points?person_id=256954&amp;year=2021&amp;type=national&amp;d=6","Results")</f>
        <v/>
      </c>
    </row>
    <row r="300">
      <c r="A300" t="inlineStr">
        <is>
          <t>299</t>
        </is>
      </c>
      <c r="B300" t="inlineStr">
        <is>
          <t>Nick Chilton</t>
        </is>
      </c>
      <c r="C300" t="inlineStr">
        <is>
          <t>Derby Mercury RC</t>
        </is>
      </c>
      <c r="D300" t="inlineStr">
        <is>
          <t>11</t>
        </is>
      </c>
      <c r="E300">
        <f>HYPERLINK("https://www.britishcycling.org.uk/points?person_id=194735&amp;year=2021&amp;type=national&amp;d=6","Results")</f>
        <v/>
      </c>
    </row>
    <row r="301">
      <c r="A301" t="inlineStr">
        <is>
          <t>300</t>
        </is>
      </c>
      <c r="B301" t="inlineStr">
        <is>
          <t>Timothy Davies</t>
        </is>
      </c>
      <c r="C301" t="inlineStr">
        <is>
          <t>CC Abergavenny - JP Signs &amp; Print</t>
        </is>
      </c>
      <c r="D301" t="inlineStr">
        <is>
          <t>11</t>
        </is>
      </c>
      <c r="E301">
        <f>HYPERLINK("https://www.britishcycling.org.uk/points?person_id=16226&amp;year=2021&amp;type=national&amp;d=6","Results")</f>
        <v/>
      </c>
    </row>
    <row r="302">
      <c r="A302" t="inlineStr">
        <is>
          <t>301</t>
        </is>
      </c>
      <c r="B302" t="inlineStr">
        <is>
          <t>Harvey Levann</t>
        </is>
      </c>
      <c r="C302" t="inlineStr">
        <is>
          <t>Team Jewson-M.I.Racing</t>
        </is>
      </c>
      <c r="D302" t="inlineStr">
        <is>
          <t>11</t>
        </is>
      </c>
      <c r="E302">
        <f>HYPERLINK("https://www.britishcycling.org.uk/points?person_id=17580&amp;year=2021&amp;type=national&amp;d=6","Results")</f>
        <v/>
      </c>
    </row>
    <row r="303">
      <c r="A303" t="inlineStr">
        <is>
          <t>302</t>
        </is>
      </c>
      <c r="B303" t="inlineStr">
        <is>
          <t>Andrew Powers</t>
        </is>
      </c>
      <c r="C303" t="inlineStr"/>
      <c r="D303" t="inlineStr">
        <is>
          <t>11</t>
        </is>
      </c>
      <c r="E303">
        <f>HYPERLINK("https://www.britishcycling.org.uk/points?person_id=13565&amp;year=2021&amp;type=national&amp;d=6","Results")</f>
        <v/>
      </c>
    </row>
    <row r="304">
      <c r="A304" t="inlineStr">
        <is>
          <t>303</t>
        </is>
      </c>
      <c r="B304" t="inlineStr">
        <is>
          <t>James Corden</t>
        </is>
      </c>
      <c r="C304" t="inlineStr"/>
      <c r="D304" t="inlineStr">
        <is>
          <t>10</t>
        </is>
      </c>
      <c r="E304">
        <f>HYPERLINK("https://www.britishcycling.org.uk/points?person_id=529496&amp;year=2021&amp;type=national&amp;d=6","Results")</f>
        <v/>
      </c>
    </row>
    <row r="305">
      <c r="A305" t="inlineStr">
        <is>
          <t>304</t>
        </is>
      </c>
      <c r="B305" t="inlineStr">
        <is>
          <t>Sean Hoban</t>
        </is>
      </c>
      <c r="C305" t="inlineStr">
        <is>
          <t>Velo Club Cumbria</t>
        </is>
      </c>
      <c r="D305" t="inlineStr">
        <is>
          <t>10</t>
        </is>
      </c>
      <c r="E305">
        <f>HYPERLINK("https://www.britishcycling.org.uk/points?person_id=5437&amp;year=2021&amp;type=national&amp;d=6","Results")</f>
        <v/>
      </c>
    </row>
    <row r="306">
      <c r="A306" t="inlineStr">
        <is>
          <t>305</t>
        </is>
      </c>
      <c r="B306" t="inlineStr">
        <is>
          <t>Tim Phillips</t>
        </is>
      </c>
      <c r="C306" t="inlineStr">
        <is>
          <t>St Ives CC</t>
        </is>
      </c>
      <c r="D306" t="inlineStr">
        <is>
          <t>10</t>
        </is>
      </c>
      <c r="E306">
        <f>HYPERLINK("https://www.britishcycling.org.uk/points?person_id=426606&amp;year=2021&amp;type=national&amp;d=6","Results")</f>
        <v/>
      </c>
    </row>
    <row r="307">
      <c r="A307" t="inlineStr">
        <is>
          <t>306</t>
        </is>
      </c>
      <c r="B307" t="inlineStr">
        <is>
          <t>Patrick Stokes</t>
        </is>
      </c>
      <c r="C307" t="inlineStr"/>
      <c r="D307" t="inlineStr">
        <is>
          <t>10</t>
        </is>
      </c>
      <c r="E307">
        <f>HYPERLINK("https://www.britishcycling.org.uk/points?person_id=11666&amp;year=2021&amp;type=national&amp;d=6","Results")</f>
        <v/>
      </c>
    </row>
    <row r="308">
      <c r="A308" t="inlineStr">
        <is>
          <t>307</t>
        </is>
      </c>
      <c r="B308" t="inlineStr">
        <is>
          <t>Colin Woollard</t>
        </is>
      </c>
      <c r="C308" t="inlineStr">
        <is>
          <t>Ashford Whlrs CC</t>
        </is>
      </c>
      <c r="D308" t="inlineStr">
        <is>
          <t>10</t>
        </is>
      </c>
      <c r="E308">
        <f>HYPERLINK("https://www.britishcycling.org.uk/points?person_id=221504&amp;year=2021&amp;type=national&amp;d=6","Results")</f>
        <v/>
      </c>
    </row>
    <row r="309">
      <c r="A309" t="inlineStr">
        <is>
          <t>308</t>
        </is>
      </c>
      <c r="B309" t="inlineStr">
        <is>
          <t>Steven Anderson</t>
        </is>
      </c>
      <c r="C309" t="inlineStr">
        <is>
          <t>Glasgow Nightingale CC</t>
        </is>
      </c>
      <c r="D309" t="inlineStr">
        <is>
          <t>9</t>
        </is>
      </c>
      <c r="E309">
        <f>HYPERLINK("https://www.britishcycling.org.uk/points?person_id=7690&amp;year=2021&amp;type=national&amp;d=6","Results")</f>
        <v/>
      </c>
    </row>
    <row r="310">
      <c r="A310" t="inlineStr">
        <is>
          <t>309</t>
        </is>
      </c>
      <c r="B310" t="inlineStr">
        <is>
          <t>Ashley Coups</t>
        </is>
      </c>
      <c r="C310" t="inlineStr">
        <is>
          <t>C and N Cycles RT</t>
        </is>
      </c>
      <c r="D310" t="inlineStr">
        <is>
          <t>9</t>
        </is>
      </c>
      <c r="E310">
        <f>HYPERLINK("https://www.britishcycling.org.uk/points?person_id=386973&amp;year=2021&amp;type=national&amp;d=6","Results")</f>
        <v/>
      </c>
    </row>
    <row r="311">
      <c r="A311" t="inlineStr">
        <is>
          <t>310</t>
        </is>
      </c>
      <c r="B311" t="inlineStr">
        <is>
          <t>Craig Donagher</t>
        </is>
      </c>
      <c r="C311" t="inlineStr">
        <is>
          <t>Fechan Flyers</t>
        </is>
      </c>
      <c r="D311" t="inlineStr">
        <is>
          <t>9</t>
        </is>
      </c>
      <c r="E311">
        <f>HYPERLINK("https://www.britishcycling.org.uk/points?person_id=585369&amp;year=2021&amp;type=national&amp;d=6","Results")</f>
        <v/>
      </c>
    </row>
    <row r="312">
      <c r="A312" t="inlineStr">
        <is>
          <t>311</t>
        </is>
      </c>
      <c r="B312" t="inlineStr">
        <is>
          <t>Andrew Edmond</t>
        </is>
      </c>
      <c r="C312" t="inlineStr">
        <is>
          <t>Ashburn Wealth</t>
        </is>
      </c>
      <c r="D312" t="inlineStr">
        <is>
          <t>9</t>
        </is>
      </c>
      <c r="E312">
        <f>HYPERLINK("https://www.britishcycling.org.uk/points?person_id=75520&amp;year=2021&amp;type=national&amp;d=6","Results")</f>
        <v/>
      </c>
    </row>
    <row r="313">
      <c r="A313" t="inlineStr">
        <is>
          <t>312</t>
        </is>
      </c>
      <c r="B313" t="inlineStr">
        <is>
          <t>Mark Gray</t>
        </is>
      </c>
      <c r="C313" t="inlineStr">
        <is>
          <t>London Dynamo</t>
        </is>
      </c>
      <c r="D313" t="inlineStr">
        <is>
          <t>9</t>
        </is>
      </c>
      <c r="E313">
        <f>HYPERLINK("https://www.britishcycling.org.uk/points?person_id=12187&amp;year=2021&amp;type=national&amp;d=6","Results")</f>
        <v/>
      </c>
    </row>
    <row r="314">
      <c r="A314" t="inlineStr">
        <is>
          <t>313</t>
        </is>
      </c>
      <c r="B314" t="inlineStr">
        <is>
          <t>Tim Howcroft</t>
        </is>
      </c>
      <c r="C314" t="inlineStr">
        <is>
          <t>Otley CC</t>
        </is>
      </c>
      <c r="D314" t="inlineStr">
        <is>
          <t>9</t>
        </is>
      </c>
      <c r="E314">
        <f>HYPERLINK("https://www.britishcycling.org.uk/points?person_id=50790&amp;year=2021&amp;type=national&amp;d=6","Results")</f>
        <v/>
      </c>
    </row>
    <row r="315">
      <c r="A315" t="inlineStr">
        <is>
          <t>314</t>
        </is>
      </c>
      <c r="B315" t="inlineStr">
        <is>
          <t>Stephen Jones</t>
        </is>
      </c>
      <c r="C315" t="inlineStr">
        <is>
          <t>Amersham Road Cycling Club</t>
        </is>
      </c>
      <c r="D315" t="inlineStr">
        <is>
          <t>9</t>
        </is>
      </c>
      <c r="E315">
        <f>HYPERLINK("https://www.britishcycling.org.uk/points?person_id=38416&amp;year=2021&amp;type=national&amp;d=6","Results")</f>
        <v/>
      </c>
    </row>
    <row r="316">
      <c r="A316" t="inlineStr">
        <is>
          <t>315</t>
        </is>
      </c>
      <c r="B316" t="inlineStr">
        <is>
          <t>Gary Milton</t>
        </is>
      </c>
      <c r="C316" t="inlineStr">
        <is>
          <t>Blazing Saddles RT</t>
        </is>
      </c>
      <c r="D316" t="inlineStr">
        <is>
          <t>9</t>
        </is>
      </c>
      <c r="E316">
        <f>HYPERLINK("https://www.britishcycling.org.uk/points?person_id=644915&amp;year=2021&amp;type=national&amp;d=6","Results")</f>
        <v/>
      </c>
    </row>
    <row r="317">
      <c r="A317" t="inlineStr">
        <is>
          <t>316</t>
        </is>
      </c>
      <c r="B317" t="inlineStr">
        <is>
          <t>Sean Quarmby</t>
        </is>
      </c>
      <c r="C317" t="inlineStr">
        <is>
          <t>Aylsham Road Club</t>
        </is>
      </c>
      <c r="D317" t="inlineStr">
        <is>
          <t>9</t>
        </is>
      </c>
      <c r="E317">
        <f>HYPERLINK("https://www.britishcycling.org.uk/points?person_id=195808&amp;year=2021&amp;type=national&amp;d=6","Results")</f>
        <v/>
      </c>
    </row>
    <row r="318">
      <c r="A318" t="inlineStr">
        <is>
          <t>317</t>
        </is>
      </c>
      <c r="B318" t="inlineStr">
        <is>
          <t>Kevin Holloway</t>
        </is>
      </c>
      <c r="C318" t="inlineStr">
        <is>
          <t>GS Vecchi</t>
        </is>
      </c>
      <c r="D318" t="inlineStr">
        <is>
          <t>8</t>
        </is>
      </c>
      <c r="E318">
        <f>HYPERLINK("https://www.britishcycling.org.uk/points?person_id=19053&amp;year=2021&amp;type=national&amp;d=6","Results")</f>
        <v/>
      </c>
    </row>
    <row r="319">
      <c r="A319" t="inlineStr">
        <is>
          <t>318</t>
        </is>
      </c>
      <c r="B319" t="inlineStr">
        <is>
          <t>Mark Hudson</t>
        </is>
      </c>
      <c r="C319" t="inlineStr">
        <is>
          <t>WarVena Racing Team</t>
        </is>
      </c>
      <c r="D319" t="inlineStr">
        <is>
          <t>8</t>
        </is>
      </c>
      <c r="E319">
        <f>HYPERLINK("https://www.britishcycling.org.uk/points?person_id=281443&amp;year=2021&amp;type=national&amp;d=6","Results")</f>
        <v/>
      </c>
    </row>
    <row r="320">
      <c r="A320" t="inlineStr">
        <is>
          <t>319</t>
        </is>
      </c>
      <c r="B320" t="inlineStr">
        <is>
          <t>Colin Murray</t>
        </is>
      </c>
      <c r="C320" t="inlineStr">
        <is>
          <t>Tyneside Vagabonds CC</t>
        </is>
      </c>
      <c r="D320" t="inlineStr">
        <is>
          <t>8</t>
        </is>
      </c>
      <c r="E320">
        <f>HYPERLINK("https://www.britishcycling.org.uk/points?person_id=189031&amp;year=2021&amp;type=national&amp;d=6","Results")</f>
        <v/>
      </c>
    </row>
    <row r="321">
      <c r="A321" t="inlineStr">
        <is>
          <t>320</t>
        </is>
      </c>
      <c r="B321" t="inlineStr">
        <is>
          <t>Rob Nicholson</t>
        </is>
      </c>
      <c r="C321" t="inlineStr">
        <is>
          <t>Classic Racing Team</t>
        </is>
      </c>
      <c r="D321" t="inlineStr">
        <is>
          <t>8</t>
        </is>
      </c>
      <c r="E321">
        <f>HYPERLINK("https://www.britishcycling.org.uk/points?person_id=6615&amp;year=2021&amp;type=national&amp;d=6","Results")</f>
        <v/>
      </c>
    </row>
    <row r="322">
      <c r="A322" t="inlineStr">
        <is>
          <t>321</t>
        </is>
      </c>
      <c r="B322" t="inlineStr">
        <is>
          <t>Ian O'Brien</t>
        </is>
      </c>
      <c r="C322" t="inlineStr">
        <is>
          <t>Cero - Cycle Division Racing Team</t>
        </is>
      </c>
      <c r="D322" t="inlineStr">
        <is>
          <t>8</t>
        </is>
      </c>
      <c r="E322">
        <f>HYPERLINK("https://www.britishcycling.org.uk/points?person_id=18306&amp;year=2021&amp;type=national&amp;d=6","Results")</f>
        <v/>
      </c>
    </row>
    <row r="323">
      <c r="A323" t="inlineStr">
        <is>
          <t>322</t>
        </is>
      </c>
      <c r="B323" t="inlineStr">
        <is>
          <t>Paul O'Driscoll</t>
        </is>
      </c>
      <c r="C323" t="inlineStr">
        <is>
          <t>Team Swindon Cycles</t>
        </is>
      </c>
      <c r="D323" t="inlineStr">
        <is>
          <t>8</t>
        </is>
      </c>
      <c r="E323">
        <f>HYPERLINK("https://www.britishcycling.org.uk/points?person_id=49978&amp;year=2021&amp;type=national&amp;d=6","Results")</f>
        <v/>
      </c>
    </row>
    <row r="324">
      <c r="A324" t="inlineStr">
        <is>
          <t>323</t>
        </is>
      </c>
      <c r="B324" t="inlineStr">
        <is>
          <t>Rob Pettitt</t>
        </is>
      </c>
      <c r="C324" t="inlineStr">
        <is>
          <t>Chester RC</t>
        </is>
      </c>
      <c r="D324" t="inlineStr">
        <is>
          <t>8</t>
        </is>
      </c>
      <c r="E324">
        <f>HYPERLINK("https://www.britishcycling.org.uk/points?person_id=417285&amp;year=2021&amp;type=national&amp;d=6","Results")</f>
        <v/>
      </c>
    </row>
    <row r="325">
      <c r="A325" t="inlineStr">
        <is>
          <t>324</t>
        </is>
      </c>
      <c r="B325" t="inlineStr">
        <is>
          <t>Marcus Spencer</t>
        </is>
      </c>
      <c r="C325" t="inlineStr"/>
      <c r="D325" t="inlineStr">
        <is>
          <t>8</t>
        </is>
      </c>
      <c r="E325">
        <f>HYPERLINK("https://www.britishcycling.org.uk/points?person_id=22144&amp;year=2021&amp;type=national&amp;d=6","Results")</f>
        <v/>
      </c>
    </row>
    <row r="326">
      <c r="A326" t="inlineStr">
        <is>
          <t>325</t>
        </is>
      </c>
      <c r="B326" t="inlineStr">
        <is>
          <t>Tony Stubbs</t>
        </is>
      </c>
      <c r="C326" t="inlineStr">
        <is>
          <t>Albarosa Cycling Club</t>
        </is>
      </c>
      <c r="D326" t="inlineStr">
        <is>
          <t>8</t>
        </is>
      </c>
      <c r="E326">
        <f>HYPERLINK("https://www.britishcycling.org.uk/points?person_id=624135&amp;year=2021&amp;type=national&amp;d=6","Results")</f>
        <v/>
      </c>
    </row>
    <row r="327">
      <c r="A327" t="inlineStr">
        <is>
          <t>326</t>
        </is>
      </c>
      <c r="B327" t="inlineStr">
        <is>
          <t>Norman Blissett</t>
        </is>
      </c>
      <c r="C327" t="inlineStr">
        <is>
          <t>trainSharp Club</t>
        </is>
      </c>
      <c r="D327" t="inlineStr">
        <is>
          <t>7</t>
        </is>
      </c>
      <c r="E327">
        <f>HYPERLINK("https://www.britishcycling.org.uk/points?person_id=303195&amp;year=2021&amp;type=national&amp;d=6","Results")</f>
        <v/>
      </c>
    </row>
    <row r="328">
      <c r="A328" t="inlineStr">
        <is>
          <t>327</t>
        </is>
      </c>
      <c r="B328" t="inlineStr">
        <is>
          <t>Andrew Brown</t>
        </is>
      </c>
      <c r="C328" t="inlineStr">
        <is>
          <t>Kettering CC</t>
        </is>
      </c>
      <c r="D328" t="inlineStr">
        <is>
          <t>7</t>
        </is>
      </c>
      <c r="E328">
        <f>HYPERLINK("https://www.britishcycling.org.uk/points?person_id=369334&amp;year=2021&amp;type=national&amp;d=6","Results")</f>
        <v/>
      </c>
    </row>
    <row r="329">
      <c r="A329" t="inlineStr">
        <is>
          <t>328</t>
        </is>
      </c>
      <c r="B329" t="inlineStr">
        <is>
          <t>Steven Freear</t>
        </is>
      </c>
      <c r="C329" t="inlineStr">
        <is>
          <t>Manchester Wheelers Club</t>
        </is>
      </c>
      <c r="D329" t="inlineStr">
        <is>
          <t>7</t>
        </is>
      </c>
      <c r="E329">
        <f>HYPERLINK("https://www.britishcycling.org.uk/points?person_id=127968&amp;year=2021&amp;type=national&amp;d=6","Results")</f>
        <v/>
      </c>
    </row>
    <row r="330">
      <c r="A330" t="inlineStr">
        <is>
          <t>329</t>
        </is>
      </c>
      <c r="B330" t="inlineStr">
        <is>
          <t>Michael Greaves</t>
        </is>
      </c>
      <c r="C330" t="inlineStr">
        <is>
          <t>Gannet CC</t>
        </is>
      </c>
      <c r="D330" t="inlineStr">
        <is>
          <t>7</t>
        </is>
      </c>
      <c r="E330">
        <f>HYPERLINK("https://www.britishcycling.org.uk/points?person_id=36411&amp;year=2021&amp;type=national&amp;d=6","Results")</f>
        <v/>
      </c>
    </row>
    <row r="331">
      <c r="A331" t="inlineStr">
        <is>
          <t>330</t>
        </is>
      </c>
      <c r="B331" t="inlineStr">
        <is>
          <t>Gary Hoskin</t>
        </is>
      </c>
      <c r="C331" t="inlineStr">
        <is>
          <t>Velo Club Lincoln</t>
        </is>
      </c>
      <c r="D331" t="inlineStr">
        <is>
          <t>7</t>
        </is>
      </c>
      <c r="E331">
        <f>HYPERLINK("https://www.britishcycling.org.uk/points?person_id=294102&amp;year=2021&amp;type=national&amp;d=6","Results")</f>
        <v/>
      </c>
    </row>
    <row r="332">
      <c r="A332" t="inlineStr">
        <is>
          <t>331</t>
        </is>
      </c>
      <c r="B332" t="inlineStr">
        <is>
          <t>Simon Howarth</t>
        </is>
      </c>
      <c r="C332" t="inlineStr">
        <is>
          <t>Pontypool RCC</t>
        </is>
      </c>
      <c r="D332" t="inlineStr">
        <is>
          <t>7</t>
        </is>
      </c>
      <c r="E332">
        <f>HYPERLINK("https://www.britishcycling.org.uk/points?person_id=770447&amp;year=2021&amp;type=national&amp;d=6","Results")</f>
        <v/>
      </c>
    </row>
    <row r="333">
      <c r="A333" t="inlineStr">
        <is>
          <t>332</t>
        </is>
      </c>
      <c r="B333" t="inlineStr">
        <is>
          <t>Nicholas Kershaw</t>
        </is>
      </c>
      <c r="C333" t="inlineStr">
        <is>
          <t>Welland Valley CC</t>
        </is>
      </c>
      <c r="D333" t="inlineStr">
        <is>
          <t>7</t>
        </is>
      </c>
      <c r="E333">
        <f>HYPERLINK("https://www.britishcycling.org.uk/points?person_id=18653&amp;year=2021&amp;type=national&amp;d=6","Results")</f>
        <v/>
      </c>
    </row>
    <row r="334">
      <c r="A334" t="inlineStr">
        <is>
          <t>333</t>
        </is>
      </c>
      <c r="B334" t="inlineStr">
        <is>
          <t>Mark Laidlaw</t>
        </is>
      </c>
      <c r="C334" t="inlineStr">
        <is>
          <t>Kendal Cycle Club</t>
        </is>
      </c>
      <c r="D334" t="inlineStr">
        <is>
          <t>7</t>
        </is>
      </c>
      <c r="E334">
        <f>HYPERLINK("https://www.britishcycling.org.uk/points?person_id=392488&amp;year=2021&amp;type=national&amp;d=6","Results")</f>
        <v/>
      </c>
    </row>
    <row r="335">
      <c r="A335" t="inlineStr">
        <is>
          <t>334</t>
        </is>
      </c>
      <c r="B335" t="inlineStr">
        <is>
          <t>David Lindsay</t>
        </is>
      </c>
      <c r="C335" t="inlineStr">
        <is>
          <t>Musselburgh RCC</t>
        </is>
      </c>
      <c r="D335" t="inlineStr">
        <is>
          <t>7</t>
        </is>
      </c>
      <c r="E335">
        <f>HYPERLINK("https://www.britishcycling.org.uk/points?person_id=54665&amp;year=2021&amp;type=national&amp;d=6","Results")</f>
        <v/>
      </c>
    </row>
    <row r="336">
      <c r="A336" t="inlineStr">
        <is>
          <t>335</t>
        </is>
      </c>
      <c r="B336" t="inlineStr">
        <is>
          <t>Steve Macluskie</t>
        </is>
      </c>
      <c r="C336" t="inlineStr">
        <is>
          <t>VC Glasgow South</t>
        </is>
      </c>
      <c r="D336" t="inlineStr">
        <is>
          <t>7</t>
        </is>
      </c>
      <c r="E336">
        <f>HYPERLINK("https://www.britishcycling.org.uk/points?person_id=106316&amp;year=2021&amp;type=national&amp;d=6","Results")</f>
        <v/>
      </c>
    </row>
    <row r="337">
      <c r="A337" t="inlineStr">
        <is>
          <t>336</t>
        </is>
      </c>
      <c r="B337" t="inlineStr">
        <is>
          <t>Steve Shepherd</t>
        </is>
      </c>
      <c r="C337" t="inlineStr"/>
      <c r="D337" t="inlineStr">
        <is>
          <t>7</t>
        </is>
      </c>
      <c r="E337">
        <f>HYPERLINK("https://www.britishcycling.org.uk/points?person_id=69953&amp;year=2021&amp;type=national&amp;d=6","Results")</f>
        <v/>
      </c>
    </row>
    <row r="338">
      <c r="A338" t="inlineStr">
        <is>
          <t>337</t>
        </is>
      </c>
      <c r="B338" t="inlineStr">
        <is>
          <t>Fraser Tait</t>
        </is>
      </c>
      <c r="C338" t="inlineStr">
        <is>
          <t>Ayr Roads Cycling Club</t>
        </is>
      </c>
      <c r="D338" t="inlineStr">
        <is>
          <t>7</t>
        </is>
      </c>
      <c r="E338">
        <f>HYPERLINK("https://www.britishcycling.org.uk/points?person_id=404382&amp;year=2021&amp;type=national&amp;d=6","Results")</f>
        <v/>
      </c>
    </row>
    <row r="339">
      <c r="A339" t="inlineStr">
        <is>
          <t>338</t>
        </is>
      </c>
      <c r="B339" t="inlineStr">
        <is>
          <t>Rob Watson</t>
        </is>
      </c>
      <c r="C339" t="inlineStr">
        <is>
          <t>SKCC</t>
        </is>
      </c>
      <c r="D339" t="inlineStr">
        <is>
          <t>7</t>
        </is>
      </c>
      <c r="E339">
        <f>HYPERLINK("https://www.britishcycling.org.uk/points?person_id=314245&amp;year=2021&amp;type=national&amp;d=6","Results")</f>
        <v/>
      </c>
    </row>
    <row r="340">
      <c r="A340" t="inlineStr">
        <is>
          <t>339</t>
        </is>
      </c>
      <c r="B340" t="inlineStr">
        <is>
          <t>Philip  Clayton</t>
        </is>
      </c>
      <c r="C340" t="inlineStr">
        <is>
          <t>ROTOR Race Team</t>
        </is>
      </c>
      <c r="D340" t="inlineStr">
        <is>
          <t>6</t>
        </is>
      </c>
      <c r="E340">
        <f>HYPERLINK("https://www.britishcycling.org.uk/points?person_id=853402&amp;year=2021&amp;type=national&amp;d=6","Results")</f>
        <v/>
      </c>
    </row>
    <row r="341">
      <c r="A341" t="inlineStr">
        <is>
          <t>340</t>
        </is>
      </c>
      <c r="B341" t="inlineStr">
        <is>
          <t>Marcus Durant</t>
        </is>
      </c>
      <c r="C341" t="inlineStr">
        <is>
          <t>Origin Race Team</t>
        </is>
      </c>
      <c r="D341" t="inlineStr">
        <is>
          <t>6</t>
        </is>
      </c>
      <c r="E341">
        <f>HYPERLINK("https://www.britishcycling.org.uk/points?person_id=186340&amp;year=2021&amp;type=national&amp;d=6","Results")</f>
        <v/>
      </c>
    </row>
    <row r="342">
      <c r="A342" t="inlineStr">
        <is>
          <t>341</t>
        </is>
      </c>
      <c r="B342" t="inlineStr">
        <is>
          <t>Mike Giles</t>
        </is>
      </c>
      <c r="C342" t="inlineStr">
        <is>
          <t>Ythan CC</t>
        </is>
      </c>
      <c r="D342" t="inlineStr">
        <is>
          <t>6</t>
        </is>
      </c>
      <c r="E342">
        <f>HYPERLINK("https://www.britishcycling.org.uk/points?person_id=136073&amp;year=2021&amp;type=national&amp;d=6","Results")</f>
        <v/>
      </c>
    </row>
    <row r="343">
      <c r="A343" t="inlineStr">
        <is>
          <t>342</t>
        </is>
      </c>
      <c r="B343" t="inlineStr">
        <is>
          <t>Jonathan Groves</t>
        </is>
      </c>
      <c r="C343" t="inlineStr">
        <is>
          <t>WDMBC</t>
        </is>
      </c>
      <c r="D343" t="inlineStr">
        <is>
          <t>6</t>
        </is>
      </c>
      <c r="E343">
        <f>HYPERLINK("https://www.britishcycling.org.uk/points?person_id=186190&amp;year=2021&amp;type=national&amp;d=6","Results")</f>
        <v/>
      </c>
    </row>
    <row r="344">
      <c r="A344" t="inlineStr">
        <is>
          <t>343</t>
        </is>
      </c>
      <c r="B344" t="inlineStr">
        <is>
          <t>Clive Heard</t>
        </is>
      </c>
      <c r="C344" t="inlineStr">
        <is>
          <t>Axe Valley Pedallers</t>
        </is>
      </c>
      <c r="D344" t="inlineStr">
        <is>
          <t>6</t>
        </is>
      </c>
      <c r="E344">
        <f>HYPERLINK("https://www.britishcycling.org.uk/points?person_id=132172&amp;year=2021&amp;type=national&amp;d=6","Results")</f>
        <v/>
      </c>
    </row>
    <row r="345">
      <c r="A345" t="inlineStr">
        <is>
          <t>344</t>
        </is>
      </c>
      <c r="B345" t="inlineStr">
        <is>
          <t>Nigel Holl</t>
        </is>
      </c>
      <c r="C345" t="inlineStr">
        <is>
          <t>RT23</t>
        </is>
      </c>
      <c r="D345" t="inlineStr">
        <is>
          <t>6</t>
        </is>
      </c>
      <c r="E345">
        <f>HYPERLINK("https://www.britishcycling.org.uk/points?person_id=128099&amp;year=2021&amp;type=national&amp;d=6","Results")</f>
        <v/>
      </c>
    </row>
    <row r="346">
      <c r="A346" t="inlineStr">
        <is>
          <t>345</t>
        </is>
      </c>
      <c r="B346" t="inlineStr">
        <is>
          <t>Bryan Holland</t>
        </is>
      </c>
      <c r="C346" t="inlineStr">
        <is>
          <t>North Road CC</t>
        </is>
      </c>
      <c r="D346" t="inlineStr">
        <is>
          <t>6</t>
        </is>
      </c>
      <c r="E346">
        <f>HYPERLINK("https://www.britishcycling.org.uk/points?person_id=209264&amp;year=2021&amp;type=national&amp;d=6","Results")</f>
        <v/>
      </c>
    </row>
    <row r="347">
      <c r="A347" t="inlineStr">
        <is>
          <t>346</t>
        </is>
      </c>
      <c r="B347" t="inlineStr">
        <is>
          <t>Paul Horta-Hopkins</t>
        </is>
      </c>
      <c r="C347" t="inlineStr">
        <is>
          <t>Handsling Racing</t>
        </is>
      </c>
      <c r="D347" t="inlineStr">
        <is>
          <t>6</t>
        </is>
      </c>
      <c r="E347">
        <f>HYPERLINK("https://www.britishcycling.org.uk/points?person_id=52182&amp;year=2021&amp;type=national&amp;d=6","Results")</f>
        <v/>
      </c>
    </row>
    <row r="348">
      <c r="A348" t="inlineStr">
        <is>
          <t>347</t>
        </is>
      </c>
      <c r="B348" t="inlineStr">
        <is>
          <t>Dave Phillips</t>
        </is>
      </c>
      <c r="C348" t="inlineStr">
        <is>
          <t>Cotswold Veldrijden</t>
        </is>
      </c>
      <c r="D348" t="inlineStr">
        <is>
          <t>6</t>
        </is>
      </c>
      <c r="E348">
        <f>HYPERLINK("https://www.britishcycling.org.uk/points?person_id=394448&amp;year=2021&amp;type=national&amp;d=6","Results")</f>
        <v/>
      </c>
    </row>
    <row r="349">
      <c r="A349" t="inlineStr">
        <is>
          <t>348</t>
        </is>
      </c>
      <c r="B349" t="inlineStr">
        <is>
          <t>Steven Smales</t>
        </is>
      </c>
      <c r="C349" t="inlineStr">
        <is>
          <t>Bioracer UK RT</t>
        </is>
      </c>
      <c r="D349" t="inlineStr">
        <is>
          <t>6</t>
        </is>
      </c>
      <c r="E349">
        <f>HYPERLINK("https://www.britishcycling.org.uk/points?person_id=59398&amp;year=2021&amp;type=national&amp;d=6","Results")</f>
        <v/>
      </c>
    </row>
    <row r="350">
      <c r="A350" t="inlineStr">
        <is>
          <t>349</t>
        </is>
      </c>
      <c r="B350" t="inlineStr">
        <is>
          <t>Michael Stegeman</t>
        </is>
      </c>
      <c r="C350" t="inlineStr">
        <is>
          <t>Fenland Clarion CC</t>
        </is>
      </c>
      <c r="D350" t="inlineStr">
        <is>
          <t>6</t>
        </is>
      </c>
      <c r="E350">
        <f>HYPERLINK("https://www.britishcycling.org.uk/points?person_id=171751&amp;year=2021&amp;type=national&amp;d=6","Results")</f>
        <v/>
      </c>
    </row>
    <row r="351">
      <c r="A351" t="inlineStr">
        <is>
          <t>350</t>
        </is>
      </c>
      <c r="B351" t="inlineStr">
        <is>
          <t>Daniel Wood</t>
        </is>
      </c>
      <c r="C351" t="inlineStr">
        <is>
          <t>Stevenage CC</t>
        </is>
      </c>
      <c r="D351" t="inlineStr">
        <is>
          <t>6</t>
        </is>
      </c>
      <c r="E351">
        <f>HYPERLINK("https://www.britishcycling.org.uk/points?person_id=136449&amp;year=2021&amp;type=national&amp;d=6","Results")</f>
        <v/>
      </c>
    </row>
    <row r="352">
      <c r="A352" t="inlineStr">
        <is>
          <t>351</t>
        </is>
      </c>
      <c r="B352" t="inlineStr">
        <is>
          <t>James Woodward</t>
        </is>
      </c>
      <c r="C352" t="inlineStr">
        <is>
          <t>Ride Coventry</t>
        </is>
      </c>
      <c r="D352" t="inlineStr">
        <is>
          <t>6</t>
        </is>
      </c>
      <c r="E352">
        <f>HYPERLINK("https://www.britishcycling.org.uk/points?person_id=59841&amp;year=2021&amp;type=national&amp;d=6","Results")</f>
        <v/>
      </c>
    </row>
    <row r="353">
      <c r="A353" t="inlineStr">
        <is>
          <t>352</t>
        </is>
      </c>
      <c r="B353" t="inlineStr">
        <is>
          <t>Mark Bemand</t>
        </is>
      </c>
      <c r="C353" t="inlineStr">
        <is>
          <t>VCEquipe-FlixOralHygiene-Propulse</t>
        </is>
      </c>
      <c r="D353" t="inlineStr">
        <is>
          <t>5</t>
        </is>
      </c>
      <c r="E353">
        <f>HYPERLINK("https://www.britishcycling.org.uk/points?person_id=21591&amp;year=2021&amp;type=national&amp;d=6","Results")</f>
        <v/>
      </c>
    </row>
    <row r="354">
      <c r="A354" t="inlineStr">
        <is>
          <t>353</t>
        </is>
      </c>
      <c r="B354" t="inlineStr">
        <is>
          <t>Dave Cherry</t>
        </is>
      </c>
      <c r="C354" t="inlineStr">
        <is>
          <t>Leicester Forest CC</t>
        </is>
      </c>
      <c r="D354" t="inlineStr">
        <is>
          <t>5</t>
        </is>
      </c>
      <c r="E354">
        <f>HYPERLINK("https://www.britishcycling.org.uk/points?person_id=705939&amp;year=2021&amp;type=national&amp;d=6","Results")</f>
        <v/>
      </c>
    </row>
    <row r="355">
      <c r="A355" t="inlineStr">
        <is>
          <t>354</t>
        </is>
      </c>
      <c r="B355" t="inlineStr">
        <is>
          <t>Kevin Darragh</t>
        </is>
      </c>
      <c r="C355" t="inlineStr">
        <is>
          <t>Travers Bikes.com</t>
        </is>
      </c>
      <c r="D355" t="inlineStr">
        <is>
          <t>5</t>
        </is>
      </c>
      <c r="E355">
        <f>HYPERLINK("https://www.britishcycling.org.uk/points?person_id=10806&amp;year=2021&amp;type=national&amp;d=6","Results")</f>
        <v/>
      </c>
    </row>
    <row r="356">
      <c r="A356" t="inlineStr">
        <is>
          <t>355</t>
        </is>
      </c>
      <c r="B356" t="inlineStr">
        <is>
          <t>Bruce Diesel</t>
        </is>
      </c>
      <c r="C356" t="inlineStr">
        <is>
          <t>Glevum RC</t>
        </is>
      </c>
      <c r="D356" t="inlineStr">
        <is>
          <t>5</t>
        </is>
      </c>
      <c r="E356">
        <f>HYPERLINK("https://www.britishcycling.org.uk/points?person_id=567862&amp;year=2021&amp;type=national&amp;d=6","Results")</f>
        <v/>
      </c>
    </row>
    <row r="357">
      <c r="A357" t="inlineStr">
        <is>
          <t>356</t>
        </is>
      </c>
      <c r="B357" t="inlineStr">
        <is>
          <t>Richard Franklin</t>
        </is>
      </c>
      <c r="C357" t="inlineStr">
        <is>
          <t>Salt &amp; Sham Cycle Club</t>
        </is>
      </c>
      <c r="D357" t="inlineStr">
        <is>
          <t>5</t>
        </is>
      </c>
      <c r="E357">
        <f>HYPERLINK("https://www.britishcycling.org.uk/points?person_id=248698&amp;year=2021&amp;type=national&amp;d=6","Results")</f>
        <v/>
      </c>
    </row>
    <row r="358">
      <c r="A358" t="inlineStr">
        <is>
          <t>357</t>
        </is>
      </c>
      <c r="B358" t="inlineStr">
        <is>
          <t>Jonathan Gall</t>
        </is>
      </c>
      <c r="C358" t="inlineStr">
        <is>
          <t>Clevedon &amp; District RC</t>
        </is>
      </c>
      <c r="D358" t="inlineStr">
        <is>
          <t>5</t>
        </is>
      </c>
      <c r="E358">
        <f>HYPERLINK("https://www.britishcycling.org.uk/points?person_id=24203&amp;year=2021&amp;type=national&amp;d=6","Results")</f>
        <v/>
      </c>
    </row>
    <row r="359">
      <c r="A359" t="inlineStr">
        <is>
          <t>358</t>
        </is>
      </c>
      <c r="B359" t="inlineStr">
        <is>
          <t>John Tomlinson</t>
        </is>
      </c>
      <c r="C359" t="inlineStr">
        <is>
          <t>Barnsley RC</t>
        </is>
      </c>
      <c r="D359" t="inlineStr">
        <is>
          <t>5</t>
        </is>
      </c>
      <c r="E359">
        <f>HYPERLINK("https://www.britishcycling.org.uk/points?person_id=386905&amp;year=2021&amp;type=national&amp;d=6","Results")</f>
        <v/>
      </c>
    </row>
    <row r="360">
      <c r="A360" t="inlineStr">
        <is>
          <t>359</t>
        </is>
      </c>
      <c r="B360" t="inlineStr">
        <is>
          <t>Ian Wilson</t>
        </is>
      </c>
      <c r="C360" t="inlineStr">
        <is>
          <t>Deeside Thistle CC</t>
        </is>
      </c>
      <c r="D360" t="inlineStr">
        <is>
          <t>5</t>
        </is>
      </c>
      <c r="E360">
        <f>HYPERLINK("https://www.britishcycling.org.uk/points?person_id=61491&amp;year=2021&amp;type=national&amp;d=6","Results")</f>
        <v/>
      </c>
    </row>
    <row r="361">
      <c r="A361" t="inlineStr">
        <is>
          <t>360</t>
        </is>
      </c>
      <c r="B361" t="inlineStr">
        <is>
          <t>David Baird</t>
        </is>
      </c>
      <c r="C361" t="inlineStr">
        <is>
          <t>Loudoun RC</t>
        </is>
      </c>
      <c r="D361" t="inlineStr">
        <is>
          <t>4</t>
        </is>
      </c>
      <c r="E361">
        <f>HYPERLINK("https://www.britishcycling.org.uk/points?person_id=242657&amp;year=2021&amp;type=national&amp;d=6","Results")</f>
        <v/>
      </c>
    </row>
    <row r="362">
      <c r="A362" t="inlineStr">
        <is>
          <t>361</t>
        </is>
      </c>
      <c r="B362" t="inlineStr">
        <is>
          <t>Keith Bidwell</t>
        </is>
      </c>
      <c r="C362" t="inlineStr"/>
      <c r="D362" t="inlineStr">
        <is>
          <t>4</t>
        </is>
      </c>
      <c r="E362">
        <f>HYPERLINK("https://www.britishcycling.org.uk/points?person_id=773848&amp;year=2021&amp;type=national&amp;d=6","Results")</f>
        <v/>
      </c>
    </row>
    <row r="363">
      <c r="A363" t="inlineStr">
        <is>
          <t>362</t>
        </is>
      </c>
      <c r="B363" t="inlineStr">
        <is>
          <t>Fraser Blain</t>
        </is>
      </c>
      <c r="C363" t="inlineStr">
        <is>
          <t>Embark - Bikestrong</t>
        </is>
      </c>
      <c r="D363" t="inlineStr">
        <is>
          <t>4</t>
        </is>
      </c>
      <c r="E363">
        <f>HYPERLINK("https://www.britishcycling.org.uk/points?person_id=132710&amp;year=2021&amp;type=national&amp;d=6","Results")</f>
        <v/>
      </c>
    </row>
    <row r="364">
      <c r="A364" t="inlineStr">
        <is>
          <t>363</t>
        </is>
      </c>
      <c r="B364" t="inlineStr">
        <is>
          <t>Gareth Dridge</t>
        </is>
      </c>
      <c r="C364" t="inlineStr">
        <is>
          <t>GS Vecchi</t>
        </is>
      </c>
      <c r="D364" t="inlineStr">
        <is>
          <t>4</t>
        </is>
      </c>
      <c r="E364">
        <f>HYPERLINK("https://www.britishcycling.org.uk/points?person_id=130629&amp;year=2021&amp;type=national&amp;d=6","Results")</f>
        <v/>
      </c>
    </row>
    <row r="365">
      <c r="A365" t="inlineStr">
        <is>
          <t>364</t>
        </is>
      </c>
      <c r="B365" t="inlineStr">
        <is>
          <t>Vincent Friedlander</t>
        </is>
      </c>
      <c r="C365" t="inlineStr">
        <is>
          <t>Cycle Club Ashwell (CCA)</t>
        </is>
      </c>
      <c r="D365" t="inlineStr">
        <is>
          <t>4</t>
        </is>
      </c>
      <c r="E365">
        <f>HYPERLINK("https://www.britishcycling.org.uk/points?person_id=67078&amp;year=2021&amp;type=national&amp;d=6","Results")</f>
        <v/>
      </c>
    </row>
    <row r="366">
      <c r="A366" t="inlineStr">
        <is>
          <t>365</t>
        </is>
      </c>
      <c r="B366" t="inlineStr">
        <is>
          <t>David Gamble</t>
        </is>
      </c>
      <c r="C366" t="inlineStr">
        <is>
          <t>Bury Clarion Cycling Club</t>
        </is>
      </c>
      <c r="D366" t="inlineStr">
        <is>
          <t>4</t>
        </is>
      </c>
      <c r="E366">
        <f>HYPERLINK("https://www.britishcycling.org.uk/points?person_id=415591&amp;year=2021&amp;type=national&amp;d=6","Results")</f>
        <v/>
      </c>
    </row>
    <row r="367">
      <c r="A367" t="inlineStr">
        <is>
          <t>366</t>
        </is>
      </c>
      <c r="B367" t="inlineStr">
        <is>
          <t>Cameron Gray</t>
        </is>
      </c>
      <c r="C367" t="inlineStr">
        <is>
          <t>Royal Albert CC</t>
        </is>
      </c>
      <c r="D367" t="inlineStr">
        <is>
          <t>4</t>
        </is>
      </c>
      <c r="E367">
        <f>HYPERLINK("https://www.britishcycling.org.uk/points?person_id=692574&amp;year=2021&amp;type=national&amp;d=6","Results")</f>
        <v/>
      </c>
    </row>
    <row r="368">
      <c r="A368" t="inlineStr">
        <is>
          <t>367</t>
        </is>
      </c>
      <c r="B368" t="inlineStr">
        <is>
          <t>Craig MacWilliam</t>
        </is>
      </c>
      <c r="C368" t="inlineStr">
        <is>
          <t>RC Cumbernauld &amp; Kilsyth</t>
        </is>
      </c>
      <c r="D368" t="inlineStr">
        <is>
          <t>4</t>
        </is>
      </c>
      <c r="E368">
        <f>HYPERLINK("https://www.britishcycling.org.uk/points?person_id=477890&amp;year=2021&amp;type=national&amp;d=6","Results")</f>
        <v/>
      </c>
    </row>
    <row r="369">
      <c r="A369" t="inlineStr">
        <is>
          <t>368</t>
        </is>
      </c>
      <c r="B369" t="inlineStr">
        <is>
          <t>Duncan McIntosh</t>
        </is>
      </c>
      <c r="C369" t="inlineStr">
        <is>
          <t>Peebles CC</t>
        </is>
      </c>
      <c r="D369" t="inlineStr">
        <is>
          <t>4</t>
        </is>
      </c>
      <c r="E369">
        <f>HYPERLINK("https://www.britishcycling.org.uk/points?person_id=1019014&amp;year=2021&amp;type=national&amp;d=6","Results")</f>
        <v/>
      </c>
    </row>
    <row r="370">
      <c r="A370" t="inlineStr">
        <is>
          <t>369</t>
        </is>
      </c>
      <c r="B370" t="inlineStr">
        <is>
          <t>Angus Page</t>
        </is>
      </c>
      <c r="C370" t="inlineStr">
        <is>
          <t>Brereton Wheelers C.C</t>
        </is>
      </c>
      <c r="D370" t="inlineStr">
        <is>
          <t>4</t>
        </is>
      </c>
      <c r="E370">
        <f>HYPERLINK("https://www.britishcycling.org.uk/points?person_id=105851&amp;year=2021&amp;type=national&amp;d=6","Results")</f>
        <v/>
      </c>
    </row>
    <row r="371">
      <c r="A371" t="inlineStr">
        <is>
          <t>370</t>
        </is>
      </c>
      <c r="B371" t="inlineStr">
        <is>
          <t>Peter Phillips</t>
        </is>
      </c>
      <c r="C371" t="inlineStr">
        <is>
          <t>Bath Cycling Club</t>
        </is>
      </c>
      <c r="D371" t="inlineStr">
        <is>
          <t>4</t>
        </is>
      </c>
      <c r="E371">
        <f>HYPERLINK("https://www.britishcycling.org.uk/points?person_id=19771&amp;year=2021&amp;type=national&amp;d=6","Results")</f>
        <v/>
      </c>
    </row>
    <row r="372">
      <c r="A372" t="inlineStr">
        <is>
          <t>371</t>
        </is>
      </c>
      <c r="B372" t="inlineStr">
        <is>
          <t>Simon Reynolds</t>
        </is>
      </c>
      <c r="C372" t="inlineStr">
        <is>
          <t>South Shields Velo Cycling Club</t>
        </is>
      </c>
      <c r="D372" t="inlineStr">
        <is>
          <t>4</t>
        </is>
      </c>
      <c r="E372">
        <f>HYPERLINK("https://www.britishcycling.org.uk/points?person_id=387521&amp;year=2021&amp;type=national&amp;d=6","Results")</f>
        <v/>
      </c>
    </row>
    <row r="373">
      <c r="A373" t="inlineStr">
        <is>
          <t>372</t>
        </is>
      </c>
      <c r="B373" t="inlineStr">
        <is>
          <t>Edward Sarmiento</t>
        </is>
      </c>
      <c r="C373" t="inlineStr">
        <is>
          <t>www.cyclocrossrider.com</t>
        </is>
      </c>
      <c r="D373" t="inlineStr">
        <is>
          <t>4</t>
        </is>
      </c>
      <c r="E373">
        <f>HYPERLINK("https://www.britishcycling.org.uk/points?person_id=197740&amp;year=2021&amp;type=national&amp;d=6","Results")</f>
        <v/>
      </c>
    </row>
    <row r="374">
      <c r="A374" t="inlineStr">
        <is>
          <t>373</t>
        </is>
      </c>
      <c r="B374" t="inlineStr">
        <is>
          <t>Robert Tutt</t>
        </is>
      </c>
      <c r="C374" t="inlineStr">
        <is>
          <t>Velo Club Venta</t>
        </is>
      </c>
      <c r="D374" t="inlineStr">
        <is>
          <t>4</t>
        </is>
      </c>
      <c r="E374">
        <f>HYPERLINK("https://www.britishcycling.org.uk/points?person_id=38053&amp;year=2021&amp;type=national&amp;d=6","Results")</f>
        <v/>
      </c>
    </row>
    <row r="375">
      <c r="A375" t="inlineStr">
        <is>
          <t>374</t>
        </is>
      </c>
      <c r="B375" t="inlineStr">
        <is>
          <t>Stephen Blackmore</t>
        </is>
      </c>
      <c r="C375" t="inlineStr">
        <is>
          <t>Team Darenth</t>
        </is>
      </c>
      <c r="D375" t="inlineStr">
        <is>
          <t>3</t>
        </is>
      </c>
      <c r="E375">
        <f>HYPERLINK("https://www.britishcycling.org.uk/points?person_id=73162&amp;year=2021&amp;type=national&amp;d=6","Results")</f>
        <v/>
      </c>
    </row>
    <row r="376">
      <c r="A376" t="inlineStr">
        <is>
          <t>375</t>
        </is>
      </c>
      <c r="B376" t="inlineStr">
        <is>
          <t>Jon Dixon</t>
        </is>
      </c>
      <c r="C376" t="inlineStr">
        <is>
          <t>ROTOR Race Team</t>
        </is>
      </c>
      <c r="D376" t="inlineStr">
        <is>
          <t>3</t>
        </is>
      </c>
      <c r="E376">
        <f>HYPERLINK("https://www.britishcycling.org.uk/points?person_id=77407&amp;year=2021&amp;type=national&amp;d=6","Results")</f>
        <v/>
      </c>
    </row>
    <row r="377">
      <c r="A377" t="inlineStr">
        <is>
          <t>376</t>
        </is>
      </c>
      <c r="B377" t="inlineStr">
        <is>
          <t>Christian Evans</t>
        </is>
      </c>
      <c r="C377" t="inlineStr">
        <is>
          <t>Ynys Mon Race Team</t>
        </is>
      </c>
      <c r="D377" t="inlineStr">
        <is>
          <t>3</t>
        </is>
      </c>
      <c r="E377">
        <f>HYPERLINK("https://www.britishcycling.org.uk/points?person_id=323641&amp;year=2021&amp;type=national&amp;d=6","Results")</f>
        <v/>
      </c>
    </row>
    <row r="378">
      <c r="A378" t="inlineStr">
        <is>
          <t>377</t>
        </is>
      </c>
      <c r="B378" t="inlineStr">
        <is>
          <t>Andrew Fraser</t>
        </is>
      </c>
      <c r="C378" t="inlineStr">
        <is>
          <t>Ross-Shire RCC</t>
        </is>
      </c>
      <c r="D378" t="inlineStr">
        <is>
          <t>3</t>
        </is>
      </c>
      <c r="E378">
        <f>HYPERLINK("https://www.britishcycling.org.uk/points?person_id=947239&amp;year=2021&amp;type=national&amp;d=6","Results")</f>
        <v/>
      </c>
    </row>
    <row r="379">
      <c r="A379" t="inlineStr">
        <is>
          <t>378</t>
        </is>
      </c>
      <c r="B379" t="inlineStr">
        <is>
          <t>Mark Garrett</t>
        </is>
      </c>
      <c r="C379" t="inlineStr">
        <is>
          <t>Ride Coventry</t>
        </is>
      </c>
      <c r="D379" t="inlineStr">
        <is>
          <t>3</t>
        </is>
      </c>
      <c r="E379">
        <f>HYPERLINK("https://www.britishcycling.org.uk/points?person_id=74190&amp;year=2021&amp;type=national&amp;d=6","Results")</f>
        <v/>
      </c>
    </row>
    <row r="380">
      <c r="A380" t="inlineStr">
        <is>
          <t>379</t>
        </is>
      </c>
      <c r="B380" t="inlineStr">
        <is>
          <t>Anthony Grey</t>
        </is>
      </c>
      <c r="C380" t="inlineStr">
        <is>
          <t>Crawley Wheelers</t>
        </is>
      </c>
      <c r="D380" t="inlineStr">
        <is>
          <t>3</t>
        </is>
      </c>
      <c r="E380">
        <f>HYPERLINK("https://www.britishcycling.org.uk/points?person_id=9773&amp;year=2021&amp;type=national&amp;d=6","Results")</f>
        <v/>
      </c>
    </row>
    <row r="381">
      <c r="A381" t="inlineStr">
        <is>
          <t>380</t>
        </is>
      </c>
      <c r="B381" t="inlineStr">
        <is>
          <t>Hamish McAllan</t>
        </is>
      </c>
      <c r="C381" t="inlineStr">
        <is>
          <t>Wick Wheelers Cycle Club</t>
        </is>
      </c>
      <c r="D381" t="inlineStr">
        <is>
          <t>3</t>
        </is>
      </c>
      <c r="E381">
        <f>HYPERLINK("https://www.britishcycling.org.uk/points?person_id=475707&amp;year=2021&amp;type=national&amp;d=6","Results")</f>
        <v/>
      </c>
    </row>
    <row r="382">
      <c r="A382" t="inlineStr">
        <is>
          <t>381</t>
        </is>
      </c>
      <c r="B382" t="inlineStr">
        <is>
          <t>Simon Meadwell</t>
        </is>
      </c>
      <c r="C382" t="inlineStr">
        <is>
          <t>Bournemouth Jubilee Wheelers</t>
        </is>
      </c>
      <c r="D382" t="inlineStr">
        <is>
          <t>3</t>
        </is>
      </c>
      <c r="E382">
        <f>HYPERLINK("https://www.britishcycling.org.uk/points?person_id=138644&amp;year=2021&amp;type=national&amp;d=6","Results")</f>
        <v/>
      </c>
    </row>
    <row r="383">
      <c r="A383" t="inlineStr">
        <is>
          <t>382</t>
        </is>
      </c>
      <c r="B383" t="inlineStr">
        <is>
          <t>Michael Townend</t>
        </is>
      </c>
      <c r="C383" t="inlineStr">
        <is>
          <t>Coalville Wheelers CC</t>
        </is>
      </c>
      <c r="D383" t="inlineStr">
        <is>
          <t>3</t>
        </is>
      </c>
      <c r="E383">
        <f>HYPERLINK("https://www.britishcycling.org.uk/points?person_id=246704&amp;year=2021&amp;type=national&amp;d=6","Results")</f>
        <v/>
      </c>
    </row>
    <row r="384">
      <c r="A384" t="inlineStr">
        <is>
          <t>383</t>
        </is>
      </c>
      <c r="B384" t="inlineStr">
        <is>
          <t>Paul Upshall</t>
        </is>
      </c>
      <c r="C384" t="inlineStr">
        <is>
          <t>Poole Wheelers CC</t>
        </is>
      </c>
      <c r="D384" t="inlineStr">
        <is>
          <t>3</t>
        </is>
      </c>
      <c r="E384">
        <f>HYPERLINK("https://www.britishcycling.org.uk/points?person_id=44676&amp;year=2021&amp;type=national&amp;d=6","Results")</f>
        <v/>
      </c>
    </row>
    <row r="385">
      <c r="A385" t="inlineStr">
        <is>
          <t>384</t>
        </is>
      </c>
      <c r="B385" t="inlineStr">
        <is>
          <t>Chris Watson</t>
        </is>
      </c>
      <c r="C385" t="inlineStr">
        <is>
          <t>Glasgow Nightingale CC</t>
        </is>
      </c>
      <c r="D385" t="inlineStr">
        <is>
          <t>3</t>
        </is>
      </c>
      <c r="E385">
        <f>HYPERLINK("https://www.britishcycling.org.uk/points?person_id=13506&amp;year=2021&amp;type=national&amp;d=6","Results")</f>
        <v/>
      </c>
    </row>
    <row r="386">
      <c r="A386" t="inlineStr">
        <is>
          <t>385</t>
        </is>
      </c>
      <c r="B386" t="inlineStr">
        <is>
          <t>Rob Dale</t>
        </is>
      </c>
      <c r="C386" t="inlineStr">
        <is>
          <t>Woolwich CC</t>
        </is>
      </c>
      <c r="D386" t="inlineStr">
        <is>
          <t>2</t>
        </is>
      </c>
      <c r="E386">
        <f>HYPERLINK("https://www.britishcycling.org.uk/points?person_id=197453&amp;year=2021&amp;type=national&amp;d=6","Results")</f>
        <v/>
      </c>
    </row>
    <row r="387">
      <c r="A387" t="inlineStr">
        <is>
          <t>386</t>
        </is>
      </c>
      <c r="B387" t="inlineStr">
        <is>
          <t>Paul Gibbs</t>
        </is>
      </c>
      <c r="C387" t="inlineStr">
        <is>
          <t>Velo 1860</t>
        </is>
      </c>
      <c r="D387" t="inlineStr">
        <is>
          <t>2</t>
        </is>
      </c>
      <c r="E387">
        <f>HYPERLINK("https://www.britishcycling.org.uk/points?person_id=99085&amp;year=2021&amp;type=national&amp;d=6","Results")</f>
        <v/>
      </c>
    </row>
    <row r="388">
      <c r="A388" t="inlineStr">
        <is>
          <t>387</t>
        </is>
      </c>
      <c r="B388" t="inlineStr">
        <is>
          <t>Thomas Gordon</t>
        </is>
      </c>
      <c r="C388" t="inlineStr">
        <is>
          <t>Glasgow Nightingale CC</t>
        </is>
      </c>
      <c r="D388" t="inlineStr">
        <is>
          <t>2</t>
        </is>
      </c>
      <c r="E388">
        <f>HYPERLINK("https://www.britishcycling.org.uk/points?person_id=61995&amp;year=2021&amp;type=national&amp;d=6","Results")</f>
        <v/>
      </c>
    </row>
    <row r="389">
      <c r="A389" t="inlineStr">
        <is>
          <t>388</t>
        </is>
      </c>
      <c r="B389" t="inlineStr">
        <is>
          <t>John Houlihan</t>
        </is>
      </c>
      <c r="C389" t="inlineStr">
        <is>
          <t>Here Come The Belgians</t>
        </is>
      </c>
      <c r="D389" t="inlineStr">
        <is>
          <t>2</t>
        </is>
      </c>
      <c r="E389">
        <f>HYPERLINK("https://www.britishcycling.org.uk/points?person_id=984068&amp;year=2021&amp;type=national&amp;d=6","Results")</f>
        <v/>
      </c>
    </row>
    <row r="390">
      <c r="A390" t="inlineStr">
        <is>
          <t>389</t>
        </is>
      </c>
      <c r="B390" t="inlineStr">
        <is>
          <t>Mike Lawrence</t>
        </is>
      </c>
      <c r="C390" t="inlineStr"/>
      <c r="D390" t="inlineStr">
        <is>
          <t>2</t>
        </is>
      </c>
      <c r="E390">
        <f>HYPERLINK("https://www.britishcycling.org.uk/points?person_id=190776&amp;year=2021&amp;type=national&amp;d=6","Results")</f>
        <v/>
      </c>
    </row>
    <row r="391">
      <c r="A391" t="inlineStr">
        <is>
          <t>390</t>
        </is>
      </c>
      <c r="B391" t="inlineStr">
        <is>
          <t>Alan Manson</t>
        </is>
      </c>
      <c r="C391" t="inlineStr">
        <is>
          <t>Scottish Veterans T.T.A.</t>
        </is>
      </c>
      <c r="D391" t="inlineStr">
        <is>
          <t>2</t>
        </is>
      </c>
      <c r="E391">
        <f>HYPERLINK("https://www.britishcycling.org.uk/points?person_id=448695&amp;year=2021&amp;type=national&amp;d=6","Results")</f>
        <v/>
      </c>
    </row>
    <row r="392">
      <c r="A392" t="inlineStr">
        <is>
          <t>391</t>
        </is>
      </c>
      <c r="B392" t="inlineStr">
        <is>
          <t>Paul Milner</t>
        </is>
      </c>
      <c r="C392" t="inlineStr">
        <is>
          <t>Worcester St Johns CC</t>
        </is>
      </c>
      <c r="D392" t="inlineStr">
        <is>
          <t>2</t>
        </is>
      </c>
      <c r="E392">
        <f>HYPERLINK("https://www.britishcycling.org.uk/points?person_id=136092&amp;year=2021&amp;type=national&amp;d=6","Results")</f>
        <v/>
      </c>
    </row>
    <row r="393">
      <c r="A393" t="inlineStr">
        <is>
          <t>392</t>
        </is>
      </c>
      <c r="B393" t="inlineStr">
        <is>
          <t>Chris Montagu</t>
        </is>
      </c>
      <c r="C393" t="inlineStr">
        <is>
          <t>Kingston Wheelers CC</t>
        </is>
      </c>
      <c r="D393" t="inlineStr">
        <is>
          <t>2</t>
        </is>
      </c>
      <c r="E393">
        <f>HYPERLINK("https://www.britishcycling.org.uk/points?person_id=391212&amp;year=2021&amp;type=national&amp;d=6","Results")</f>
        <v/>
      </c>
    </row>
    <row r="394">
      <c r="A394" t="inlineStr">
        <is>
          <t>393</t>
        </is>
      </c>
      <c r="B394" t="inlineStr">
        <is>
          <t>Ben Nixon</t>
        </is>
      </c>
      <c r="C394" t="inlineStr">
        <is>
          <t>Musette Cafe Race Team</t>
        </is>
      </c>
      <c r="D394" t="inlineStr">
        <is>
          <t>2</t>
        </is>
      </c>
      <c r="E394">
        <f>HYPERLINK("https://www.britishcycling.org.uk/points?person_id=487243&amp;year=2021&amp;type=national&amp;d=6","Results")</f>
        <v/>
      </c>
    </row>
    <row r="395">
      <c r="A395" t="inlineStr">
        <is>
          <t>394</t>
        </is>
      </c>
      <c r="B395" t="inlineStr">
        <is>
          <t>Stephen Robinson</t>
        </is>
      </c>
      <c r="C395" t="inlineStr">
        <is>
          <t>Velo Club Beverley</t>
        </is>
      </c>
      <c r="D395" t="inlineStr">
        <is>
          <t>2</t>
        </is>
      </c>
      <c r="E395">
        <f>HYPERLINK("https://www.britishcycling.org.uk/points?person_id=461182&amp;year=2021&amp;type=national&amp;d=6","Results")</f>
        <v/>
      </c>
    </row>
    <row r="396">
      <c r="A396" t="inlineStr">
        <is>
          <t>395</t>
        </is>
      </c>
      <c r="B396" t="inlineStr">
        <is>
          <t>Derek Billham</t>
        </is>
      </c>
      <c r="C396" t="inlineStr">
        <is>
          <t>North Tyneside Riders</t>
        </is>
      </c>
      <c r="D396" t="inlineStr">
        <is>
          <t>1</t>
        </is>
      </c>
      <c r="E396">
        <f>HYPERLINK("https://www.britishcycling.org.uk/points?person_id=321373&amp;year=2021&amp;type=national&amp;d=6","Results")</f>
        <v/>
      </c>
    </row>
    <row r="397">
      <c r="A397" t="inlineStr">
        <is>
          <t>396</t>
        </is>
      </c>
      <c r="B397" t="inlineStr">
        <is>
          <t>Garry Bolton</t>
        </is>
      </c>
      <c r="C397" t="inlineStr">
        <is>
          <t>Wolverhampton Wheelers</t>
        </is>
      </c>
      <c r="D397" t="inlineStr">
        <is>
          <t>1</t>
        </is>
      </c>
      <c r="E397">
        <f>HYPERLINK("https://www.britishcycling.org.uk/points?person_id=100414&amp;year=2021&amp;type=national&amp;d=6","Results")</f>
        <v/>
      </c>
    </row>
    <row r="398">
      <c r="A398" t="inlineStr">
        <is>
          <t>397</t>
        </is>
      </c>
      <c r="B398" t="inlineStr">
        <is>
          <t>Phil Bristow</t>
        </is>
      </c>
      <c r="C398" t="inlineStr">
        <is>
          <t>WarVena Racing Team</t>
        </is>
      </c>
      <c r="D398" t="inlineStr">
        <is>
          <t>1</t>
        </is>
      </c>
      <c r="E398">
        <f>HYPERLINK("https://www.britishcycling.org.uk/points?person_id=174686&amp;year=2021&amp;type=national&amp;d=6","Results")</f>
        <v/>
      </c>
    </row>
    <row r="399">
      <c r="A399" t="inlineStr">
        <is>
          <t>398</t>
        </is>
      </c>
      <c r="B399" t="inlineStr">
        <is>
          <t>Stephen Croggon</t>
        </is>
      </c>
      <c r="C399" t="inlineStr">
        <is>
          <t>Beacon Roads CC</t>
        </is>
      </c>
      <c r="D399" t="inlineStr">
        <is>
          <t>1</t>
        </is>
      </c>
      <c r="E399">
        <f>HYPERLINK("https://www.britishcycling.org.uk/points?person_id=78740&amp;year=2021&amp;type=national&amp;d=6","Results")</f>
        <v/>
      </c>
    </row>
    <row r="400">
      <c r="A400" t="inlineStr">
        <is>
          <t>399</t>
        </is>
      </c>
      <c r="B400" t="inlineStr">
        <is>
          <t>Bryan Donnelly</t>
        </is>
      </c>
      <c r="C400" t="inlineStr">
        <is>
          <t>Glasgow Nightingale CC</t>
        </is>
      </c>
      <c r="D400" t="inlineStr">
        <is>
          <t>1</t>
        </is>
      </c>
      <c r="E400">
        <f>HYPERLINK("https://www.britishcycling.org.uk/points?person_id=105642&amp;year=2021&amp;type=national&amp;d=6","Results")</f>
        <v/>
      </c>
    </row>
    <row r="401">
      <c r="A401" t="inlineStr">
        <is>
          <t>400</t>
        </is>
      </c>
      <c r="B401" t="inlineStr">
        <is>
          <t>Davie Graham</t>
        </is>
      </c>
      <c r="C401" t="inlineStr"/>
      <c r="D401" t="inlineStr">
        <is>
          <t>1</t>
        </is>
      </c>
      <c r="E401">
        <f>HYPERLINK("https://www.britishcycling.org.uk/points?person_id=47908&amp;year=2021&amp;type=national&amp;d=6","Results")</f>
        <v/>
      </c>
    </row>
    <row r="402">
      <c r="A402" t="inlineStr">
        <is>
          <t>401</t>
        </is>
      </c>
      <c r="B402" t="inlineStr">
        <is>
          <t>Graham How</t>
        </is>
      </c>
      <c r="C402" t="inlineStr">
        <is>
          <t>Secret-Training.cc</t>
        </is>
      </c>
      <c r="D402" t="inlineStr">
        <is>
          <t>1</t>
        </is>
      </c>
      <c r="E402">
        <f>HYPERLINK("https://www.britishcycling.org.uk/points?person_id=824229&amp;year=2021&amp;type=national&amp;d=6","Results")</f>
        <v/>
      </c>
    </row>
    <row r="403">
      <c r="A403" t="inlineStr">
        <is>
          <t>402</t>
        </is>
      </c>
      <c r="B403" t="inlineStr">
        <is>
          <t>Mark Humphreys</t>
        </is>
      </c>
      <c r="C403" t="inlineStr">
        <is>
          <t>Rugby Velo</t>
        </is>
      </c>
      <c r="D403" t="inlineStr">
        <is>
          <t>1</t>
        </is>
      </c>
      <c r="E403">
        <f>HYPERLINK("https://www.britishcycling.org.uk/points?person_id=71726&amp;year=2021&amp;type=national&amp;d=6","Results")</f>
        <v/>
      </c>
    </row>
    <row r="404">
      <c r="A404" t="inlineStr">
        <is>
          <t>403</t>
        </is>
      </c>
      <c r="B404" t="inlineStr">
        <is>
          <t>Tim Preece</t>
        </is>
      </c>
      <c r="C404" t="inlineStr">
        <is>
          <t>Ashfield RC</t>
        </is>
      </c>
      <c r="D404" t="inlineStr">
        <is>
          <t>1</t>
        </is>
      </c>
      <c r="E404">
        <f>HYPERLINK("https://www.britishcycling.org.uk/points?person_id=107362&amp;year=2021&amp;type=national&amp;d=6","Results")</f>
        <v/>
      </c>
    </row>
    <row r="405">
      <c r="A405" t="inlineStr">
        <is>
          <t>404</t>
        </is>
      </c>
      <c r="B405" t="inlineStr">
        <is>
          <t>David Rutty</t>
        </is>
      </c>
      <c r="C405" t="inlineStr">
        <is>
          <t>Velo Club Bristol</t>
        </is>
      </c>
      <c r="D405" t="inlineStr">
        <is>
          <t>1</t>
        </is>
      </c>
      <c r="E405">
        <f>HYPERLINK("https://www.britishcycling.org.uk/points?person_id=47839&amp;year=2021&amp;type=national&amp;d=6","Results")</f>
        <v/>
      </c>
    </row>
    <row r="406">
      <c r="A406" t="inlineStr">
        <is>
          <t>405</t>
        </is>
      </c>
      <c r="B406" t="inlineStr">
        <is>
          <t>Chris Smith</t>
        </is>
      </c>
      <c r="C406" t="inlineStr">
        <is>
          <t>VC Norwich</t>
        </is>
      </c>
      <c r="D406" t="inlineStr">
        <is>
          <t>1</t>
        </is>
      </c>
      <c r="E406">
        <f>HYPERLINK("https://www.britishcycling.org.uk/points?person_id=30482&amp;year=2021&amp;type=national&amp;d=6","Results")</f>
        <v/>
      </c>
    </row>
    <row r="407">
      <c r="A407" t="inlineStr">
        <is>
          <t>406</t>
        </is>
      </c>
      <c r="B407" t="inlineStr">
        <is>
          <t>Ben Whatley</t>
        </is>
      </c>
      <c r="C407" t="inlineStr">
        <is>
          <t>Buxton CC - Sett Valley Cycles</t>
        </is>
      </c>
      <c r="D407" t="inlineStr">
        <is>
          <t>1</t>
        </is>
      </c>
      <c r="E407">
        <f>HYPERLINK("https://www.britishcycling.org.uk/points?person_id=293586&amp;year=2021&amp;type=national&amp;d=6","Results")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35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Robin Delve</t>
        </is>
      </c>
      <c r="C2" t="inlineStr">
        <is>
          <t>Mid Devon CC</t>
        </is>
      </c>
      <c r="D2" t="inlineStr">
        <is>
          <t>888</t>
        </is>
      </c>
      <c r="E2">
        <f>HYPERLINK("https://www.britishcycling.org.uk/points?person_id=38272&amp;year=2021&amp;type=national&amp;d=6","Results")</f>
        <v/>
      </c>
    </row>
    <row r="3">
      <c r="A3" t="inlineStr">
        <is>
          <t>2</t>
        </is>
      </c>
      <c r="B3" t="inlineStr">
        <is>
          <t>John Galway</t>
        </is>
      </c>
      <c r="C3" t="inlineStr">
        <is>
          <t>Scarborough Coast Cycle Club</t>
        </is>
      </c>
      <c r="D3" t="inlineStr">
        <is>
          <t>589</t>
        </is>
      </c>
      <c r="E3">
        <f>HYPERLINK("https://www.britishcycling.org.uk/points?person_id=65029&amp;year=2021&amp;type=national&amp;d=6","Results")</f>
        <v/>
      </c>
    </row>
    <row r="4">
      <c r="A4" t="inlineStr">
        <is>
          <t>3</t>
        </is>
      </c>
      <c r="B4" t="inlineStr">
        <is>
          <t>Kevin Payton</t>
        </is>
      </c>
      <c r="C4" t="inlineStr">
        <is>
          <t>Stourbridge CC</t>
        </is>
      </c>
      <c r="D4" t="inlineStr">
        <is>
          <t>522</t>
        </is>
      </c>
      <c r="E4">
        <f>HYPERLINK("https://www.britishcycling.org.uk/points?person_id=73598&amp;year=2021&amp;type=national&amp;d=6","Results")</f>
        <v/>
      </c>
    </row>
    <row r="5">
      <c r="A5" t="inlineStr">
        <is>
          <t>4</t>
        </is>
      </c>
      <c r="B5" t="inlineStr">
        <is>
          <t>Michael Davies</t>
        </is>
      </c>
      <c r="C5" t="inlineStr">
        <is>
          <t>Pedal Power Loughborough</t>
        </is>
      </c>
      <c r="D5" t="inlineStr">
        <is>
          <t>506</t>
        </is>
      </c>
      <c r="E5">
        <f>HYPERLINK("https://www.britishcycling.org.uk/points?person_id=1814&amp;year=2021&amp;type=national&amp;d=6","Results")</f>
        <v/>
      </c>
    </row>
    <row r="6">
      <c r="A6" t="inlineStr">
        <is>
          <t>5</t>
        </is>
      </c>
      <c r="B6" t="inlineStr">
        <is>
          <t>Peter Harris</t>
        </is>
      </c>
      <c r="C6" t="inlineStr">
        <is>
          <t>Pearce Cycles RT</t>
        </is>
      </c>
      <c r="D6" t="inlineStr">
        <is>
          <t>500</t>
        </is>
      </c>
      <c r="E6">
        <f>HYPERLINK("https://www.britishcycling.org.uk/points?person_id=66894&amp;year=2021&amp;type=national&amp;d=6","Results")</f>
        <v/>
      </c>
    </row>
    <row r="7">
      <c r="A7" t="inlineStr">
        <is>
          <t>6</t>
        </is>
      </c>
      <c r="B7" t="inlineStr">
        <is>
          <t>Paul Caton</t>
        </is>
      </c>
      <c r="C7" t="inlineStr">
        <is>
          <t>Verulam - reallymoving.com</t>
        </is>
      </c>
      <c r="D7" t="inlineStr">
        <is>
          <t>422</t>
        </is>
      </c>
      <c r="E7">
        <f>HYPERLINK("https://www.britishcycling.org.uk/points?person_id=60973&amp;year=2021&amp;type=national&amp;d=6","Results")</f>
        <v/>
      </c>
    </row>
    <row r="8">
      <c r="A8" t="inlineStr">
        <is>
          <t>7</t>
        </is>
      </c>
      <c r="B8" t="inlineStr">
        <is>
          <t>Jan Kardasz</t>
        </is>
      </c>
      <c r="C8" t="inlineStr">
        <is>
          <t>Fibrax Wrexham Roads Club</t>
        </is>
      </c>
      <c r="D8" t="inlineStr">
        <is>
          <t>413</t>
        </is>
      </c>
      <c r="E8">
        <f>HYPERLINK("https://www.britishcycling.org.uk/points?person_id=176276&amp;year=2021&amp;type=national&amp;d=6","Results")</f>
        <v/>
      </c>
    </row>
    <row r="9">
      <c r="A9" t="inlineStr">
        <is>
          <t>8</t>
        </is>
      </c>
      <c r="B9" t="inlineStr">
        <is>
          <t>Nigel Jones</t>
        </is>
      </c>
      <c r="C9" t="inlineStr">
        <is>
          <t>ROTOR Race Team</t>
        </is>
      </c>
      <c r="D9" t="inlineStr">
        <is>
          <t>412</t>
        </is>
      </c>
      <c r="E9">
        <f>HYPERLINK("https://www.britishcycling.org.uk/points?person_id=52045&amp;year=2021&amp;type=national&amp;d=6","Results")</f>
        <v/>
      </c>
    </row>
    <row r="10">
      <c r="A10" t="inlineStr">
        <is>
          <t>9</t>
        </is>
      </c>
      <c r="B10" t="inlineStr">
        <is>
          <t>Colin Blacklock</t>
        </is>
      </c>
      <c r="C10" t="inlineStr">
        <is>
          <t>Muckle Cycle Club</t>
        </is>
      </c>
      <c r="D10" t="inlineStr">
        <is>
          <t>386</t>
        </is>
      </c>
      <c r="E10">
        <f>HYPERLINK("https://www.britishcycling.org.uk/points?person_id=45752&amp;year=2021&amp;type=national&amp;d=6","Results")</f>
        <v/>
      </c>
    </row>
    <row r="11">
      <c r="A11" t="inlineStr">
        <is>
          <t>10</t>
        </is>
      </c>
      <c r="B11" t="inlineStr">
        <is>
          <t>Donald Gray</t>
        </is>
      </c>
      <c r="C11" t="inlineStr">
        <is>
          <t>Cardiff JIF</t>
        </is>
      </c>
      <c r="D11" t="inlineStr">
        <is>
          <t>367</t>
        </is>
      </c>
      <c r="E11">
        <f>HYPERLINK("https://www.britishcycling.org.uk/points?person_id=42451&amp;year=2021&amp;type=national&amp;d=6","Results")</f>
        <v/>
      </c>
    </row>
    <row r="12">
      <c r="A12" t="inlineStr">
        <is>
          <t>11</t>
        </is>
      </c>
      <c r="B12" t="inlineStr">
        <is>
          <t>Roy Hunt</t>
        </is>
      </c>
      <c r="C12" t="inlineStr">
        <is>
          <t>Team Bottecchia</t>
        </is>
      </c>
      <c r="D12" t="inlineStr">
        <is>
          <t>338</t>
        </is>
      </c>
      <c r="E12">
        <f>HYPERLINK("https://www.britishcycling.org.uk/points?person_id=49858&amp;year=2021&amp;type=national&amp;d=6","Results")</f>
        <v/>
      </c>
    </row>
    <row r="13">
      <c r="A13" t="inlineStr">
        <is>
          <t>12</t>
        </is>
      </c>
      <c r="B13" t="inlineStr">
        <is>
          <t>Peter Golding</t>
        </is>
      </c>
      <c r="C13" t="inlineStr">
        <is>
          <t>West Suffolk Wheelers</t>
        </is>
      </c>
      <c r="D13" t="inlineStr">
        <is>
          <t>257</t>
        </is>
      </c>
      <c r="E13">
        <f>HYPERLINK("https://www.britishcycling.org.uk/points?person_id=293971&amp;year=2021&amp;type=national&amp;d=6","Results")</f>
        <v/>
      </c>
    </row>
    <row r="14">
      <c r="A14" t="inlineStr">
        <is>
          <t>13</t>
        </is>
      </c>
      <c r="B14" t="inlineStr">
        <is>
          <t>Brian Gough</t>
        </is>
      </c>
      <c r="C14" t="inlineStr">
        <is>
          <t>Southport CC</t>
        </is>
      </c>
      <c r="D14" t="inlineStr">
        <is>
          <t>256</t>
        </is>
      </c>
      <c r="E14">
        <f>HYPERLINK("https://www.britishcycling.org.uk/points?person_id=175244&amp;year=2021&amp;type=national&amp;d=6","Results")</f>
        <v/>
      </c>
    </row>
    <row r="15">
      <c r="A15" t="inlineStr">
        <is>
          <t>14</t>
        </is>
      </c>
      <c r="B15" t="inlineStr">
        <is>
          <t>Malcolm Cross</t>
        </is>
      </c>
      <c r="C15" t="inlineStr">
        <is>
          <t>Velo Club Venta</t>
        </is>
      </c>
      <c r="D15" t="inlineStr">
        <is>
          <t>248</t>
        </is>
      </c>
      <c r="E15">
        <f>HYPERLINK("https://www.britishcycling.org.uk/points?person_id=5898&amp;year=2021&amp;type=national&amp;d=6","Results")</f>
        <v/>
      </c>
    </row>
    <row r="16">
      <c r="A16" t="inlineStr">
        <is>
          <t>15</t>
        </is>
      </c>
      <c r="B16" t="inlineStr">
        <is>
          <t>Chris Watts</t>
        </is>
      </c>
      <c r="C16" t="inlineStr">
        <is>
          <t>Matlock CC</t>
        </is>
      </c>
      <c r="D16" t="inlineStr">
        <is>
          <t>243</t>
        </is>
      </c>
      <c r="E16">
        <f>HYPERLINK("https://www.britishcycling.org.uk/points?person_id=104514&amp;year=2021&amp;type=national&amp;d=6","Results")</f>
        <v/>
      </c>
    </row>
    <row r="17">
      <c r="A17" t="inlineStr">
        <is>
          <t>16</t>
        </is>
      </c>
      <c r="B17" t="inlineStr">
        <is>
          <t>Kirby Bennett</t>
        </is>
      </c>
      <c r="C17" t="inlineStr">
        <is>
          <t>Team Jewson-M.I.Racing</t>
        </is>
      </c>
      <c r="D17" t="inlineStr">
        <is>
          <t>239</t>
        </is>
      </c>
      <c r="E17">
        <f>HYPERLINK("https://www.britishcycling.org.uk/points?person_id=393549&amp;year=2021&amp;type=national&amp;d=6","Results")</f>
        <v/>
      </c>
    </row>
    <row r="18">
      <c r="A18" t="inlineStr">
        <is>
          <t>17</t>
        </is>
      </c>
      <c r="B18" t="inlineStr">
        <is>
          <t>Brendan Roe</t>
        </is>
      </c>
      <c r="C18" t="inlineStr">
        <is>
          <t>Dunfermline CC</t>
        </is>
      </c>
      <c r="D18" t="inlineStr">
        <is>
          <t>232</t>
        </is>
      </c>
      <c r="E18">
        <f>HYPERLINK("https://www.britishcycling.org.uk/points?person_id=31707&amp;year=2021&amp;type=national&amp;d=6","Results")</f>
        <v/>
      </c>
    </row>
    <row r="19">
      <c r="A19" t="inlineStr">
        <is>
          <t>18</t>
        </is>
      </c>
      <c r="B19" t="inlineStr">
        <is>
          <t>Kevin Bodley</t>
        </is>
      </c>
      <c r="C19" t="inlineStr">
        <is>
          <t>Fred Williams Cycles</t>
        </is>
      </c>
      <c r="D19" t="inlineStr">
        <is>
          <t>217</t>
        </is>
      </c>
      <c r="E19">
        <f>HYPERLINK("https://www.britishcycling.org.uk/points?person_id=3460&amp;year=2021&amp;type=national&amp;d=6","Results")</f>
        <v/>
      </c>
    </row>
    <row r="20">
      <c r="A20" t="inlineStr">
        <is>
          <t>19</t>
        </is>
      </c>
      <c r="B20" t="inlineStr">
        <is>
          <t>Gary Rowing-Parker</t>
        </is>
      </c>
      <c r="C20" t="inlineStr">
        <is>
          <t>Solihull CC</t>
        </is>
      </c>
      <c r="D20" t="inlineStr">
        <is>
          <t>200</t>
        </is>
      </c>
      <c r="E20">
        <f>HYPERLINK("https://www.britishcycling.org.uk/points?person_id=705&amp;year=2021&amp;type=national&amp;d=6","Results")</f>
        <v/>
      </c>
    </row>
    <row r="21">
      <c r="A21" t="inlineStr">
        <is>
          <t>20</t>
        </is>
      </c>
      <c r="B21" t="inlineStr">
        <is>
          <t>Colin Shearer</t>
        </is>
      </c>
      <c r="C21" t="inlineStr">
        <is>
          <t>Hors catégorie (HC)</t>
        </is>
      </c>
      <c r="D21" t="inlineStr">
        <is>
          <t>197</t>
        </is>
      </c>
      <c r="E21">
        <f>HYPERLINK("https://www.britishcycling.org.uk/points?person_id=71218&amp;year=2021&amp;type=national&amp;d=6","Results")</f>
        <v/>
      </c>
    </row>
    <row r="22">
      <c r="A22" t="inlineStr">
        <is>
          <t>21</t>
        </is>
      </c>
      <c r="B22" t="inlineStr">
        <is>
          <t>Paul Dickens</t>
        </is>
      </c>
      <c r="C22" t="inlineStr">
        <is>
          <t>Rockingham Forest Whls</t>
        </is>
      </c>
      <c r="D22" t="inlineStr">
        <is>
          <t>191</t>
        </is>
      </c>
      <c r="E22">
        <f>HYPERLINK("https://www.britishcycling.org.uk/points?person_id=993995&amp;year=2021&amp;type=national&amp;d=6","Results")</f>
        <v/>
      </c>
    </row>
    <row r="23">
      <c r="A23" t="inlineStr">
        <is>
          <t>22</t>
        </is>
      </c>
      <c r="B23" t="inlineStr">
        <is>
          <t>Ian Robson</t>
        </is>
      </c>
      <c r="C23" t="inlineStr">
        <is>
          <t>ProSport UK</t>
        </is>
      </c>
      <c r="D23" t="inlineStr">
        <is>
          <t>186</t>
        </is>
      </c>
      <c r="E23">
        <f>HYPERLINK("https://www.britishcycling.org.uk/points?person_id=18439&amp;year=2021&amp;type=national&amp;d=6","Results")</f>
        <v/>
      </c>
    </row>
    <row r="24">
      <c r="A24" t="inlineStr">
        <is>
          <t>23</t>
        </is>
      </c>
      <c r="B24" t="inlineStr">
        <is>
          <t>Dave McMullen</t>
        </is>
      </c>
      <c r="C24" t="inlineStr">
        <is>
          <t>Cotswold Veldrijden</t>
        </is>
      </c>
      <c r="D24" t="inlineStr">
        <is>
          <t>171</t>
        </is>
      </c>
      <c r="E24">
        <f>HYPERLINK("https://www.britishcycling.org.uk/points?person_id=78823&amp;year=2021&amp;type=national&amp;d=6","Results")</f>
        <v/>
      </c>
    </row>
    <row r="25">
      <c r="A25" t="inlineStr">
        <is>
          <t>24</t>
        </is>
      </c>
      <c r="B25" t="inlineStr">
        <is>
          <t>Paul Watson</t>
        </is>
      </c>
      <c r="C25" t="inlineStr">
        <is>
          <t>West Suffolk Wheelers</t>
        </is>
      </c>
      <c r="D25" t="inlineStr">
        <is>
          <t>168</t>
        </is>
      </c>
      <c r="E25">
        <f>HYPERLINK("https://www.britishcycling.org.uk/points?person_id=192003&amp;year=2021&amp;type=national&amp;d=6","Results")</f>
        <v/>
      </c>
    </row>
    <row r="26">
      <c r="A26" t="inlineStr">
        <is>
          <t>25</t>
        </is>
      </c>
      <c r="B26" t="inlineStr">
        <is>
          <t>John Risby</t>
        </is>
      </c>
      <c r="C26" t="inlineStr">
        <is>
          <t>Team Milton Keynes</t>
        </is>
      </c>
      <c r="D26" t="inlineStr">
        <is>
          <t>167</t>
        </is>
      </c>
      <c r="E26">
        <f>HYPERLINK("https://www.britishcycling.org.uk/points?person_id=516298&amp;year=2021&amp;type=national&amp;d=6","Results")</f>
        <v/>
      </c>
    </row>
    <row r="27">
      <c r="A27" t="inlineStr">
        <is>
          <t>26</t>
        </is>
      </c>
      <c r="B27" t="inlineStr">
        <is>
          <t>David Robinson</t>
        </is>
      </c>
      <c r="C27" t="inlineStr">
        <is>
          <t>VC VELDRIJDEN</t>
        </is>
      </c>
      <c r="D27" t="inlineStr">
        <is>
          <t>167</t>
        </is>
      </c>
      <c r="E27">
        <f>HYPERLINK("https://www.britishcycling.org.uk/points?person_id=21227&amp;year=2021&amp;type=national&amp;d=6","Results")</f>
        <v/>
      </c>
    </row>
    <row r="28">
      <c r="A28" t="inlineStr">
        <is>
          <t>27</t>
        </is>
      </c>
      <c r="B28" t="inlineStr">
        <is>
          <t>Alistair Dow</t>
        </is>
      </c>
      <c r="C28" t="inlineStr">
        <is>
          <t>Peebles CC</t>
        </is>
      </c>
      <c r="D28" t="inlineStr">
        <is>
          <t>152</t>
        </is>
      </c>
      <c r="E28">
        <f>HYPERLINK("https://www.britishcycling.org.uk/points?person_id=63434&amp;year=2021&amp;type=national&amp;d=6","Results")</f>
        <v/>
      </c>
    </row>
    <row r="29">
      <c r="A29" t="inlineStr">
        <is>
          <t>28</t>
        </is>
      </c>
      <c r="B29" t="inlineStr">
        <is>
          <t>Graham Berridge</t>
        </is>
      </c>
      <c r="C29" t="inlineStr">
        <is>
          <t>Velo 1860</t>
        </is>
      </c>
      <c r="D29" t="inlineStr">
        <is>
          <t>143</t>
        </is>
      </c>
      <c r="E29">
        <f>HYPERLINK("https://www.britishcycling.org.uk/points?person_id=13958&amp;year=2021&amp;type=national&amp;d=6","Results")</f>
        <v/>
      </c>
    </row>
    <row r="30">
      <c r="A30" t="inlineStr">
        <is>
          <t>29</t>
        </is>
      </c>
      <c r="B30" t="inlineStr">
        <is>
          <t>Jonathan Dudley</t>
        </is>
      </c>
      <c r="C30" t="inlineStr">
        <is>
          <t>Sotonia CC</t>
        </is>
      </c>
      <c r="D30" t="inlineStr">
        <is>
          <t>143</t>
        </is>
      </c>
      <c r="E30">
        <f>HYPERLINK("https://www.britishcycling.org.uk/points?person_id=116303&amp;year=2021&amp;type=national&amp;d=6","Results")</f>
        <v/>
      </c>
    </row>
    <row r="31">
      <c r="A31" t="inlineStr">
        <is>
          <t>30</t>
        </is>
      </c>
      <c r="B31" t="inlineStr">
        <is>
          <t>Timothy Stowe</t>
        </is>
      </c>
      <c r="C31" t="inlineStr">
        <is>
          <t>Team Jewson-M.I.Racing</t>
        </is>
      </c>
      <c r="D31" t="inlineStr">
        <is>
          <t>143</t>
        </is>
      </c>
      <c r="E31">
        <f>HYPERLINK("https://www.britishcycling.org.uk/points?person_id=72690&amp;year=2021&amp;type=national&amp;d=6","Results")</f>
        <v/>
      </c>
    </row>
    <row r="32">
      <c r="A32" t="inlineStr">
        <is>
          <t>31</t>
        </is>
      </c>
      <c r="B32" t="inlineStr">
        <is>
          <t>Michael Speirs</t>
        </is>
      </c>
      <c r="C32" t="inlineStr">
        <is>
          <t>Kendal Cycle Club</t>
        </is>
      </c>
      <c r="D32" t="inlineStr">
        <is>
          <t>142</t>
        </is>
      </c>
      <c r="E32">
        <f>HYPERLINK("https://www.britishcycling.org.uk/points?person_id=38127&amp;year=2021&amp;type=national&amp;d=6","Results")</f>
        <v/>
      </c>
    </row>
    <row r="33">
      <c r="A33" t="inlineStr">
        <is>
          <t>32</t>
        </is>
      </c>
      <c r="B33" t="inlineStr">
        <is>
          <t>Peter Murray</t>
        </is>
      </c>
      <c r="C33" t="inlineStr">
        <is>
          <t>Salford Cycling Club</t>
        </is>
      </c>
      <c r="D33" t="inlineStr">
        <is>
          <t>137</t>
        </is>
      </c>
      <c r="E33">
        <f>HYPERLINK("https://www.britishcycling.org.uk/points?person_id=277083&amp;year=2021&amp;type=national&amp;d=6","Results")</f>
        <v/>
      </c>
    </row>
    <row r="34">
      <c r="A34" t="inlineStr">
        <is>
          <t>33</t>
        </is>
      </c>
      <c r="B34" t="inlineStr">
        <is>
          <t>Ian Wright</t>
        </is>
      </c>
      <c r="C34" t="inlineStr">
        <is>
          <t>Cero - Cycle Division Racing Team</t>
        </is>
      </c>
      <c r="D34" t="inlineStr">
        <is>
          <t>137</t>
        </is>
      </c>
      <c r="E34">
        <f>HYPERLINK("https://www.britishcycling.org.uk/points?person_id=46172&amp;year=2021&amp;type=national&amp;d=6","Results")</f>
        <v/>
      </c>
    </row>
    <row r="35">
      <c r="A35" t="inlineStr">
        <is>
          <t>34</t>
        </is>
      </c>
      <c r="B35" t="inlineStr">
        <is>
          <t>Clifford Featherstone</t>
        </is>
      </c>
      <c r="C35" t="inlineStr">
        <is>
          <t>MTS Cycle Sport</t>
        </is>
      </c>
      <c r="D35" t="inlineStr">
        <is>
          <t>125</t>
        </is>
      </c>
      <c r="E35">
        <f>HYPERLINK("https://www.britishcycling.org.uk/points?person_id=34157&amp;year=2021&amp;type=national&amp;d=6","Results")</f>
        <v/>
      </c>
    </row>
    <row r="36">
      <c r="A36" t="inlineStr">
        <is>
          <t>35</t>
        </is>
      </c>
      <c r="B36" t="inlineStr">
        <is>
          <t>James Sutherland</t>
        </is>
      </c>
      <c r="C36" t="inlineStr">
        <is>
          <t>Bolsover &amp; District Cycling Club</t>
        </is>
      </c>
      <c r="D36" t="inlineStr">
        <is>
          <t>125</t>
        </is>
      </c>
      <c r="E36">
        <f>HYPERLINK("https://www.britishcycling.org.uk/points?person_id=206346&amp;year=2021&amp;type=national&amp;d=6","Results")</f>
        <v/>
      </c>
    </row>
    <row r="37">
      <c r="A37" t="inlineStr">
        <is>
          <t>36</t>
        </is>
      </c>
      <c r="B37" t="inlineStr">
        <is>
          <t>Andrew Roberts</t>
        </is>
      </c>
      <c r="C37" t="inlineStr">
        <is>
          <t>Cycling Team Dakservice</t>
        </is>
      </c>
      <c r="D37" t="inlineStr">
        <is>
          <t>122</t>
        </is>
      </c>
      <c r="E37">
        <f>HYPERLINK("https://www.britishcycling.org.uk/points?person_id=51384&amp;year=2021&amp;type=national&amp;d=6","Results")</f>
        <v/>
      </c>
    </row>
    <row r="38">
      <c r="A38" t="inlineStr">
        <is>
          <t>37</t>
        </is>
      </c>
      <c r="B38" t="inlineStr">
        <is>
          <t>Ray Pugh</t>
        </is>
      </c>
      <c r="C38" t="inlineStr">
        <is>
          <t>St Helens CRC</t>
        </is>
      </c>
      <c r="D38" t="inlineStr">
        <is>
          <t>119</t>
        </is>
      </c>
      <c r="E38">
        <f>HYPERLINK("https://www.britishcycling.org.uk/points?person_id=68429&amp;year=2021&amp;type=national&amp;d=6","Results")</f>
        <v/>
      </c>
    </row>
    <row r="39">
      <c r="A39" t="inlineStr">
        <is>
          <t>38</t>
        </is>
      </c>
      <c r="B39" t="inlineStr">
        <is>
          <t>Derek Schofield</t>
        </is>
      </c>
      <c r="C39" t="inlineStr">
        <is>
          <t>Rossendale RC</t>
        </is>
      </c>
      <c r="D39" t="inlineStr">
        <is>
          <t>112</t>
        </is>
      </c>
      <c r="E39">
        <f>HYPERLINK("https://www.britishcycling.org.uk/points?person_id=8720&amp;year=2021&amp;type=national&amp;d=6","Results")</f>
        <v/>
      </c>
    </row>
    <row r="40">
      <c r="A40" t="inlineStr">
        <is>
          <t>39</t>
        </is>
      </c>
      <c r="B40" t="inlineStr">
        <is>
          <t>Martin Eadon</t>
        </is>
      </c>
      <c r="C40" t="inlineStr">
        <is>
          <t>Ride Coventry</t>
        </is>
      </c>
      <c r="D40" t="inlineStr">
        <is>
          <t>111</t>
        </is>
      </c>
      <c r="E40">
        <f>HYPERLINK("https://www.britishcycling.org.uk/points?person_id=59585&amp;year=2021&amp;type=national&amp;d=6","Results")</f>
        <v/>
      </c>
    </row>
    <row r="41">
      <c r="A41" t="inlineStr">
        <is>
          <t>40</t>
        </is>
      </c>
      <c r="B41" t="inlineStr">
        <is>
          <t>Peter Payton</t>
        </is>
      </c>
      <c r="C41" t="inlineStr"/>
      <c r="D41" t="inlineStr">
        <is>
          <t>105</t>
        </is>
      </c>
      <c r="E41">
        <f>HYPERLINK("https://www.britishcycling.org.uk/points?person_id=102716&amp;year=2021&amp;type=national&amp;d=6","Results")</f>
        <v/>
      </c>
    </row>
    <row r="42">
      <c r="A42" t="inlineStr">
        <is>
          <t>41</t>
        </is>
      </c>
      <c r="B42" t="inlineStr">
        <is>
          <t>Peter Anderson</t>
        </is>
      </c>
      <c r="C42" t="inlineStr">
        <is>
          <t>Seacroft Wheelers</t>
        </is>
      </c>
      <c r="D42" t="inlineStr">
        <is>
          <t>101</t>
        </is>
      </c>
      <c r="E42">
        <f>HYPERLINK("https://www.britishcycling.org.uk/points?person_id=9189&amp;year=2021&amp;type=national&amp;d=6","Results")</f>
        <v/>
      </c>
    </row>
    <row r="43">
      <c r="A43" t="inlineStr">
        <is>
          <t>42</t>
        </is>
      </c>
      <c r="B43" t="inlineStr">
        <is>
          <t>James Dickinson</t>
        </is>
      </c>
      <c r="C43" t="inlineStr"/>
      <c r="D43" t="inlineStr">
        <is>
          <t>101</t>
        </is>
      </c>
      <c r="E43">
        <f>HYPERLINK("https://www.britishcycling.org.uk/points?person_id=611216&amp;year=2021&amp;type=national&amp;d=6","Results")</f>
        <v/>
      </c>
    </row>
    <row r="44">
      <c r="A44" t="inlineStr">
        <is>
          <t>43</t>
        </is>
      </c>
      <c r="B44" t="inlineStr">
        <is>
          <t>Pascal Arnoux</t>
        </is>
      </c>
      <c r="C44" t="inlineStr">
        <is>
          <t>www.Zepnat.com RT - Lazer helmets</t>
        </is>
      </c>
      <c r="D44" t="inlineStr">
        <is>
          <t>97</t>
        </is>
      </c>
      <c r="E44">
        <f>HYPERLINK("https://www.britishcycling.org.uk/points?person_id=99839&amp;year=2021&amp;type=national&amp;d=6","Results")</f>
        <v/>
      </c>
    </row>
    <row r="45">
      <c r="A45" t="inlineStr">
        <is>
          <t>44</t>
        </is>
      </c>
      <c r="B45" t="inlineStr">
        <is>
          <t>Richard Simmons</t>
        </is>
      </c>
      <c r="C45" t="inlineStr">
        <is>
          <t>GS Vecchi</t>
        </is>
      </c>
      <c r="D45" t="inlineStr">
        <is>
          <t>95</t>
        </is>
      </c>
      <c r="E45">
        <f>HYPERLINK("https://www.britishcycling.org.uk/points?person_id=135317&amp;year=2021&amp;type=national&amp;d=6","Results")</f>
        <v/>
      </c>
    </row>
    <row r="46">
      <c r="A46" t="inlineStr">
        <is>
          <t>45</t>
        </is>
      </c>
      <c r="B46" t="inlineStr">
        <is>
          <t>Ned Potter</t>
        </is>
      </c>
      <c r="C46" t="inlineStr">
        <is>
          <t>Gannet CC</t>
        </is>
      </c>
      <c r="D46" t="inlineStr">
        <is>
          <t>94</t>
        </is>
      </c>
      <c r="E46">
        <f>HYPERLINK("https://www.britishcycling.org.uk/points?person_id=77781&amp;year=2021&amp;type=national&amp;d=6","Results")</f>
        <v/>
      </c>
    </row>
    <row r="47">
      <c r="A47" t="inlineStr">
        <is>
          <t>46</t>
        </is>
      </c>
      <c r="B47" t="inlineStr">
        <is>
          <t>Victor Barnett</t>
        </is>
      </c>
      <c r="C47" t="inlineStr">
        <is>
          <t>Welland Valley CC</t>
        </is>
      </c>
      <c r="D47" t="inlineStr">
        <is>
          <t>93</t>
        </is>
      </c>
      <c r="E47">
        <f>HYPERLINK("https://www.britishcycling.org.uk/points?person_id=31091&amp;year=2021&amp;type=national&amp;d=6","Results")</f>
        <v/>
      </c>
    </row>
    <row r="48">
      <c r="A48" t="inlineStr">
        <is>
          <t>47</t>
        </is>
      </c>
      <c r="B48" t="inlineStr">
        <is>
          <t>Alistair Hardy</t>
        </is>
      </c>
      <c r="C48" t="inlineStr">
        <is>
          <t>Cheltenham &amp; County Cycling Club</t>
        </is>
      </c>
      <c r="D48" t="inlineStr">
        <is>
          <t>79</t>
        </is>
      </c>
      <c r="E48">
        <f>HYPERLINK("https://www.britishcycling.org.uk/points?person_id=347575&amp;year=2021&amp;type=national&amp;d=6","Results")</f>
        <v/>
      </c>
    </row>
    <row r="49">
      <c r="A49" t="inlineStr">
        <is>
          <t>48</t>
        </is>
      </c>
      <c r="B49" t="inlineStr">
        <is>
          <t>Anthony Jones</t>
        </is>
      </c>
      <c r="C49" t="inlineStr">
        <is>
          <t>Knottingley Velo</t>
        </is>
      </c>
      <c r="D49" t="inlineStr">
        <is>
          <t>79</t>
        </is>
      </c>
      <c r="E49">
        <f>HYPERLINK("https://www.britishcycling.org.uk/points?person_id=19597&amp;year=2021&amp;type=national&amp;d=6","Results")</f>
        <v/>
      </c>
    </row>
    <row r="50">
      <c r="A50" t="inlineStr">
        <is>
          <t>49</t>
        </is>
      </c>
      <c r="B50" t="inlineStr">
        <is>
          <t>Mark Hardwicke</t>
        </is>
      </c>
      <c r="C50" t="inlineStr">
        <is>
          <t>Bournemouth Arrow</t>
        </is>
      </c>
      <c r="D50" t="inlineStr">
        <is>
          <t>78</t>
        </is>
      </c>
      <c r="E50">
        <f>HYPERLINK("https://www.britishcycling.org.uk/points?person_id=48376&amp;year=2021&amp;type=national&amp;d=6","Results")</f>
        <v/>
      </c>
    </row>
    <row r="51">
      <c r="A51" t="inlineStr">
        <is>
          <t>50</t>
        </is>
      </c>
      <c r="B51" t="inlineStr">
        <is>
          <t>Andy Jones</t>
        </is>
      </c>
      <c r="C51" t="inlineStr">
        <is>
          <t>Wolverhampton Wheelers</t>
        </is>
      </c>
      <c r="D51" t="inlineStr">
        <is>
          <t>78</t>
        </is>
      </c>
      <c r="E51">
        <f>HYPERLINK("https://www.britishcycling.org.uk/points?person_id=56050&amp;year=2021&amp;type=national&amp;d=6","Results")</f>
        <v/>
      </c>
    </row>
    <row r="52">
      <c r="A52" t="inlineStr">
        <is>
          <t>51</t>
        </is>
      </c>
      <c r="B52" t="inlineStr">
        <is>
          <t>Paul Sleaford</t>
        </is>
      </c>
      <c r="C52" t="inlineStr">
        <is>
          <t>Norton Wheelers</t>
        </is>
      </c>
      <c r="D52" t="inlineStr">
        <is>
          <t>75</t>
        </is>
      </c>
      <c r="E52">
        <f>HYPERLINK("https://www.britishcycling.org.uk/points?person_id=63700&amp;year=2021&amp;type=national&amp;d=6","Results")</f>
        <v/>
      </c>
    </row>
    <row r="53">
      <c r="A53" t="inlineStr">
        <is>
          <t>52</t>
        </is>
      </c>
      <c r="B53" t="inlineStr">
        <is>
          <t>Denis Smith</t>
        </is>
      </c>
      <c r="C53" t="inlineStr">
        <is>
          <t>Welland Valley CC</t>
        </is>
      </c>
      <c r="D53" t="inlineStr">
        <is>
          <t>75</t>
        </is>
      </c>
      <c r="E53">
        <f>HYPERLINK("https://www.britishcycling.org.uk/points?person_id=183467&amp;year=2021&amp;type=national&amp;d=6","Results")</f>
        <v/>
      </c>
    </row>
    <row r="54">
      <c r="A54" t="inlineStr">
        <is>
          <t>53</t>
        </is>
      </c>
      <c r="B54" t="inlineStr">
        <is>
          <t>Robin Worman</t>
        </is>
      </c>
      <c r="C54" t="inlineStr"/>
      <c r="D54" t="inlineStr">
        <is>
          <t>75</t>
        </is>
      </c>
      <c r="E54">
        <f>HYPERLINK("https://www.britishcycling.org.uk/points?person_id=43307&amp;year=2021&amp;type=national&amp;d=6","Results")</f>
        <v/>
      </c>
    </row>
    <row r="55">
      <c r="A55" t="inlineStr">
        <is>
          <t>54</t>
        </is>
      </c>
      <c r="B55" t="inlineStr">
        <is>
          <t>Barry Kipling</t>
        </is>
      </c>
      <c r="C55" t="inlineStr">
        <is>
          <t>MTS Cycle Sport</t>
        </is>
      </c>
      <c r="D55" t="inlineStr">
        <is>
          <t>74</t>
        </is>
      </c>
      <c r="E55">
        <f>HYPERLINK("https://www.britishcycling.org.uk/points?person_id=27630&amp;year=2021&amp;type=national&amp;d=6","Results")</f>
        <v/>
      </c>
    </row>
    <row r="56">
      <c r="A56" t="inlineStr">
        <is>
          <t>55</t>
        </is>
      </c>
      <c r="B56" t="inlineStr">
        <is>
          <t>Clive Powell</t>
        </is>
      </c>
      <c r="C56" t="inlineStr">
        <is>
          <t>Rhayader Riders Cycling Club</t>
        </is>
      </c>
      <c r="D56" t="inlineStr">
        <is>
          <t>73</t>
        </is>
      </c>
      <c r="E56">
        <f>HYPERLINK("https://www.britishcycling.org.uk/points?person_id=70052&amp;year=2021&amp;type=national&amp;d=6","Results")</f>
        <v/>
      </c>
    </row>
    <row r="57">
      <c r="A57" t="inlineStr">
        <is>
          <t>56</t>
        </is>
      </c>
      <c r="B57" t="inlineStr">
        <is>
          <t>Raymond Cochrane</t>
        </is>
      </c>
      <c r="C57" t="inlineStr">
        <is>
          <t>Team Jewson-M.I.Racing</t>
        </is>
      </c>
      <c r="D57" t="inlineStr">
        <is>
          <t>71</t>
        </is>
      </c>
      <c r="E57">
        <f>HYPERLINK("https://www.britishcycling.org.uk/points?person_id=524200&amp;year=2021&amp;type=national&amp;d=6","Results")</f>
        <v/>
      </c>
    </row>
    <row r="58">
      <c r="A58" t="inlineStr">
        <is>
          <t>57</t>
        </is>
      </c>
      <c r="B58" t="inlineStr">
        <is>
          <t>Lynn Lines</t>
        </is>
      </c>
      <c r="C58" t="inlineStr">
        <is>
          <t>Gateway Racing</t>
        </is>
      </c>
      <c r="D58" t="inlineStr">
        <is>
          <t>68</t>
        </is>
      </c>
      <c r="E58">
        <f>HYPERLINK("https://www.britishcycling.org.uk/points?person_id=72723&amp;year=2021&amp;type=national&amp;d=6","Results")</f>
        <v/>
      </c>
    </row>
    <row r="59">
      <c r="A59" t="inlineStr">
        <is>
          <t>58</t>
        </is>
      </c>
      <c r="B59" t="inlineStr">
        <is>
          <t>Russell Crowe</t>
        </is>
      </c>
      <c r="C59" t="inlineStr">
        <is>
          <t>Abellio - SFA Racing Team</t>
        </is>
      </c>
      <c r="D59" t="inlineStr">
        <is>
          <t>67</t>
        </is>
      </c>
      <c r="E59">
        <f>HYPERLINK("https://www.britishcycling.org.uk/points?person_id=13275&amp;year=2021&amp;type=national&amp;d=6","Results")</f>
        <v/>
      </c>
    </row>
    <row r="60">
      <c r="A60" t="inlineStr">
        <is>
          <t>59</t>
        </is>
      </c>
      <c r="B60" t="inlineStr">
        <is>
          <t>Peter Hall</t>
        </is>
      </c>
      <c r="C60" t="inlineStr">
        <is>
          <t>Colchester Rovers CC</t>
        </is>
      </c>
      <c r="D60" t="inlineStr">
        <is>
          <t>66</t>
        </is>
      </c>
      <c r="E60">
        <f>HYPERLINK("https://www.britishcycling.org.uk/points?person_id=102804&amp;year=2021&amp;type=national&amp;d=6","Results")</f>
        <v/>
      </c>
    </row>
    <row r="61">
      <c r="A61" t="inlineStr">
        <is>
          <t>60</t>
        </is>
      </c>
      <c r="B61" t="inlineStr">
        <is>
          <t>Jeremy Toy</t>
        </is>
      </c>
      <c r="C61" t="inlineStr">
        <is>
          <t>Dundee Wheelers CC</t>
        </is>
      </c>
      <c r="D61" t="inlineStr">
        <is>
          <t>66</t>
        </is>
      </c>
      <c r="E61">
        <f>HYPERLINK("https://www.britishcycling.org.uk/points?person_id=13781&amp;year=2021&amp;type=national&amp;d=6","Results")</f>
        <v/>
      </c>
    </row>
    <row r="62">
      <c r="A62" t="inlineStr">
        <is>
          <t>61</t>
        </is>
      </c>
      <c r="B62" t="inlineStr">
        <is>
          <t>Nigel Herrod</t>
        </is>
      </c>
      <c r="C62" t="inlineStr">
        <is>
          <t>ROTOR Race Team</t>
        </is>
      </c>
      <c r="D62" t="inlineStr">
        <is>
          <t>63</t>
        </is>
      </c>
      <c r="E62">
        <f>HYPERLINK("https://www.britishcycling.org.uk/points?person_id=189099&amp;year=2021&amp;type=national&amp;d=6","Results")</f>
        <v/>
      </c>
    </row>
    <row r="63">
      <c r="A63" t="inlineStr">
        <is>
          <t>62</t>
        </is>
      </c>
      <c r="B63" t="inlineStr">
        <is>
          <t>Philip Stokes</t>
        </is>
      </c>
      <c r="C63" t="inlineStr">
        <is>
          <t>Pedal Power Loughborough</t>
        </is>
      </c>
      <c r="D63" t="inlineStr">
        <is>
          <t>61</t>
        </is>
      </c>
      <c r="E63">
        <f>HYPERLINK("https://www.britishcycling.org.uk/points?person_id=531361&amp;year=2021&amp;type=national&amp;d=6","Results")</f>
        <v/>
      </c>
    </row>
    <row r="64">
      <c r="A64" t="inlineStr">
        <is>
          <t>63</t>
        </is>
      </c>
      <c r="B64" t="inlineStr">
        <is>
          <t>Tony Carter</t>
        </is>
      </c>
      <c r="C64" t="inlineStr"/>
      <c r="D64" t="inlineStr">
        <is>
          <t>60</t>
        </is>
      </c>
      <c r="E64">
        <f>HYPERLINK("https://www.britishcycling.org.uk/points?person_id=826163&amp;year=2021&amp;type=national&amp;d=6","Results")</f>
        <v/>
      </c>
    </row>
    <row r="65">
      <c r="A65" t="inlineStr">
        <is>
          <t>64</t>
        </is>
      </c>
      <c r="B65" t="inlineStr">
        <is>
          <t>Donald MacGregor</t>
        </is>
      </c>
      <c r="C65" t="inlineStr">
        <is>
          <t>Dream Cycling</t>
        </is>
      </c>
      <c r="D65" t="inlineStr">
        <is>
          <t>58</t>
        </is>
      </c>
      <c r="E65">
        <f>HYPERLINK("https://www.britishcycling.org.uk/points?person_id=64749&amp;year=2021&amp;type=national&amp;d=6","Results")</f>
        <v/>
      </c>
    </row>
    <row r="66">
      <c r="A66" t="inlineStr">
        <is>
          <t>65</t>
        </is>
      </c>
      <c r="B66" t="inlineStr">
        <is>
          <t>Steve Whitehouse</t>
        </is>
      </c>
      <c r="C66" t="inlineStr">
        <is>
          <t>WarVena Racing Team</t>
        </is>
      </c>
      <c r="D66" t="inlineStr">
        <is>
          <t>54</t>
        </is>
      </c>
      <c r="E66">
        <f>HYPERLINK("https://www.britishcycling.org.uk/points?person_id=62474&amp;year=2021&amp;type=national&amp;d=6","Results")</f>
        <v/>
      </c>
    </row>
    <row r="67">
      <c r="A67" t="inlineStr">
        <is>
          <t>66</t>
        </is>
      </c>
      <c r="B67" t="inlineStr">
        <is>
          <t>Neil Blessitt</t>
        </is>
      </c>
      <c r="C67" t="inlineStr">
        <is>
          <t>Severn RC</t>
        </is>
      </c>
      <c r="D67" t="inlineStr">
        <is>
          <t>51</t>
        </is>
      </c>
      <c r="E67">
        <f>HYPERLINK("https://www.britishcycling.org.uk/points?person_id=541591&amp;year=2021&amp;type=national&amp;d=6","Results")</f>
        <v/>
      </c>
    </row>
    <row r="68">
      <c r="A68" t="inlineStr">
        <is>
          <t>67</t>
        </is>
      </c>
      <c r="B68" t="inlineStr">
        <is>
          <t>Charlie Elsey</t>
        </is>
      </c>
      <c r="C68" t="inlineStr">
        <is>
          <t>Newbury Velo</t>
        </is>
      </c>
      <c r="D68" t="inlineStr">
        <is>
          <t>51</t>
        </is>
      </c>
      <c r="E68">
        <f>HYPERLINK("https://www.britishcycling.org.uk/points?person_id=63327&amp;year=2021&amp;type=national&amp;d=6","Results")</f>
        <v/>
      </c>
    </row>
    <row r="69">
      <c r="A69" t="inlineStr">
        <is>
          <t>68</t>
        </is>
      </c>
      <c r="B69" t="inlineStr">
        <is>
          <t>Graham Wright</t>
        </is>
      </c>
      <c r="C69" t="inlineStr">
        <is>
          <t>Rossendale RC</t>
        </is>
      </c>
      <c r="D69" t="inlineStr">
        <is>
          <t>43</t>
        </is>
      </c>
      <c r="E69">
        <f>HYPERLINK("https://www.britishcycling.org.uk/points?person_id=497512&amp;year=2021&amp;type=national&amp;d=6","Results")</f>
        <v/>
      </c>
    </row>
    <row r="70">
      <c r="A70" t="inlineStr">
        <is>
          <t>69</t>
        </is>
      </c>
      <c r="B70" t="inlineStr">
        <is>
          <t>Ian Forrester</t>
        </is>
      </c>
      <c r="C70" t="inlineStr">
        <is>
          <t>Kenilworth Wheelers CC</t>
        </is>
      </c>
      <c r="D70" t="inlineStr">
        <is>
          <t>40</t>
        </is>
      </c>
      <c r="E70">
        <f>HYPERLINK("https://www.britishcycling.org.uk/points?person_id=32896&amp;year=2021&amp;type=national&amp;d=6","Results")</f>
        <v/>
      </c>
    </row>
    <row r="71">
      <c r="A71" t="inlineStr">
        <is>
          <t>70</t>
        </is>
      </c>
      <c r="B71" t="inlineStr">
        <is>
          <t>Michael Webb</t>
        </is>
      </c>
      <c r="C71" t="inlineStr">
        <is>
          <t>Rugby Velo</t>
        </is>
      </c>
      <c r="D71" t="inlineStr">
        <is>
          <t>39</t>
        </is>
      </c>
      <c r="E71">
        <f>HYPERLINK("https://www.britishcycling.org.uk/points?person_id=72648&amp;year=2021&amp;type=national&amp;d=6","Results")</f>
        <v/>
      </c>
    </row>
    <row r="72">
      <c r="A72" t="inlineStr">
        <is>
          <t>71</t>
        </is>
      </c>
      <c r="B72" t="inlineStr">
        <is>
          <t>Graham Atkins</t>
        </is>
      </c>
      <c r="C72" t="inlineStr"/>
      <c r="D72" t="inlineStr">
        <is>
          <t>38</t>
        </is>
      </c>
      <c r="E72">
        <f>HYPERLINK("https://www.britishcycling.org.uk/points?person_id=34417&amp;year=2021&amp;type=national&amp;d=6","Results")</f>
        <v/>
      </c>
    </row>
    <row r="73">
      <c r="A73" t="inlineStr">
        <is>
          <t>72</t>
        </is>
      </c>
      <c r="B73" t="inlineStr">
        <is>
          <t>Marek Glowinski</t>
        </is>
      </c>
      <c r="C73" t="inlineStr">
        <is>
          <t>VC Londres</t>
        </is>
      </c>
      <c r="D73" t="inlineStr">
        <is>
          <t>36</t>
        </is>
      </c>
      <c r="E73">
        <f>HYPERLINK("https://www.britishcycling.org.uk/points?person_id=53707&amp;year=2021&amp;type=national&amp;d=6","Results")</f>
        <v/>
      </c>
    </row>
    <row r="74">
      <c r="A74" t="inlineStr">
        <is>
          <t>73</t>
        </is>
      </c>
      <c r="B74" t="inlineStr">
        <is>
          <t>John Gilling</t>
        </is>
      </c>
      <c r="C74" t="inlineStr"/>
      <c r="D74" t="inlineStr">
        <is>
          <t>35</t>
        </is>
      </c>
      <c r="E74">
        <f>HYPERLINK("https://www.britishcycling.org.uk/points?person_id=290745&amp;year=2021&amp;type=national&amp;d=6","Results")</f>
        <v/>
      </c>
    </row>
    <row r="75">
      <c r="A75" t="inlineStr">
        <is>
          <t>74</t>
        </is>
      </c>
      <c r="B75" t="inlineStr">
        <is>
          <t>Colin Miller</t>
        </is>
      </c>
      <c r="C75" t="inlineStr"/>
      <c r="D75" t="inlineStr">
        <is>
          <t>34</t>
        </is>
      </c>
      <c r="E75">
        <f>HYPERLINK("https://www.britishcycling.org.uk/points?person_id=995696&amp;year=2021&amp;type=national&amp;d=6","Results")</f>
        <v/>
      </c>
    </row>
    <row r="76">
      <c r="A76" t="inlineStr">
        <is>
          <t>75</t>
        </is>
      </c>
      <c r="B76" t="inlineStr">
        <is>
          <t>Iain Macdonald</t>
        </is>
      </c>
      <c r="C76" t="inlineStr">
        <is>
          <t>Ross-Shire RCC</t>
        </is>
      </c>
      <c r="D76" t="inlineStr">
        <is>
          <t>33</t>
        </is>
      </c>
      <c r="E76">
        <f>HYPERLINK("https://www.britishcycling.org.uk/points?person_id=425205&amp;year=2021&amp;type=national&amp;d=6","Results")</f>
        <v/>
      </c>
    </row>
    <row r="77">
      <c r="A77" t="inlineStr">
        <is>
          <t>76</t>
        </is>
      </c>
      <c r="B77" t="inlineStr">
        <is>
          <t>Jim Smillie</t>
        </is>
      </c>
      <c r="C77" t="inlineStr">
        <is>
          <t>Ross-Shire RCC</t>
        </is>
      </c>
      <c r="D77" t="inlineStr">
        <is>
          <t>33</t>
        </is>
      </c>
      <c r="E77">
        <f>HYPERLINK("https://www.britishcycling.org.uk/points?person_id=206011&amp;year=2021&amp;type=national&amp;d=6","Results")</f>
        <v/>
      </c>
    </row>
    <row r="78">
      <c r="A78" t="inlineStr">
        <is>
          <t>77</t>
        </is>
      </c>
      <c r="B78" t="inlineStr">
        <is>
          <t>William Young</t>
        </is>
      </c>
      <c r="C78" t="inlineStr">
        <is>
          <t>META Bike Division</t>
        </is>
      </c>
      <c r="D78" t="inlineStr">
        <is>
          <t>32</t>
        </is>
      </c>
      <c r="E78">
        <f>HYPERLINK("https://www.britishcycling.org.uk/points?person_id=9705&amp;year=2021&amp;type=national&amp;d=6","Results")</f>
        <v/>
      </c>
    </row>
    <row r="79">
      <c r="A79" t="inlineStr">
        <is>
          <t>78</t>
        </is>
      </c>
      <c r="B79" t="inlineStr">
        <is>
          <t>Phillip Warner</t>
        </is>
      </c>
      <c r="C79" t="inlineStr">
        <is>
          <t>North Lancashire RC</t>
        </is>
      </c>
      <c r="D79" t="inlineStr">
        <is>
          <t>30</t>
        </is>
      </c>
      <c r="E79">
        <f>HYPERLINK("https://www.britishcycling.org.uk/points?person_id=417147&amp;year=2021&amp;type=national&amp;d=6","Results")</f>
        <v/>
      </c>
    </row>
    <row r="80">
      <c r="A80" t="inlineStr">
        <is>
          <t>79</t>
        </is>
      </c>
      <c r="B80" t="inlineStr">
        <is>
          <t>Nigel Middlehurst</t>
        </is>
      </c>
      <c r="C80" t="inlineStr">
        <is>
          <t>Ellmore Factory Racing</t>
        </is>
      </c>
      <c r="D80" t="inlineStr">
        <is>
          <t>28</t>
        </is>
      </c>
      <c r="E80">
        <f>HYPERLINK("https://www.britishcycling.org.uk/points?person_id=32804&amp;year=2021&amp;type=national&amp;d=6","Results")</f>
        <v/>
      </c>
    </row>
    <row r="81">
      <c r="A81" t="inlineStr">
        <is>
          <t>80</t>
        </is>
      </c>
      <c r="B81" t="inlineStr">
        <is>
          <t>Andy Grant</t>
        </is>
      </c>
      <c r="C81" t="inlineStr">
        <is>
          <t>GS Vecchi</t>
        </is>
      </c>
      <c r="D81" t="inlineStr">
        <is>
          <t>26</t>
        </is>
      </c>
      <c r="E81">
        <f>HYPERLINK("https://www.britishcycling.org.uk/points?person_id=61651&amp;year=2021&amp;type=national&amp;d=6","Results")</f>
        <v/>
      </c>
    </row>
    <row r="82">
      <c r="A82" t="inlineStr">
        <is>
          <t>81</t>
        </is>
      </c>
      <c r="B82" t="inlineStr">
        <is>
          <t>Alan Kingshott</t>
        </is>
      </c>
      <c r="C82" t="inlineStr">
        <is>
          <t>Solent Pirates</t>
        </is>
      </c>
      <c r="D82" t="inlineStr">
        <is>
          <t>26</t>
        </is>
      </c>
      <c r="E82">
        <f>HYPERLINK("https://www.britishcycling.org.uk/points?person_id=408191&amp;year=2021&amp;type=national&amp;d=6","Results")</f>
        <v/>
      </c>
    </row>
    <row r="83">
      <c r="A83" t="inlineStr">
        <is>
          <t>82</t>
        </is>
      </c>
      <c r="B83" t="inlineStr">
        <is>
          <t>Tim Butler</t>
        </is>
      </c>
      <c r="C83" t="inlineStr">
        <is>
          <t>Ipswich Bicycle Club</t>
        </is>
      </c>
      <c r="D83" t="inlineStr">
        <is>
          <t>24</t>
        </is>
      </c>
      <c r="E83">
        <f>HYPERLINK("https://www.britishcycling.org.uk/points?person_id=22866&amp;year=2021&amp;type=national&amp;d=6","Results")</f>
        <v/>
      </c>
    </row>
    <row r="84">
      <c r="A84" t="inlineStr">
        <is>
          <t>83</t>
        </is>
      </c>
      <c r="B84" t="inlineStr">
        <is>
          <t>Robert Burns</t>
        </is>
      </c>
      <c r="C84" t="inlineStr">
        <is>
          <t>Islabikes</t>
        </is>
      </c>
      <c r="D84" t="inlineStr">
        <is>
          <t>22</t>
        </is>
      </c>
      <c r="E84">
        <f>HYPERLINK("https://www.britishcycling.org.uk/points?person_id=74520&amp;year=2021&amp;type=national&amp;d=6","Results")</f>
        <v/>
      </c>
    </row>
    <row r="85">
      <c r="A85" t="inlineStr">
        <is>
          <t>84</t>
        </is>
      </c>
      <c r="B85" t="inlineStr">
        <is>
          <t>John Phillips</t>
        </is>
      </c>
      <c r="C85" t="inlineStr">
        <is>
          <t>Sotonia CC</t>
        </is>
      </c>
      <c r="D85" t="inlineStr">
        <is>
          <t>22</t>
        </is>
      </c>
      <c r="E85">
        <f>HYPERLINK("https://www.britishcycling.org.uk/points?person_id=299364&amp;year=2021&amp;type=national&amp;d=6","Results")</f>
        <v/>
      </c>
    </row>
    <row r="86">
      <c r="A86" t="inlineStr">
        <is>
          <t>85</t>
        </is>
      </c>
      <c r="B86" t="inlineStr">
        <is>
          <t>Mark Ritson</t>
        </is>
      </c>
      <c r="C86" t="inlineStr">
        <is>
          <t>Ride 24 - 7</t>
        </is>
      </c>
      <c r="D86" t="inlineStr">
        <is>
          <t>22</t>
        </is>
      </c>
      <c r="E86">
        <f>HYPERLINK("https://www.britishcycling.org.uk/points?person_id=881020&amp;year=2021&amp;type=national&amp;d=6","Results")</f>
        <v/>
      </c>
    </row>
    <row r="87">
      <c r="A87" t="inlineStr">
        <is>
          <t>86</t>
        </is>
      </c>
      <c r="B87" t="inlineStr">
        <is>
          <t>Richard Hardy</t>
        </is>
      </c>
      <c r="C87" t="inlineStr">
        <is>
          <t>Hemel Hempstead CC</t>
        </is>
      </c>
      <c r="D87" t="inlineStr">
        <is>
          <t>21</t>
        </is>
      </c>
      <c r="E87">
        <f>HYPERLINK("https://www.britishcycling.org.uk/points?person_id=383763&amp;year=2021&amp;type=national&amp;d=6","Results")</f>
        <v/>
      </c>
    </row>
    <row r="88">
      <c r="A88" t="inlineStr">
        <is>
          <t>87</t>
        </is>
      </c>
      <c r="B88" t="inlineStr">
        <is>
          <t>Adrian Watts</t>
        </is>
      </c>
      <c r="C88" t="inlineStr">
        <is>
          <t>Rossendale RC</t>
        </is>
      </c>
      <c r="D88" t="inlineStr">
        <is>
          <t>21</t>
        </is>
      </c>
      <c r="E88">
        <f>HYPERLINK("https://www.britishcycling.org.uk/points?person_id=52667&amp;year=2021&amp;type=national&amp;d=6","Results")</f>
        <v/>
      </c>
    </row>
    <row r="89">
      <c r="A89" t="inlineStr">
        <is>
          <t>88</t>
        </is>
      </c>
      <c r="B89" t="inlineStr">
        <is>
          <t>John Ginley</t>
        </is>
      </c>
      <c r="C89" t="inlineStr">
        <is>
          <t>Shibden Cycling Club</t>
        </is>
      </c>
      <c r="D89" t="inlineStr">
        <is>
          <t>20</t>
        </is>
      </c>
      <c r="E89">
        <f>HYPERLINK("https://www.britishcycling.org.uk/points?person_id=48926&amp;year=2021&amp;type=national&amp;d=6","Results")</f>
        <v/>
      </c>
    </row>
    <row r="90">
      <c r="A90" t="inlineStr">
        <is>
          <t>89</t>
        </is>
      </c>
      <c r="B90" t="inlineStr">
        <is>
          <t>Peter Mooney</t>
        </is>
      </c>
      <c r="C90" t="inlineStr">
        <is>
          <t>Rugby Velo</t>
        </is>
      </c>
      <c r="D90" t="inlineStr">
        <is>
          <t>20</t>
        </is>
      </c>
      <c r="E90">
        <f>HYPERLINK("https://www.britishcycling.org.uk/points?person_id=65180&amp;year=2021&amp;type=national&amp;d=6","Results")</f>
        <v/>
      </c>
    </row>
    <row r="91">
      <c r="A91" t="inlineStr">
        <is>
          <t>90</t>
        </is>
      </c>
      <c r="B91" t="inlineStr">
        <is>
          <t>Peter Smith</t>
        </is>
      </c>
      <c r="C91" t="inlineStr">
        <is>
          <t>Team Jewson-M.I.Racing</t>
        </is>
      </c>
      <c r="D91" t="inlineStr">
        <is>
          <t>20</t>
        </is>
      </c>
      <c r="E91">
        <f>HYPERLINK("https://www.britishcycling.org.uk/points?person_id=37965&amp;year=2021&amp;type=national&amp;d=6","Results")</f>
        <v/>
      </c>
    </row>
    <row r="92">
      <c r="A92" t="inlineStr">
        <is>
          <t>91</t>
        </is>
      </c>
      <c r="B92" t="inlineStr">
        <is>
          <t>Joseph Booth</t>
        </is>
      </c>
      <c r="C92" t="inlineStr">
        <is>
          <t>Dulwich Paragon CC</t>
        </is>
      </c>
      <c r="D92" t="inlineStr">
        <is>
          <t>19</t>
        </is>
      </c>
      <c r="E92">
        <f>HYPERLINK("https://www.britishcycling.org.uk/points?person_id=179473&amp;year=2021&amp;type=national&amp;d=6","Results")</f>
        <v/>
      </c>
    </row>
    <row r="93">
      <c r="A93" t="inlineStr">
        <is>
          <t>92</t>
        </is>
      </c>
      <c r="B93" t="inlineStr">
        <is>
          <t>Geoff Robinson</t>
        </is>
      </c>
      <c r="C93" t="inlineStr"/>
      <c r="D93" t="inlineStr">
        <is>
          <t>18</t>
        </is>
      </c>
      <c r="E93">
        <f>HYPERLINK("https://www.britishcycling.org.uk/points?person_id=167713&amp;year=2021&amp;type=national&amp;d=6","Results")</f>
        <v/>
      </c>
    </row>
    <row r="94">
      <c r="A94" t="inlineStr">
        <is>
          <t>93</t>
        </is>
      </c>
      <c r="B94" t="inlineStr">
        <is>
          <t>Robert Smith</t>
        </is>
      </c>
      <c r="C94" t="inlineStr">
        <is>
          <t>Stowmarket &amp; District CC</t>
        </is>
      </c>
      <c r="D94" t="inlineStr">
        <is>
          <t>18</t>
        </is>
      </c>
      <c r="E94">
        <f>HYPERLINK("https://www.britishcycling.org.uk/points?person_id=60740&amp;year=2021&amp;type=national&amp;d=6","Results")</f>
        <v/>
      </c>
    </row>
    <row r="95">
      <c r="A95" t="inlineStr">
        <is>
          <t>94</t>
        </is>
      </c>
      <c r="B95" t="inlineStr">
        <is>
          <t>Christopher Thacker</t>
        </is>
      </c>
      <c r="C95" t="inlineStr">
        <is>
          <t>Team Empella Cyclo-Cross.Com</t>
        </is>
      </c>
      <c r="D95" t="inlineStr">
        <is>
          <t>18</t>
        </is>
      </c>
      <c r="E95">
        <f>HYPERLINK("https://www.britishcycling.org.uk/points?person_id=48750&amp;year=2021&amp;type=national&amp;d=6","Results")</f>
        <v/>
      </c>
    </row>
    <row r="96">
      <c r="A96" t="inlineStr">
        <is>
          <t>95</t>
        </is>
      </c>
      <c r="B96" t="inlineStr">
        <is>
          <t>Nicholas Webber</t>
        </is>
      </c>
      <c r="C96" t="inlineStr">
        <is>
          <t>CC Sudbury</t>
        </is>
      </c>
      <c r="D96" t="inlineStr">
        <is>
          <t>17</t>
        </is>
      </c>
      <c r="E96">
        <f>HYPERLINK("https://www.britishcycling.org.uk/points?person_id=4199&amp;year=2021&amp;type=national&amp;d=6","Results")</f>
        <v/>
      </c>
    </row>
    <row r="97">
      <c r="A97" t="inlineStr">
        <is>
          <t>96</t>
        </is>
      </c>
      <c r="B97" t="inlineStr">
        <is>
          <t>Brian Clayton</t>
        </is>
      </c>
      <c r="C97" t="inlineStr"/>
      <c r="D97" t="inlineStr">
        <is>
          <t>16</t>
        </is>
      </c>
      <c r="E97">
        <f>HYPERLINK("https://www.britishcycling.org.uk/points?person_id=75512&amp;year=2021&amp;type=national&amp;d=6","Results")</f>
        <v/>
      </c>
    </row>
    <row r="98">
      <c r="A98" t="inlineStr">
        <is>
          <t>97</t>
        </is>
      </c>
      <c r="B98" t="inlineStr">
        <is>
          <t>Roger Sheridan</t>
        </is>
      </c>
      <c r="C98" t="inlineStr">
        <is>
          <t>North Devon Wheelers</t>
        </is>
      </c>
      <c r="D98" t="inlineStr">
        <is>
          <t>16</t>
        </is>
      </c>
      <c r="E98">
        <f>HYPERLINK("https://www.britishcycling.org.uk/points?person_id=135574&amp;year=2021&amp;type=national&amp;d=6","Results")</f>
        <v/>
      </c>
    </row>
    <row r="99">
      <c r="A99" t="inlineStr">
        <is>
          <t>98</t>
        </is>
      </c>
      <c r="B99" t="inlineStr">
        <is>
          <t>Terry Whalley</t>
        </is>
      </c>
      <c r="C99" t="inlineStr">
        <is>
          <t>Ford Cycling Club</t>
        </is>
      </c>
      <c r="D99" t="inlineStr">
        <is>
          <t>16</t>
        </is>
      </c>
      <c r="E99">
        <f>HYPERLINK("https://www.britishcycling.org.uk/points?person_id=106324&amp;year=2021&amp;type=national&amp;d=6","Results")</f>
        <v/>
      </c>
    </row>
    <row r="100">
      <c r="A100" t="inlineStr">
        <is>
          <t>99</t>
        </is>
      </c>
      <c r="B100" t="inlineStr">
        <is>
          <t>Russell Tribley</t>
        </is>
      </c>
      <c r="C100" t="inlineStr">
        <is>
          <t>Chelmer CC</t>
        </is>
      </c>
      <c r="D100" t="inlineStr">
        <is>
          <t>13</t>
        </is>
      </c>
      <c r="E100">
        <f>HYPERLINK("https://www.britishcycling.org.uk/points?person_id=2199&amp;year=2021&amp;type=national&amp;d=6","Results")</f>
        <v/>
      </c>
    </row>
    <row r="101">
      <c r="A101" t="inlineStr">
        <is>
          <t>100</t>
        </is>
      </c>
      <c r="B101" t="inlineStr">
        <is>
          <t>Jan Shearsmith</t>
        </is>
      </c>
      <c r="C101" t="inlineStr">
        <is>
          <t>Manchester Wheelers Club</t>
        </is>
      </c>
      <c r="D101" t="inlineStr">
        <is>
          <t>12</t>
        </is>
      </c>
      <c r="E101">
        <f>HYPERLINK("https://www.britishcycling.org.uk/points?person_id=20026&amp;year=2021&amp;type=national&amp;d=6","Results")</f>
        <v/>
      </c>
    </row>
    <row r="102">
      <c r="A102" t="inlineStr">
        <is>
          <t>101</t>
        </is>
      </c>
      <c r="B102" t="inlineStr">
        <is>
          <t>David Hales</t>
        </is>
      </c>
      <c r="C102" t="inlineStr">
        <is>
          <t>VC Revolution</t>
        </is>
      </c>
      <c r="D102" t="inlineStr">
        <is>
          <t>11</t>
        </is>
      </c>
      <c r="E102">
        <f>HYPERLINK("https://www.britishcycling.org.uk/points?person_id=100179&amp;year=2021&amp;type=national&amp;d=6","Results")</f>
        <v/>
      </c>
    </row>
    <row r="103">
      <c r="A103" t="inlineStr">
        <is>
          <t>102</t>
        </is>
      </c>
      <c r="B103" t="inlineStr">
        <is>
          <t>John Newport</t>
        </is>
      </c>
      <c r="C103" t="inlineStr"/>
      <c r="D103" t="inlineStr">
        <is>
          <t>11</t>
        </is>
      </c>
      <c r="E103">
        <f>HYPERLINK("https://www.britishcycling.org.uk/points?person_id=224&amp;year=2021&amp;type=national&amp;d=6","Results")</f>
        <v/>
      </c>
    </row>
    <row r="104">
      <c r="A104" t="inlineStr">
        <is>
          <t>103</t>
        </is>
      </c>
      <c r="B104" t="inlineStr">
        <is>
          <t>Robert Regan</t>
        </is>
      </c>
      <c r="C104" t="inlineStr">
        <is>
          <t>Falkirk Bicycle Club</t>
        </is>
      </c>
      <c r="D104" t="inlineStr">
        <is>
          <t>11</t>
        </is>
      </c>
      <c r="E104">
        <f>HYPERLINK("https://www.britishcycling.org.uk/points?person_id=62214&amp;year=2021&amp;type=national&amp;d=6","Results")</f>
        <v/>
      </c>
    </row>
    <row r="105">
      <c r="A105" t="inlineStr">
        <is>
          <t>104</t>
        </is>
      </c>
      <c r="B105" t="inlineStr">
        <is>
          <t>Philip Harries</t>
        </is>
      </c>
      <c r="C105" t="inlineStr"/>
      <c r="D105" t="inlineStr">
        <is>
          <t>10</t>
        </is>
      </c>
      <c r="E105">
        <f>HYPERLINK("https://www.britishcycling.org.uk/points?person_id=45250&amp;year=2021&amp;type=national&amp;d=6","Results")</f>
        <v/>
      </c>
    </row>
    <row r="106">
      <c r="A106" t="inlineStr">
        <is>
          <t>105</t>
        </is>
      </c>
      <c r="B106" t="inlineStr">
        <is>
          <t>Anthony Jennings</t>
        </is>
      </c>
      <c r="C106" t="inlineStr">
        <is>
          <t>Somerset Road Club</t>
        </is>
      </c>
      <c r="D106" t="inlineStr">
        <is>
          <t>10</t>
        </is>
      </c>
      <c r="E106">
        <f>HYPERLINK("https://www.britishcycling.org.uk/points?person_id=262173&amp;year=2021&amp;type=national&amp;d=6","Results")</f>
        <v/>
      </c>
    </row>
    <row r="107">
      <c r="A107" t="inlineStr">
        <is>
          <t>106</t>
        </is>
      </c>
      <c r="B107" t="inlineStr">
        <is>
          <t>Dominic Lowden</t>
        </is>
      </c>
      <c r="C107" t="inlineStr">
        <is>
          <t>Lewes Wanderers CC</t>
        </is>
      </c>
      <c r="D107" t="inlineStr">
        <is>
          <t>10</t>
        </is>
      </c>
      <c r="E107">
        <f>HYPERLINK("https://www.britishcycling.org.uk/points?person_id=4812&amp;year=2021&amp;type=national&amp;d=6","Results")</f>
        <v/>
      </c>
    </row>
    <row r="108">
      <c r="A108" t="inlineStr">
        <is>
          <t>107</t>
        </is>
      </c>
      <c r="B108" t="inlineStr">
        <is>
          <t>Michael Smith</t>
        </is>
      </c>
      <c r="C108" t="inlineStr"/>
      <c r="D108" t="inlineStr">
        <is>
          <t>10</t>
        </is>
      </c>
      <c r="E108">
        <f>HYPERLINK("https://www.britishcycling.org.uk/points?person_id=350269&amp;year=2021&amp;type=national&amp;d=6","Results")</f>
        <v/>
      </c>
    </row>
    <row r="109">
      <c r="A109" t="inlineStr">
        <is>
          <t>108</t>
        </is>
      </c>
      <c r="B109" t="inlineStr">
        <is>
          <t>Steven Hilbert</t>
        </is>
      </c>
      <c r="C109" t="inlineStr">
        <is>
          <t>Sherwood Pines Cycles Forme</t>
        </is>
      </c>
      <c r="D109" t="inlineStr">
        <is>
          <t>8</t>
        </is>
      </c>
      <c r="E109">
        <f>HYPERLINK("https://www.britishcycling.org.uk/points?person_id=192201&amp;year=2021&amp;type=national&amp;d=6","Results")</f>
        <v/>
      </c>
    </row>
    <row r="110">
      <c r="A110" t="inlineStr">
        <is>
          <t>109</t>
        </is>
      </c>
      <c r="B110" t="inlineStr">
        <is>
          <t>Nigel Walsh</t>
        </is>
      </c>
      <c r="C110" t="inlineStr">
        <is>
          <t>North Norfolk Wheelers CC</t>
        </is>
      </c>
      <c r="D110" t="inlineStr">
        <is>
          <t>8</t>
        </is>
      </c>
      <c r="E110">
        <f>HYPERLINK("https://www.britishcycling.org.uk/points?person_id=167794&amp;year=2021&amp;type=national&amp;d=6","Results")</f>
        <v/>
      </c>
    </row>
    <row r="111">
      <c r="A111" t="inlineStr">
        <is>
          <t>110</t>
        </is>
      </c>
      <c r="B111" t="inlineStr">
        <is>
          <t>Stephen Rice</t>
        </is>
      </c>
      <c r="C111" t="inlineStr"/>
      <c r="D111" t="inlineStr">
        <is>
          <t>7</t>
        </is>
      </c>
      <c r="E111">
        <f>HYPERLINK("https://www.britishcycling.org.uk/points?person_id=64545&amp;year=2021&amp;type=national&amp;d=6","Results")</f>
        <v/>
      </c>
    </row>
    <row r="112">
      <c r="A112" t="inlineStr">
        <is>
          <t>111</t>
        </is>
      </c>
      <c r="B112" t="inlineStr">
        <is>
          <t>Vim Thurlow</t>
        </is>
      </c>
      <c r="C112" t="inlineStr">
        <is>
          <t>Brighton Excelsior CC</t>
        </is>
      </c>
      <c r="D112" t="inlineStr">
        <is>
          <t>7</t>
        </is>
      </c>
      <c r="E112">
        <f>HYPERLINK("https://www.britishcycling.org.uk/points?person_id=867886&amp;year=2021&amp;type=national&amp;d=6","Results")</f>
        <v/>
      </c>
    </row>
    <row r="113">
      <c r="A113" t="inlineStr">
        <is>
          <t>112</t>
        </is>
      </c>
      <c r="B113" t="inlineStr">
        <is>
          <t>Les Walker</t>
        </is>
      </c>
      <c r="C113" t="inlineStr"/>
      <c r="D113" t="inlineStr">
        <is>
          <t>7</t>
        </is>
      </c>
      <c r="E113">
        <f>HYPERLINK("https://www.britishcycling.org.uk/points?person_id=842119&amp;year=2021&amp;type=national&amp;d=6","Results")</f>
        <v/>
      </c>
    </row>
    <row r="114">
      <c r="A114" t="inlineStr">
        <is>
          <t>113</t>
        </is>
      </c>
      <c r="B114" t="inlineStr">
        <is>
          <t>Ashley Hollick</t>
        </is>
      </c>
      <c r="C114" t="inlineStr">
        <is>
          <t>Devizes Town Cycling Club</t>
        </is>
      </c>
      <c r="D114" t="inlineStr">
        <is>
          <t>6</t>
        </is>
      </c>
      <c r="E114">
        <f>HYPERLINK("https://www.britishcycling.org.uk/points?person_id=470827&amp;year=2021&amp;type=national&amp;d=6","Results")</f>
        <v/>
      </c>
    </row>
    <row r="115">
      <c r="A115" t="inlineStr">
        <is>
          <t>114</t>
        </is>
      </c>
      <c r="B115" t="inlineStr">
        <is>
          <t>Colin Murley</t>
        </is>
      </c>
      <c r="C115" t="inlineStr">
        <is>
          <t>Derwentside CC</t>
        </is>
      </c>
      <c r="D115" t="inlineStr">
        <is>
          <t>6</t>
        </is>
      </c>
      <c r="E115">
        <f>HYPERLINK("https://www.britishcycling.org.uk/points?person_id=10219&amp;year=2021&amp;type=national&amp;d=6","Results")</f>
        <v/>
      </c>
    </row>
    <row r="116">
      <c r="A116" t="inlineStr">
        <is>
          <t>115</t>
        </is>
      </c>
      <c r="B116" t="inlineStr">
        <is>
          <t>Clive Tricker</t>
        </is>
      </c>
      <c r="C116" t="inlineStr">
        <is>
          <t>Ipswich Bicycle Club</t>
        </is>
      </c>
      <c r="D116" t="inlineStr">
        <is>
          <t>6</t>
        </is>
      </c>
      <c r="E116">
        <f>HYPERLINK("https://www.britishcycling.org.uk/points?person_id=87362&amp;year=2021&amp;type=national&amp;d=6","Results")</f>
        <v/>
      </c>
    </row>
    <row r="117">
      <c r="A117" t="inlineStr">
        <is>
          <t>116</t>
        </is>
      </c>
      <c r="B117" t="inlineStr">
        <is>
          <t>Tim Crumpton</t>
        </is>
      </c>
      <c r="C117" t="inlineStr">
        <is>
          <t>GS Vecchi</t>
        </is>
      </c>
      <c r="D117" t="inlineStr">
        <is>
          <t>5</t>
        </is>
      </c>
      <c r="E117">
        <f>HYPERLINK("https://www.britishcycling.org.uk/points?person_id=48237&amp;year=2021&amp;type=national&amp;d=6","Results")</f>
        <v/>
      </c>
    </row>
    <row r="118">
      <c r="A118" t="inlineStr">
        <is>
          <t>117</t>
        </is>
      </c>
      <c r="B118" t="inlineStr">
        <is>
          <t>Thomas McNeish</t>
        </is>
      </c>
      <c r="C118" t="inlineStr">
        <is>
          <t>Royal Albert CC</t>
        </is>
      </c>
      <c r="D118" t="inlineStr">
        <is>
          <t>5</t>
        </is>
      </c>
      <c r="E118">
        <f>HYPERLINK("https://www.britishcycling.org.uk/points?person_id=507997&amp;year=2021&amp;type=national&amp;d=6","Results")</f>
        <v/>
      </c>
    </row>
    <row r="119">
      <c r="A119" t="inlineStr">
        <is>
          <t>118</t>
        </is>
      </c>
      <c r="B119" t="inlineStr">
        <is>
          <t>Nicholas Senechal</t>
        </is>
      </c>
      <c r="C119" t="inlineStr">
        <is>
          <t>Hitchin Nomads CC</t>
        </is>
      </c>
      <c r="D119" t="inlineStr">
        <is>
          <t>5</t>
        </is>
      </c>
      <c r="E119">
        <f>HYPERLINK("https://www.britishcycling.org.uk/points?person_id=66755&amp;year=2021&amp;type=national&amp;d=6","Results")</f>
        <v/>
      </c>
    </row>
    <row r="120">
      <c r="A120" t="inlineStr">
        <is>
          <t>119</t>
        </is>
      </c>
      <c r="B120" t="inlineStr">
        <is>
          <t>Chris Turvey</t>
        </is>
      </c>
      <c r="C120" t="inlineStr">
        <is>
          <t>Dream Cycling</t>
        </is>
      </c>
      <c r="D120" t="inlineStr">
        <is>
          <t>5</t>
        </is>
      </c>
      <c r="E120">
        <f>HYPERLINK("https://www.britishcycling.org.uk/points?person_id=33355&amp;year=2021&amp;type=national&amp;d=6","Results")</f>
        <v/>
      </c>
    </row>
    <row r="121">
      <c r="A121" t="inlineStr">
        <is>
          <t>120</t>
        </is>
      </c>
      <c r="B121" t="inlineStr">
        <is>
          <t>Leonard Woffindin</t>
        </is>
      </c>
      <c r="C121" t="inlineStr">
        <is>
          <t>Cycle Sport Pendle</t>
        </is>
      </c>
      <c r="D121" t="inlineStr">
        <is>
          <t>5</t>
        </is>
      </c>
      <c r="E121">
        <f>HYPERLINK("https://www.britishcycling.org.uk/points?person_id=16255&amp;year=2021&amp;type=national&amp;d=6","Results")</f>
        <v/>
      </c>
    </row>
    <row r="122">
      <c r="A122" t="inlineStr">
        <is>
          <t>121</t>
        </is>
      </c>
      <c r="B122" t="inlineStr">
        <is>
          <t>John Hawes</t>
        </is>
      </c>
      <c r="C122" t="inlineStr">
        <is>
          <t>Cheltenham &amp; County Cycling Club</t>
        </is>
      </c>
      <c r="D122" t="inlineStr">
        <is>
          <t>4</t>
        </is>
      </c>
      <c r="E122">
        <f>HYPERLINK("https://www.britishcycling.org.uk/points?person_id=34419&amp;year=2021&amp;type=national&amp;d=6","Results")</f>
        <v/>
      </c>
    </row>
    <row r="123">
      <c r="A123" t="inlineStr">
        <is>
          <t>122</t>
        </is>
      </c>
      <c r="B123" t="inlineStr">
        <is>
          <t>David Poole</t>
        </is>
      </c>
      <c r="C123" t="inlineStr">
        <is>
          <t>Somerset Road Club</t>
        </is>
      </c>
      <c r="D123" t="inlineStr">
        <is>
          <t>4</t>
        </is>
      </c>
      <c r="E123">
        <f>HYPERLINK("https://www.britishcycling.org.uk/points?person_id=27395&amp;year=2021&amp;type=national&amp;d=6","Results")</f>
        <v/>
      </c>
    </row>
    <row r="124">
      <c r="A124" t="inlineStr">
        <is>
          <t>123</t>
        </is>
      </c>
      <c r="B124" t="inlineStr">
        <is>
          <t>John Senior</t>
        </is>
      </c>
      <c r="C124" t="inlineStr">
        <is>
          <t>York Cycleworks</t>
        </is>
      </c>
      <c r="D124" t="inlineStr">
        <is>
          <t>4</t>
        </is>
      </c>
      <c r="E124">
        <f>HYPERLINK("https://www.britishcycling.org.uk/points?person_id=171242&amp;year=2021&amp;type=national&amp;d=6","Results")</f>
        <v/>
      </c>
    </row>
    <row r="125">
      <c r="A125" t="inlineStr">
        <is>
          <t>124</t>
        </is>
      </c>
      <c r="B125" t="inlineStr">
        <is>
          <t>John Beggs</t>
        </is>
      </c>
      <c r="C125" t="inlineStr">
        <is>
          <t>VC Deal</t>
        </is>
      </c>
      <c r="D125" t="inlineStr">
        <is>
          <t>3</t>
        </is>
      </c>
      <c r="E125">
        <f>HYPERLINK("https://www.britishcycling.org.uk/points?person_id=287737&amp;year=2021&amp;type=national&amp;d=6","Results")</f>
        <v/>
      </c>
    </row>
    <row r="126">
      <c r="A126" t="inlineStr">
        <is>
          <t>125</t>
        </is>
      </c>
      <c r="B126" t="inlineStr">
        <is>
          <t>Ian Brown</t>
        </is>
      </c>
      <c r="C126" t="inlineStr">
        <is>
          <t>Whitby Wheelers CC</t>
        </is>
      </c>
      <c r="D126" t="inlineStr">
        <is>
          <t>3</t>
        </is>
      </c>
      <c r="E126">
        <f>HYPERLINK("https://www.britishcycling.org.uk/points?person_id=46904&amp;year=2021&amp;type=national&amp;d=6","Results")</f>
        <v/>
      </c>
    </row>
    <row r="127">
      <c r="A127" t="inlineStr">
        <is>
          <t>126</t>
        </is>
      </c>
      <c r="B127" t="inlineStr">
        <is>
          <t>Clive Goadby</t>
        </is>
      </c>
      <c r="C127" t="inlineStr">
        <is>
          <t>Dulwich Paragon CC</t>
        </is>
      </c>
      <c r="D127" t="inlineStr">
        <is>
          <t>3</t>
        </is>
      </c>
      <c r="E127">
        <f>HYPERLINK("https://www.britishcycling.org.uk/points?person_id=267463&amp;year=2021&amp;type=national&amp;d=6","Results")</f>
        <v/>
      </c>
    </row>
    <row r="128">
      <c r="A128" t="inlineStr">
        <is>
          <t>127</t>
        </is>
      </c>
      <c r="B128" t="inlineStr">
        <is>
          <t>Paul Green</t>
        </is>
      </c>
      <c r="C128" t="inlineStr">
        <is>
          <t>Stourbridge CC</t>
        </is>
      </c>
      <c r="D128" t="inlineStr">
        <is>
          <t>3</t>
        </is>
      </c>
      <c r="E128">
        <f>HYPERLINK("https://www.britishcycling.org.uk/points?person_id=937760&amp;year=2021&amp;type=national&amp;d=6","Results")</f>
        <v/>
      </c>
    </row>
    <row r="129">
      <c r="A129" t="inlineStr">
        <is>
          <t>128</t>
        </is>
      </c>
      <c r="B129" t="inlineStr">
        <is>
          <t>John Newton</t>
        </is>
      </c>
      <c r="C129" t="inlineStr">
        <is>
          <t>Leslie Bike Shop-Bikers Boutique</t>
        </is>
      </c>
      <c r="D129" t="inlineStr">
        <is>
          <t>3</t>
        </is>
      </c>
      <c r="E129">
        <f>HYPERLINK("https://www.britishcycling.org.uk/points?person_id=36901&amp;year=2021&amp;type=national&amp;d=6","Results")</f>
        <v/>
      </c>
    </row>
    <row r="130">
      <c r="A130" t="inlineStr">
        <is>
          <t>129</t>
        </is>
      </c>
      <c r="B130" t="inlineStr">
        <is>
          <t>Philip Jones</t>
        </is>
      </c>
      <c r="C130" t="inlineStr">
        <is>
          <t>Matlock CC</t>
        </is>
      </c>
      <c r="D130" t="inlineStr">
        <is>
          <t>2</t>
        </is>
      </c>
      <c r="E130">
        <f>HYPERLINK("https://www.britishcycling.org.uk/points?person_id=52235&amp;year=2021&amp;type=national&amp;d=6","Results")</f>
        <v/>
      </c>
    </row>
    <row r="131">
      <c r="A131" t="inlineStr">
        <is>
          <t>130</t>
        </is>
      </c>
      <c r="B131" t="inlineStr">
        <is>
          <t>Richard Lebeter</t>
        </is>
      </c>
      <c r="C131" t="inlineStr">
        <is>
          <t>AHCC</t>
        </is>
      </c>
      <c r="D131" t="inlineStr">
        <is>
          <t>2</t>
        </is>
      </c>
      <c r="E131">
        <f>HYPERLINK("https://www.britishcycling.org.uk/points?person_id=915833&amp;year=2021&amp;type=national&amp;d=6","Results")</f>
        <v/>
      </c>
    </row>
    <row r="132">
      <c r="A132" t="inlineStr">
        <is>
          <t>131</t>
        </is>
      </c>
      <c r="B132" t="inlineStr">
        <is>
          <t>Kevin Hickman</t>
        </is>
      </c>
      <c r="C132" t="inlineStr">
        <is>
          <t>API-Metrow/Bodyby JR</t>
        </is>
      </c>
      <c r="D132" t="inlineStr">
        <is>
          <t>1</t>
        </is>
      </c>
      <c r="E132">
        <f>HYPERLINK("https://www.britishcycling.org.uk/points?person_id=62498&amp;year=2021&amp;type=national&amp;d=6","Results")</f>
        <v/>
      </c>
    </row>
    <row r="133">
      <c r="A133" t="inlineStr">
        <is>
          <t>132</t>
        </is>
      </c>
      <c r="B133" t="inlineStr">
        <is>
          <t>John Hodgson</t>
        </is>
      </c>
      <c r="C133" t="inlineStr">
        <is>
          <t>Carnoustie Cycling Club</t>
        </is>
      </c>
      <c r="D133" t="inlineStr">
        <is>
          <t>1</t>
        </is>
      </c>
      <c r="E133">
        <f>HYPERLINK("https://www.britishcycling.org.uk/points?person_id=449719&amp;year=2021&amp;type=national&amp;d=6","Results")</f>
        <v/>
      </c>
    </row>
    <row r="134">
      <c r="A134" t="inlineStr">
        <is>
          <t>133</t>
        </is>
      </c>
      <c r="B134" t="inlineStr">
        <is>
          <t>Robert Pye</t>
        </is>
      </c>
      <c r="C134" t="inlineStr">
        <is>
          <t>Green Jersey CC</t>
        </is>
      </c>
      <c r="D134" t="inlineStr">
        <is>
          <t>1</t>
        </is>
      </c>
      <c r="E134">
        <f>HYPERLINK("https://www.britishcycling.org.uk/points?person_id=28673&amp;year=2021&amp;type=national&amp;d=6","Results")</f>
        <v/>
      </c>
    </row>
    <row r="135">
      <c r="A135" t="inlineStr">
        <is>
          <t>134</t>
        </is>
      </c>
      <c r="B135" t="inlineStr">
        <is>
          <t>Gordon Richards</t>
        </is>
      </c>
      <c r="C135" t="inlineStr"/>
      <c r="D135" t="inlineStr">
        <is>
          <t>1</t>
        </is>
      </c>
      <c r="E135">
        <f>HYPERLINK("https://www.britishcycling.org.uk/points?person_id=37180&amp;year=2021&amp;type=national&amp;d=6","Results")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19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Aelwen Davies</t>
        </is>
      </c>
      <c r="C2" t="inlineStr">
        <is>
          <t>Velo Myrddin CC powered by Y Beic</t>
        </is>
      </c>
      <c r="D2" t="inlineStr">
        <is>
          <t>655</t>
        </is>
      </c>
      <c r="E2">
        <f>HYPERLINK("https://www.britishcycling.org.uk/points?person_id=520963&amp;year=2021&amp;type=national&amp;d=6","Results")</f>
        <v/>
      </c>
    </row>
    <row r="3">
      <c r="A3" t="inlineStr">
        <is>
          <t>2</t>
        </is>
      </c>
      <c r="B3" t="inlineStr">
        <is>
          <t>Zoe Roche</t>
        </is>
      </c>
      <c r="C3" t="inlineStr">
        <is>
          <t>WXC World Racing</t>
        </is>
      </c>
      <c r="D3" t="inlineStr">
        <is>
          <t>594</t>
        </is>
      </c>
      <c r="E3">
        <f>HYPERLINK("https://www.britishcycling.org.uk/points?person_id=624694&amp;year=2021&amp;type=national&amp;d=6","Results")</f>
        <v/>
      </c>
    </row>
    <row r="4">
      <c r="A4" t="inlineStr">
        <is>
          <t>3</t>
        </is>
      </c>
      <c r="B4" t="inlineStr">
        <is>
          <t>Rose Lewis</t>
        </is>
      </c>
      <c r="C4" t="inlineStr">
        <is>
          <t>Halesowen A &amp; CC</t>
        </is>
      </c>
      <c r="D4" t="inlineStr">
        <is>
          <t>506</t>
        </is>
      </c>
      <c r="E4">
        <f>HYPERLINK("https://www.britishcycling.org.uk/points?person_id=296827&amp;year=2021&amp;type=national&amp;d=6","Results")</f>
        <v/>
      </c>
    </row>
    <row r="5">
      <c r="A5" t="inlineStr">
        <is>
          <t>4</t>
        </is>
      </c>
      <c r="B5" t="inlineStr">
        <is>
          <t>Megan Cherry</t>
        </is>
      </c>
      <c r="C5" t="inlineStr">
        <is>
          <t>Leicester Forest CC</t>
        </is>
      </c>
      <c r="D5" t="inlineStr">
        <is>
          <t>426</t>
        </is>
      </c>
      <c r="E5">
        <f>HYPERLINK("https://www.britishcycling.org.uk/points?person_id=451036&amp;year=2021&amp;type=national&amp;d=6","Results")</f>
        <v/>
      </c>
    </row>
    <row r="6">
      <c r="A6" t="inlineStr">
        <is>
          <t>5</t>
        </is>
      </c>
      <c r="B6" t="inlineStr">
        <is>
          <t>Charlotte Lissaman</t>
        </is>
      </c>
      <c r="C6" t="inlineStr">
        <is>
          <t>Newark Castle CC</t>
        </is>
      </c>
      <c r="D6" t="inlineStr">
        <is>
          <t>340</t>
        </is>
      </c>
      <c r="E6">
        <f>HYPERLINK("https://www.britishcycling.org.uk/points?person_id=318898&amp;year=2021&amp;type=national&amp;d=6","Results")</f>
        <v/>
      </c>
    </row>
    <row r="7">
      <c r="A7" t="inlineStr">
        <is>
          <t>6</t>
        </is>
      </c>
      <c r="B7" t="inlineStr">
        <is>
          <t>Anna Lloyd</t>
        </is>
      </c>
      <c r="C7" t="inlineStr">
        <is>
          <t>VC Londres</t>
        </is>
      </c>
      <c r="D7" t="inlineStr">
        <is>
          <t>320</t>
        </is>
      </c>
      <c r="E7">
        <f>HYPERLINK("https://www.britishcycling.org.uk/points?person_id=306192&amp;year=2021&amp;type=national&amp;d=6","Results")</f>
        <v/>
      </c>
    </row>
    <row r="8">
      <c r="A8" t="inlineStr">
        <is>
          <t>7</t>
        </is>
      </c>
      <c r="B8" t="inlineStr">
        <is>
          <t>Lara Dix</t>
        </is>
      </c>
      <c r="C8" t="inlineStr">
        <is>
          <t>Dartmoor Velo–CareControlSystems</t>
        </is>
      </c>
      <c r="D8" t="inlineStr">
        <is>
          <t>312</t>
        </is>
      </c>
      <c r="E8">
        <f>HYPERLINK("https://www.britishcycling.org.uk/points?person_id=611633&amp;year=2021&amp;type=national&amp;d=6","Results")</f>
        <v/>
      </c>
    </row>
    <row r="9">
      <c r="A9" t="inlineStr">
        <is>
          <t>8</t>
        </is>
      </c>
      <c r="B9" t="inlineStr">
        <is>
          <t>Georgia Mahoney</t>
        </is>
      </c>
      <c r="C9" t="inlineStr">
        <is>
          <t>Morvelo Magspeed Racing</t>
        </is>
      </c>
      <c r="D9" t="inlineStr">
        <is>
          <t>304</t>
        </is>
      </c>
      <c r="E9">
        <f>HYPERLINK("https://www.britishcycling.org.uk/points?person_id=535010&amp;year=2021&amp;type=national&amp;d=6","Results")</f>
        <v/>
      </c>
    </row>
    <row r="10">
      <c r="A10" t="inlineStr">
        <is>
          <t>9</t>
        </is>
      </c>
      <c r="B10" t="inlineStr">
        <is>
          <t>Melanie Rowe</t>
        </is>
      </c>
      <c r="C10" t="inlineStr">
        <is>
          <t>Deeside Thistle CC</t>
        </is>
      </c>
      <c r="D10" t="inlineStr">
        <is>
          <t>270</t>
        </is>
      </c>
      <c r="E10">
        <f>HYPERLINK("https://www.britishcycling.org.uk/points?person_id=285200&amp;year=2021&amp;type=national&amp;d=6","Results")</f>
        <v/>
      </c>
    </row>
    <row r="11">
      <c r="A11" t="inlineStr">
        <is>
          <t>10</t>
        </is>
      </c>
      <c r="B11" t="inlineStr">
        <is>
          <t>Daisy Wilkinson</t>
        </is>
      </c>
      <c r="C11" t="inlineStr">
        <is>
          <t>Edinburgh RC</t>
        </is>
      </c>
      <c r="D11" t="inlineStr">
        <is>
          <t>263</t>
        </is>
      </c>
      <c r="E11">
        <f>HYPERLINK("https://www.britishcycling.org.uk/points?person_id=758078&amp;year=2021&amp;type=national&amp;d=6","Results")</f>
        <v/>
      </c>
    </row>
    <row r="12">
      <c r="A12" t="inlineStr">
        <is>
          <t>11</t>
        </is>
      </c>
      <c r="B12" t="inlineStr">
        <is>
          <t>Hope Thomson</t>
        </is>
      </c>
      <c r="C12" t="inlineStr">
        <is>
          <t>Deeside Thistle CC</t>
        </is>
      </c>
      <c r="D12" t="inlineStr">
        <is>
          <t>259</t>
        </is>
      </c>
      <c r="E12">
        <f>HYPERLINK("https://www.britishcycling.org.uk/points?person_id=366486&amp;year=2021&amp;type=national&amp;d=6","Results")</f>
        <v/>
      </c>
    </row>
    <row r="13">
      <c r="A13" t="inlineStr">
        <is>
          <t>12</t>
        </is>
      </c>
      <c r="B13" t="inlineStr">
        <is>
          <t>Phoebe Taylor</t>
        </is>
      </c>
      <c r="C13" t="inlineStr">
        <is>
          <t>Eastlands Velo</t>
        </is>
      </c>
      <c r="D13" t="inlineStr">
        <is>
          <t>255</t>
        </is>
      </c>
      <c r="E13">
        <f>HYPERLINK("https://www.britishcycling.org.uk/points?person_id=705997&amp;year=2021&amp;type=national&amp;d=6","Results")</f>
        <v/>
      </c>
    </row>
    <row r="14">
      <c r="A14" t="inlineStr">
        <is>
          <t>13</t>
        </is>
      </c>
      <c r="B14" t="inlineStr">
        <is>
          <t>Orla Willis</t>
        </is>
      </c>
      <c r="C14" t="inlineStr">
        <is>
          <t>Una Forza Racing</t>
        </is>
      </c>
      <c r="D14" t="inlineStr">
        <is>
          <t>251</t>
        </is>
      </c>
      <c r="E14">
        <f>HYPERLINK("https://www.britishcycling.org.uk/points?person_id=539212&amp;year=2021&amp;type=national&amp;d=6","Results")</f>
        <v/>
      </c>
    </row>
    <row r="15">
      <c r="A15" t="inlineStr">
        <is>
          <t>14</t>
        </is>
      </c>
      <c r="B15" t="inlineStr">
        <is>
          <t>Josephine Hurst</t>
        </is>
      </c>
      <c r="C15" t="inlineStr">
        <is>
          <t>Marsh Tracks Racing - Trek</t>
        </is>
      </c>
      <c r="D15" t="inlineStr">
        <is>
          <t>192</t>
        </is>
      </c>
      <c r="E15">
        <f>HYPERLINK("https://www.britishcycling.org.uk/points?person_id=832443&amp;year=2021&amp;type=national&amp;d=6","Results")</f>
        <v/>
      </c>
    </row>
    <row r="16">
      <c r="A16" t="inlineStr">
        <is>
          <t>15</t>
        </is>
      </c>
      <c r="B16" t="inlineStr">
        <is>
          <t>Isabel Beale</t>
        </is>
      </c>
      <c r="C16" t="inlineStr">
        <is>
          <t>Welwyn Wheelers CC</t>
        </is>
      </c>
      <c r="D16" t="inlineStr">
        <is>
          <t>191</t>
        </is>
      </c>
      <c r="E16">
        <f>HYPERLINK("https://www.britishcycling.org.uk/points?person_id=618945&amp;year=2021&amp;type=national&amp;d=6","Results")</f>
        <v/>
      </c>
    </row>
    <row r="17">
      <c r="A17" t="inlineStr">
        <is>
          <t>16</t>
        </is>
      </c>
      <c r="B17" t="inlineStr">
        <is>
          <t>Mabli Phillips</t>
        </is>
      </c>
      <c r="C17" t="inlineStr">
        <is>
          <t>Maindy Flyers CC</t>
        </is>
      </c>
      <c r="D17" t="inlineStr">
        <is>
          <t>191</t>
        </is>
      </c>
      <c r="E17">
        <f>HYPERLINK("https://www.britishcycling.org.uk/points?person_id=537472&amp;year=2021&amp;type=national&amp;d=6","Results")</f>
        <v/>
      </c>
    </row>
    <row r="18">
      <c r="A18" t="inlineStr">
        <is>
          <t>17</t>
        </is>
      </c>
      <c r="B18" t="inlineStr">
        <is>
          <t>Isla Pattinson</t>
        </is>
      </c>
      <c r="C18" t="inlineStr">
        <is>
          <t>Solent Pirates</t>
        </is>
      </c>
      <c r="D18" t="inlineStr">
        <is>
          <t>178</t>
        </is>
      </c>
      <c r="E18">
        <f>HYPERLINK("https://www.britishcycling.org.uk/points?person_id=531047&amp;year=2021&amp;type=national&amp;d=6","Results")</f>
        <v/>
      </c>
    </row>
    <row r="19">
      <c r="A19" t="inlineStr">
        <is>
          <t>18</t>
        </is>
      </c>
      <c r="B19" t="inlineStr">
        <is>
          <t>Peggy Knox</t>
        </is>
      </c>
      <c r="C19" t="inlineStr">
        <is>
          <t>ViCiOUS VELO</t>
        </is>
      </c>
      <c r="D19" t="inlineStr">
        <is>
          <t>163</t>
        </is>
      </c>
      <c r="E19">
        <f>HYPERLINK("https://www.britishcycling.org.uk/points?person_id=485778&amp;year=2021&amp;type=national&amp;d=6","Results")</f>
        <v/>
      </c>
    </row>
    <row r="20">
      <c r="A20" t="inlineStr">
        <is>
          <t>19</t>
        </is>
      </c>
      <c r="B20" t="inlineStr">
        <is>
          <t>Lola Arnold</t>
        </is>
      </c>
      <c r="C20" t="inlineStr">
        <is>
          <t>WXC World Racing</t>
        </is>
      </c>
      <c r="D20" t="inlineStr">
        <is>
          <t>156</t>
        </is>
      </c>
      <c r="E20">
        <f>HYPERLINK("https://www.britishcycling.org.uk/points?person_id=426996&amp;year=2021&amp;type=national&amp;d=6","Results")</f>
        <v/>
      </c>
    </row>
    <row r="21">
      <c r="A21" t="inlineStr">
        <is>
          <t>20</t>
        </is>
      </c>
      <c r="B21" t="inlineStr">
        <is>
          <t>Isabella Hall</t>
        </is>
      </c>
      <c r="C21" t="inlineStr">
        <is>
          <t>Sotonia CC</t>
        </is>
      </c>
      <c r="D21" t="inlineStr">
        <is>
          <t>131</t>
        </is>
      </c>
      <c r="E21">
        <f>HYPERLINK("https://www.britishcycling.org.uk/points?person_id=586029&amp;year=2021&amp;type=national&amp;d=6","Results")</f>
        <v/>
      </c>
    </row>
    <row r="22">
      <c r="A22" t="inlineStr">
        <is>
          <t>21</t>
        </is>
      </c>
      <c r="B22" t="inlineStr">
        <is>
          <t>Eva Fox</t>
        </is>
      </c>
      <c r="C22" t="inlineStr">
        <is>
          <t>Mid Devon CC</t>
        </is>
      </c>
      <c r="D22" t="inlineStr">
        <is>
          <t>117</t>
        </is>
      </c>
      <c r="E22">
        <f>HYPERLINK("https://www.britishcycling.org.uk/points?person_id=644370&amp;year=2021&amp;type=national&amp;d=6","Results")</f>
        <v/>
      </c>
    </row>
    <row r="23">
      <c r="A23" t="inlineStr">
        <is>
          <t>22</t>
        </is>
      </c>
      <c r="B23" t="inlineStr">
        <is>
          <t>Ruby Isaac</t>
        </is>
      </c>
      <c r="C23" t="inlineStr">
        <is>
          <t>Welland Valley CC</t>
        </is>
      </c>
      <c r="D23" t="inlineStr">
        <is>
          <t>116</t>
        </is>
      </c>
      <c r="E23">
        <f>HYPERLINK("https://www.britishcycling.org.uk/points?person_id=507826&amp;year=2021&amp;type=national&amp;d=6","Results")</f>
        <v/>
      </c>
    </row>
    <row r="24">
      <c r="A24" t="inlineStr">
        <is>
          <t>23</t>
        </is>
      </c>
      <c r="B24" t="inlineStr">
        <is>
          <t>Emma Davies</t>
        </is>
      </c>
      <c r="C24" t="inlineStr">
        <is>
          <t>Newbury Velo</t>
        </is>
      </c>
      <c r="D24" t="inlineStr">
        <is>
          <t>106</t>
        </is>
      </c>
      <c r="E24">
        <f>HYPERLINK("https://www.britishcycling.org.uk/points?person_id=766580&amp;year=2021&amp;type=national&amp;d=6","Results")</f>
        <v/>
      </c>
    </row>
    <row r="25">
      <c r="A25" t="inlineStr">
        <is>
          <t>24</t>
        </is>
      </c>
      <c r="B25" t="inlineStr">
        <is>
          <t>Grace Upshall</t>
        </is>
      </c>
      <c r="C25" t="inlineStr">
        <is>
          <t>Poole Wheelers CC</t>
        </is>
      </c>
      <c r="D25" t="inlineStr">
        <is>
          <t>106</t>
        </is>
      </c>
      <c r="E25">
        <f>HYPERLINK("https://www.britishcycling.org.uk/points?person_id=687605&amp;year=2021&amp;type=national&amp;d=6","Results")</f>
        <v/>
      </c>
    </row>
    <row r="26">
      <c r="A26" t="inlineStr">
        <is>
          <t>25</t>
        </is>
      </c>
      <c r="B26" t="inlineStr">
        <is>
          <t>Katie Allsop</t>
        </is>
      </c>
      <c r="C26" t="inlineStr">
        <is>
          <t>ROTOR Race Team</t>
        </is>
      </c>
      <c r="D26" t="inlineStr">
        <is>
          <t>100</t>
        </is>
      </c>
      <c r="E26">
        <f>HYPERLINK("https://www.britishcycling.org.uk/points?person_id=102313&amp;year=2021&amp;type=national&amp;d=6","Results")</f>
        <v/>
      </c>
    </row>
    <row r="27">
      <c r="A27" t="inlineStr">
        <is>
          <t>26</t>
        </is>
      </c>
      <c r="B27" t="inlineStr">
        <is>
          <t>Elsie Haygarth</t>
        </is>
      </c>
      <c r="C27" t="inlineStr">
        <is>
          <t>Wheelbase CabTech Castelli</t>
        </is>
      </c>
      <c r="D27" t="inlineStr">
        <is>
          <t>80</t>
        </is>
      </c>
      <c r="E27">
        <f>HYPERLINK("https://www.britishcycling.org.uk/points?person_id=517412&amp;year=2021&amp;type=national&amp;d=6","Results")</f>
        <v/>
      </c>
    </row>
    <row r="28">
      <c r="A28" t="inlineStr">
        <is>
          <t>27</t>
        </is>
      </c>
      <c r="B28" t="inlineStr">
        <is>
          <t>Rachel Halden</t>
        </is>
      </c>
      <c r="C28" t="inlineStr">
        <is>
          <t>Welwyn Wheelers CC</t>
        </is>
      </c>
      <c r="D28" t="inlineStr">
        <is>
          <t>71</t>
        </is>
      </c>
      <c r="E28">
        <f>HYPERLINK("https://www.britishcycling.org.uk/points?person_id=753298&amp;year=2021&amp;type=national&amp;d=6","Results")</f>
        <v/>
      </c>
    </row>
    <row r="29">
      <c r="A29" t="inlineStr">
        <is>
          <t>28</t>
        </is>
      </c>
      <c r="B29" t="inlineStr">
        <is>
          <t>Lauren Charles</t>
        </is>
      </c>
      <c r="C29" t="inlineStr">
        <is>
          <t>Charlotteville CC</t>
        </is>
      </c>
      <c r="D29" t="inlineStr">
        <is>
          <t>69</t>
        </is>
      </c>
      <c r="E29">
        <f>HYPERLINK("https://www.britishcycling.org.uk/points?person_id=466851&amp;year=2021&amp;type=national&amp;d=6","Results")</f>
        <v/>
      </c>
    </row>
    <row r="30">
      <c r="A30" t="inlineStr">
        <is>
          <t>29</t>
        </is>
      </c>
      <c r="B30" t="inlineStr">
        <is>
          <t>Niamh Waters</t>
        </is>
      </c>
      <c r="C30" t="inlineStr">
        <is>
          <t>Edinburgh RC</t>
        </is>
      </c>
      <c r="D30" t="inlineStr">
        <is>
          <t>66</t>
        </is>
      </c>
      <c r="E30">
        <f>HYPERLINK("https://www.britishcycling.org.uk/points?person_id=299722&amp;year=2021&amp;type=national&amp;d=6","Results")</f>
        <v/>
      </c>
    </row>
    <row r="31">
      <c r="A31" t="inlineStr">
        <is>
          <t>30</t>
        </is>
      </c>
      <c r="B31" t="inlineStr">
        <is>
          <t>Eloise Ward</t>
        </is>
      </c>
      <c r="C31" t="inlineStr">
        <is>
          <t>Lee Valley Youth Cycling Club</t>
        </is>
      </c>
      <c r="D31" t="inlineStr">
        <is>
          <t>65</t>
        </is>
      </c>
      <c r="E31">
        <f>HYPERLINK("https://www.britishcycling.org.uk/points?person_id=800277&amp;year=2021&amp;type=national&amp;d=6","Results")</f>
        <v/>
      </c>
    </row>
    <row r="32">
      <c r="A32" t="inlineStr">
        <is>
          <t>31</t>
        </is>
      </c>
      <c r="B32" t="inlineStr">
        <is>
          <t>Elena Green</t>
        </is>
      </c>
      <c r="C32" t="inlineStr">
        <is>
          <t>Huddersfield Star Wheelers</t>
        </is>
      </c>
      <c r="D32" t="inlineStr">
        <is>
          <t>64</t>
        </is>
      </c>
      <c r="E32">
        <f>HYPERLINK("https://www.britishcycling.org.uk/points?person_id=492131&amp;year=2021&amp;type=national&amp;d=6","Results")</f>
        <v/>
      </c>
    </row>
    <row r="33">
      <c r="A33" t="inlineStr">
        <is>
          <t>32</t>
        </is>
      </c>
      <c r="B33" t="inlineStr">
        <is>
          <t>Bethany Goodwin</t>
        </is>
      </c>
      <c r="C33" t="inlineStr">
        <is>
          <t>Louth Cycle Centre RT</t>
        </is>
      </c>
      <c r="D33" t="inlineStr">
        <is>
          <t>59</t>
        </is>
      </c>
      <c r="E33">
        <f>HYPERLINK("https://www.britishcycling.org.uk/points?person_id=530743&amp;year=2021&amp;type=national&amp;d=6","Results")</f>
        <v/>
      </c>
    </row>
    <row r="34">
      <c r="A34" t="inlineStr">
        <is>
          <t>33</t>
        </is>
      </c>
      <c r="B34" t="inlineStr">
        <is>
          <t>Issy Waugh</t>
        </is>
      </c>
      <c r="C34" t="inlineStr">
        <is>
          <t>Sheffield Youth Cycling Club</t>
        </is>
      </c>
      <c r="D34" t="inlineStr">
        <is>
          <t>58</t>
        </is>
      </c>
      <c r="E34">
        <f>HYPERLINK("https://www.britishcycling.org.uk/points?person_id=806591&amp;year=2021&amp;type=national&amp;d=6","Results")</f>
        <v/>
      </c>
    </row>
    <row r="35">
      <c r="A35" t="inlineStr">
        <is>
          <t>34</t>
        </is>
      </c>
      <c r="B35" t="inlineStr">
        <is>
          <t>Bibiane Ames</t>
        </is>
      </c>
      <c r="C35" t="inlineStr">
        <is>
          <t>Maindy Flyers CC</t>
        </is>
      </c>
      <c r="D35" t="inlineStr">
        <is>
          <t>54</t>
        </is>
      </c>
      <c r="E35">
        <f>HYPERLINK("https://www.britishcycling.org.uk/points?person_id=653359&amp;year=2021&amp;type=national&amp;d=6","Results")</f>
        <v/>
      </c>
    </row>
    <row r="36">
      <c r="A36" t="inlineStr">
        <is>
          <t>35</t>
        </is>
      </c>
      <c r="B36" t="inlineStr">
        <is>
          <t>Izabel Young</t>
        </is>
      </c>
      <c r="C36" t="inlineStr">
        <is>
          <t>Shibden Cycling Club</t>
        </is>
      </c>
      <c r="D36" t="inlineStr">
        <is>
          <t>52</t>
        </is>
      </c>
      <c r="E36">
        <f>HYPERLINK("https://www.britishcycling.org.uk/points?person_id=520691&amp;year=2021&amp;type=national&amp;d=6","Results")</f>
        <v/>
      </c>
    </row>
    <row r="37">
      <c r="A37" t="inlineStr">
        <is>
          <t>36</t>
        </is>
      </c>
      <c r="B37" t="inlineStr">
        <is>
          <t>Molly Jones</t>
        </is>
      </c>
      <c r="C37" t="inlineStr">
        <is>
          <t>C and N Cycles RT</t>
        </is>
      </c>
      <c r="D37" t="inlineStr">
        <is>
          <t>51</t>
        </is>
      </c>
      <c r="E37">
        <f>HYPERLINK("https://www.britishcycling.org.uk/points?person_id=613996&amp;year=2021&amp;type=national&amp;d=6","Results")</f>
        <v/>
      </c>
    </row>
    <row r="38">
      <c r="A38" t="inlineStr">
        <is>
          <t>37</t>
        </is>
      </c>
      <c r="B38" t="inlineStr">
        <is>
          <t>Pippa Taylor</t>
        </is>
      </c>
      <c r="C38" t="inlineStr">
        <is>
          <t>Beeston RC</t>
        </is>
      </c>
      <c r="D38" t="inlineStr">
        <is>
          <t>49</t>
        </is>
      </c>
      <c r="E38">
        <f>HYPERLINK("https://www.britishcycling.org.uk/points?person_id=675671&amp;year=2021&amp;type=national&amp;d=6","Results")</f>
        <v/>
      </c>
    </row>
    <row r="39">
      <c r="A39" t="inlineStr">
        <is>
          <t>38</t>
        </is>
      </c>
      <c r="B39" t="inlineStr">
        <is>
          <t>Isla Kolbert</t>
        </is>
      </c>
      <c r="C39" t="inlineStr">
        <is>
          <t>Witham Wheelers Cycling Club</t>
        </is>
      </c>
      <c r="D39" t="inlineStr">
        <is>
          <t>48</t>
        </is>
      </c>
      <c r="E39">
        <f>HYPERLINK("https://www.britishcycling.org.uk/points?person_id=521461&amp;year=2021&amp;type=national&amp;d=6","Results")</f>
        <v/>
      </c>
    </row>
    <row r="40">
      <c r="A40" t="inlineStr">
        <is>
          <t>39</t>
        </is>
      </c>
      <c r="B40" t="inlineStr">
        <is>
          <t>Lauren Oldfield</t>
        </is>
      </c>
      <c r="C40" t="inlineStr">
        <is>
          <t>Redditch Road &amp; Path CC</t>
        </is>
      </c>
      <c r="D40" t="inlineStr">
        <is>
          <t>47</t>
        </is>
      </c>
      <c r="E40">
        <f>HYPERLINK("https://www.britishcycling.org.uk/points?person_id=247338&amp;year=2021&amp;type=national&amp;d=6","Results")</f>
        <v/>
      </c>
    </row>
    <row r="41">
      <c r="A41" t="inlineStr">
        <is>
          <t>40</t>
        </is>
      </c>
      <c r="B41" t="inlineStr">
        <is>
          <t>Orla White</t>
        </is>
      </c>
      <c r="C41" t="inlineStr">
        <is>
          <t>Dartmoor Velo–CareControlSystems</t>
        </is>
      </c>
      <c r="D41" t="inlineStr">
        <is>
          <t>43</t>
        </is>
      </c>
      <c r="E41">
        <f>HYPERLINK("https://www.britishcycling.org.uk/points?person_id=756235&amp;year=2021&amp;type=national&amp;d=6","Results")</f>
        <v/>
      </c>
    </row>
    <row r="42">
      <c r="A42" t="inlineStr">
        <is>
          <t>41</t>
        </is>
      </c>
      <c r="B42" t="inlineStr">
        <is>
          <t>Gemma Newall</t>
        </is>
      </c>
      <c r="C42" t="inlineStr">
        <is>
          <t>Team Empella Cyclo-Cross.Com</t>
        </is>
      </c>
      <c r="D42" t="inlineStr">
        <is>
          <t>40</t>
        </is>
      </c>
      <c r="E42">
        <f>HYPERLINK("https://www.britishcycling.org.uk/points?person_id=559570&amp;year=2021&amp;type=national&amp;d=6","Results")</f>
        <v/>
      </c>
    </row>
    <row r="43">
      <c r="A43" t="inlineStr">
        <is>
          <t>42</t>
        </is>
      </c>
      <c r="B43" t="inlineStr">
        <is>
          <t>Imogen McAdie</t>
        </is>
      </c>
      <c r="C43" t="inlineStr">
        <is>
          <t>Gower Riders</t>
        </is>
      </c>
      <c r="D43" t="inlineStr">
        <is>
          <t>38</t>
        </is>
      </c>
      <c r="E43">
        <f>HYPERLINK("https://www.britishcycling.org.uk/points?person_id=879207&amp;year=2021&amp;type=national&amp;d=6","Results")</f>
        <v/>
      </c>
    </row>
    <row r="44">
      <c r="A44" t="inlineStr">
        <is>
          <t>43</t>
        </is>
      </c>
      <c r="B44" t="inlineStr">
        <is>
          <t>Rianna Mahoney</t>
        </is>
      </c>
      <c r="C44" t="inlineStr">
        <is>
          <t>Woolwich CC</t>
        </is>
      </c>
      <c r="D44" t="inlineStr">
        <is>
          <t>35</t>
        </is>
      </c>
      <c r="E44">
        <f>HYPERLINK("https://www.britishcycling.org.uk/points?person_id=687761&amp;year=2021&amp;type=national&amp;d=6","Results")</f>
        <v/>
      </c>
    </row>
    <row r="45">
      <c r="A45" t="inlineStr">
        <is>
          <t>44</t>
        </is>
      </c>
      <c r="B45" t="inlineStr">
        <is>
          <t>Aimee Taylor</t>
        </is>
      </c>
      <c r="C45" t="inlineStr">
        <is>
          <t>Palmer Park Velo RT</t>
        </is>
      </c>
      <c r="D45" t="inlineStr">
        <is>
          <t>33</t>
        </is>
      </c>
      <c r="E45">
        <f>HYPERLINK("https://www.britishcycling.org.uk/points?person_id=683076&amp;year=2021&amp;type=national&amp;d=6","Results")</f>
        <v/>
      </c>
    </row>
    <row r="46">
      <c r="A46" t="inlineStr">
        <is>
          <t>45</t>
        </is>
      </c>
      <c r="B46" t="inlineStr">
        <is>
          <t>Ava Luce</t>
        </is>
      </c>
      <c r="C46" t="inlineStr">
        <is>
          <t>Forres CC</t>
        </is>
      </c>
      <c r="D46" t="inlineStr">
        <is>
          <t>29</t>
        </is>
      </c>
      <c r="E46">
        <f>HYPERLINK("https://www.britishcycling.org.uk/points?person_id=579631&amp;year=2021&amp;type=national&amp;d=6","Results")</f>
        <v/>
      </c>
    </row>
    <row r="47">
      <c r="A47" t="inlineStr">
        <is>
          <t>46</t>
        </is>
      </c>
      <c r="B47" t="inlineStr">
        <is>
          <t>Nicole Anderson</t>
        </is>
      </c>
      <c r="C47" t="inlineStr">
        <is>
          <t>Hetton Hawks Cycling Club</t>
        </is>
      </c>
      <c r="D47" t="inlineStr">
        <is>
          <t>27</t>
        </is>
      </c>
      <c r="E47">
        <f>HYPERLINK("https://www.britishcycling.org.uk/points?person_id=664627&amp;year=2021&amp;type=national&amp;d=6","Results")</f>
        <v/>
      </c>
    </row>
    <row r="48">
      <c r="A48" t="inlineStr">
        <is>
          <t>47</t>
        </is>
      </c>
      <c r="B48" t="inlineStr">
        <is>
          <t>Isla Earth</t>
        </is>
      </c>
      <c r="C48" t="inlineStr">
        <is>
          <t>Sleaford Wheelers Cycling Club</t>
        </is>
      </c>
      <c r="D48" t="inlineStr">
        <is>
          <t>27</t>
        </is>
      </c>
      <c r="E48">
        <f>HYPERLINK("https://www.britishcycling.org.uk/points?person_id=706553&amp;year=2021&amp;type=national&amp;d=6","Results")</f>
        <v/>
      </c>
    </row>
    <row r="49">
      <c r="A49" t="inlineStr">
        <is>
          <t>48</t>
        </is>
      </c>
      <c r="B49" t="inlineStr">
        <is>
          <t>Poppy Spencer</t>
        </is>
      </c>
      <c r="C49" t="inlineStr">
        <is>
          <t>Shibden Cycling Club</t>
        </is>
      </c>
      <c r="D49" t="inlineStr">
        <is>
          <t>27</t>
        </is>
      </c>
      <c r="E49">
        <f>HYPERLINK("https://www.britishcycling.org.uk/points?person_id=760262&amp;year=2021&amp;type=national&amp;d=6","Results")</f>
        <v/>
      </c>
    </row>
    <row r="50">
      <c r="A50" t="inlineStr">
        <is>
          <t>49</t>
        </is>
      </c>
      <c r="B50" t="inlineStr">
        <is>
          <t>Millie Dean</t>
        </is>
      </c>
      <c r="C50" t="inlineStr">
        <is>
          <t>4T+ Cyclopark</t>
        </is>
      </c>
      <c r="D50" t="inlineStr">
        <is>
          <t>26</t>
        </is>
      </c>
      <c r="E50">
        <f>HYPERLINK("https://www.britishcycling.org.uk/points?person_id=760562&amp;year=2021&amp;type=national&amp;d=6","Results")</f>
        <v/>
      </c>
    </row>
    <row r="51">
      <c r="A51" t="inlineStr">
        <is>
          <t>50</t>
        </is>
      </c>
      <c r="B51" t="inlineStr">
        <is>
          <t>Heidi Roscoe</t>
        </is>
      </c>
      <c r="C51" t="inlineStr">
        <is>
          <t>Cheltenham Town Wheelers</t>
        </is>
      </c>
      <c r="D51" t="inlineStr">
        <is>
          <t>26</t>
        </is>
      </c>
      <c r="E51">
        <f>HYPERLINK("https://www.britishcycling.org.uk/points?person_id=953788&amp;year=2021&amp;type=national&amp;d=6","Results")</f>
        <v/>
      </c>
    </row>
    <row r="52">
      <c r="A52" t="inlineStr">
        <is>
          <t>51</t>
        </is>
      </c>
      <c r="B52" t="inlineStr">
        <is>
          <t>Maia Howell</t>
        </is>
      </c>
      <c r="C52" t="inlineStr">
        <is>
          <t>Matlock CC</t>
        </is>
      </c>
      <c r="D52" t="inlineStr">
        <is>
          <t>24</t>
        </is>
      </c>
      <c r="E52">
        <f>HYPERLINK("https://www.britishcycling.org.uk/points?person_id=951331&amp;year=2021&amp;type=national&amp;d=6","Results")</f>
        <v/>
      </c>
    </row>
    <row r="53">
      <c r="A53" t="inlineStr">
        <is>
          <t>52</t>
        </is>
      </c>
      <c r="B53" t="inlineStr">
        <is>
          <t>Isabel Swanston</t>
        </is>
      </c>
      <c r="C53" t="inlineStr">
        <is>
          <t>Hetton Hawks Cycling Club</t>
        </is>
      </c>
      <c r="D53" t="inlineStr">
        <is>
          <t>23</t>
        </is>
      </c>
      <c r="E53">
        <f>HYPERLINK("https://www.britishcycling.org.uk/points?person_id=389687&amp;year=2021&amp;type=national&amp;d=6","Results")</f>
        <v/>
      </c>
    </row>
    <row r="54">
      <c r="A54" t="inlineStr">
        <is>
          <t>53</t>
        </is>
      </c>
      <c r="B54" t="inlineStr">
        <is>
          <t>Emma Carter</t>
        </is>
      </c>
      <c r="C54" t="inlineStr">
        <is>
          <t>Stockton Wheelers CC</t>
        </is>
      </c>
      <c r="D54" t="inlineStr">
        <is>
          <t>21</t>
        </is>
      </c>
      <c r="E54">
        <f>HYPERLINK("https://www.britishcycling.org.uk/points?person_id=853089&amp;year=2021&amp;type=national&amp;d=6","Results")</f>
        <v/>
      </c>
    </row>
    <row r="55">
      <c r="A55" t="inlineStr">
        <is>
          <t>54</t>
        </is>
      </c>
      <c r="B55" t="inlineStr">
        <is>
          <t>Millie Jebb</t>
        </is>
      </c>
      <c r="C55" t="inlineStr">
        <is>
          <t>Hope Factory Racing</t>
        </is>
      </c>
      <c r="D55" t="inlineStr">
        <is>
          <t>20</t>
        </is>
      </c>
      <c r="E55">
        <f>HYPERLINK("https://www.britishcycling.org.uk/points?person_id=1024496&amp;year=2021&amp;type=national&amp;d=6","Results")</f>
        <v/>
      </c>
    </row>
    <row r="56">
      <c r="A56" t="inlineStr">
        <is>
          <t>55</t>
        </is>
      </c>
      <c r="B56" t="inlineStr">
        <is>
          <t>Skye Martingale</t>
        </is>
      </c>
      <c r="C56" t="inlineStr">
        <is>
          <t>Sotonia CC</t>
        </is>
      </c>
      <c r="D56" t="inlineStr">
        <is>
          <t>20</t>
        </is>
      </c>
      <c r="E56">
        <f>HYPERLINK("https://www.britishcycling.org.uk/points?person_id=578062&amp;year=2021&amp;type=national&amp;d=6","Results")</f>
        <v/>
      </c>
    </row>
    <row r="57">
      <c r="A57" t="inlineStr">
        <is>
          <t>56</t>
        </is>
      </c>
      <c r="B57" t="inlineStr">
        <is>
          <t>Rebecca Mayes</t>
        </is>
      </c>
      <c r="C57" t="inlineStr">
        <is>
          <t>Cleveland Wheelers CC</t>
        </is>
      </c>
      <c r="D57" t="inlineStr">
        <is>
          <t>20</t>
        </is>
      </c>
      <c r="E57">
        <f>HYPERLINK("https://www.britishcycling.org.uk/points?person_id=541626&amp;year=2021&amp;type=national&amp;d=6","Results")</f>
        <v/>
      </c>
    </row>
    <row r="58">
      <c r="A58" t="inlineStr">
        <is>
          <t>57</t>
        </is>
      </c>
      <c r="B58" t="inlineStr">
        <is>
          <t>Scarlett Ford</t>
        </is>
      </c>
      <c r="C58" t="inlineStr">
        <is>
          <t>Stratford CC</t>
        </is>
      </c>
      <c r="D58" t="inlineStr">
        <is>
          <t>19</t>
        </is>
      </c>
      <c r="E58">
        <f>HYPERLINK("https://www.britishcycling.org.uk/points?person_id=989224&amp;year=2021&amp;type=national&amp;d=6","Results")</f>
        <v/>
      </c>
    </row>
    <row r="59">
      <c r="A59" t="inlineStr">
        <is>
          <t>58</t>
        </is>
      </c>
      <c r="B59" t="inlineStr">
        <is>
          <t>Mazie Harper</t>
        </is>
      </c>
      <c r="C59" t="inlineStr">
        <is>
          <t>Stafford Road Club</t>
        </is>
      </c>
      <c r="D59" t="inlineStr">
        <is>
          <t>19</t>
        </is>
      </c>
      <c r="E59">
        <f>HYPERLINK("https://www.britishcycling.org.uk/points?person_id=318738&amp;year=2021&amp;type=national&amp;d=6","Results")</f>
        <v/>
      </c>
    </row>
    <row r="60">
      <c r="A60" t="inlineStr">
        <is>
          <t>59</t>
        </is>
      </c>
      <c r="B60" t="inlineStr">
        <is>
          <t>Ella Ridgment</t>
        </is>
      </c>
      <c r="C60" t="inlineStr">
        <is>
          <t>Sotonia CC</t>
        </is>
      </c>
      <c r="D60" t="inlineStr">
        <is>
          <t>19</t>
        </is>
      </c>
      <c r="E60">
        <f>HYPERLINK("https://www.britishcycling.org.uk/points?person_id=690977&amp;year=2021&amp;type=national&amp;d=6","Results")</f>
        <v/>
      </c>
    </row>
    <row r="61">
      <c r="A61" t="inlineStr">
        <is>
          <t>60</t>
        </is>
      </c>
      <c r="B61" t="inlineStr">
        <is>
          <t>Libby Jackson</t>
        </is>
      </c>
      <c r="C61" t="inlineStr">
        <is>
          <t>Matlock CC</t>
        </is>
      </c>
      <c r="D61" t="inlineStr">
        <is>
          <t>18</t>
        </is>
      </c>
      <c r="E61">
        <f>HYPERLINK("https://www.britishcycling.org.uk/points?person_id=625234&amp;year=2021&amp;type=national&amp;d=6","Results")</f>
        <v/>
      </c>
    </row>
    <row r="62">
      <c r="A62" t="inlineStr">
        <is>
          <t>61</t>
        </is>
      </c>
      <c r="B62" t="inlineStr">
        <is>
          <t>Joscelyn Kennedy</t>
        </is>
      </c>
      <c r="C62" t="inlineStr">
        <is>
          <t>Royal Albert CC</t>
        </is>
      </c>
      <c r="D62" t="inlineStr">
        <is>
          <t>18</t>
        </is>
      </c>
      <c r="E62">
        <f>HYPERLINK("https://www.britishcycling.org.uk/points?person_id=614286&amp;year=2021&amp;type=national&amp;d=6","Results")</f>
        <v/>
      </c>
    </row>
    <row r="63">
      <c r="A63" t="inlineStr">
        <is>
          <t>62</t>
        </is>
      </c>
      <c r="B63" t="inlineStr">
        <is>
          <t>Freya Mowbray</t>
        </is>
      </c>
      <c r="C63" t="inlineStr">
        <is>
          <t>Edinburgh RC</t>
        </is>
      </c>
      <c r="D63" t="inlineStr">
        <is>
          <t>18</t>
        </is>
      </c>
      <c r="E63">
        <f>HYPERLINK("https://www.britishcycling.org.uk/points?person_id=738754&amp;year=2021&amp;type=national&amp;d=6","Results")</f>
        <v/>
      </c>
    </row>
    <row r="64">
      <c r="A64" t="inlineStr">
        <is>
          <t>63</t>
        </is>
      </c>
      <c r="B64" t="inlineStr">
        <is>
          <t>Olivia Orme</t>
        </is>
      </c>
      <c r="C64" t="inlineStr">
        <is>
          <t>Team Milton Keynes</t>
        </is>
      </c>
      <c r="D64" t="inlineStr">
        <is>
          <t>18</t>
        </is>
      </c>
      <c r="E64">
        <f>HYPERLINK("https://www.britishcycling.org.uk/points?person_id=578061&amp;year=2021&amp;type=national&amp;d=6","Results")</f>
        <v/>
      </c>
    </row>
    <row r="65">
      <c r="A65" t="inlineStr">
        <is>
          <t>64</t>
        </is>
      </c>
      <c r="B65" t="inlineStr">
        <is>
          <t>Millie Salmon</t>
        </is>
      </c>
      <c r="C65" t="inlineStr">
        <is>
          <t>Clifton CC</t>
        </is>
      </c>
      <c r="D65" t="inlineStr">
        <is>
          <t>18</t>
        </is>
      </c>
      <c r="E65">
        <f>HYPERLINK("https://www.britishcycling.org.uk/points?person_id=522777&amp;year=2021&amp;type=national&amp;d=6","Results")</f>
        <v/>
      </c>
    </row>
    <row r="66">
      <c r="A66" t="inlineStr">
        <is>
          <t>65</t>
        </is>
      </c>
      <c r="B66" t="inlineStr">
        <is>
          <t>Holly Saunders</t>
        </is>
      </c>
      <c r="C66" t="inlineStr">
        <is>
          <t>Solihull CC</t>
        </is>
      </c>
      <c r="D66" t="inlineStr">
        <is>
          <t>18</t>
        </is>
      </c>
      <c r="E66">
        <f>HYPERLINK("https://www.britishcycling.org.uk/points?person_id=325523&amp;year=2021&amp;type=national&amp;d=6","Results")</f>
        <v/>
      </c>
    </row>
    <row r="67">
      <c r="A67" t="inlineStr">
        <is>
          <t>66</t>
        </is>
      </c>
      <c r="B67" t="inlineStr">
        <is>
          <t>Poppy Carline</t>
        </is>
      </c>
      <c r="C67" t="inlineStr">
        <is>
          <t>Sotonia CC</t>
        </is>
      </c>
      <c r="D67" t="inlineStr">
        <is>
          <t>16</t>
        </is>
      </c>
      <c r="E67">
        <f>HYPERLINK("https://www.britishcycling.org.uk/points?person_id=729004&amp;year=2021&amp;type=national&amp;d=6","Results")</f>
        <v/>
      </c>
    </row>
    <row r="68">
      <c r="A68" t="inlineStr">
        <is>
          <t>67</t>
        </is>
      </c>
      <c r="B68" t="inlineStr">
        <is>
          <t>Charlotte Hall</t>
        </is>
      </c>
      <c r="C68" t="inlineStr">
        <is>
          <t>Team Milton Keynes</t>
        </is>
      </c>
      <c r="D68" t="inlineStr">
        <is>
          <t>14</t>
        </is>
      </c>
      <c r="E68">
        <f>HYPERLINK("https://www.britishcycling.org.uk/points?person_id=821262&amp;year=2021&amp;type=national&amp;d=6","Results")</f>
        <v/>
      </c>
    </row>
    <row r="69">
      <c r="A69" t="inlineStr">
        <is>
          <t>68</t>
        </is>
      </c>
      <c r="B69" t="inlineStr">
        <is>
          <t>Jessie Jo Haslingden</t>
        </is>
      </c>
      <c r="C69" t="inlineStr">
        <is>
          <t>Red Rose Olympic CC</t>
        </is>
      </c>
      <c r="D69" t="inlineStr">
        <is>
          <t>12</t>
        </is>
      </c>
      <c r="E69">
        <f>HYPERLINK("https://www.britishcycling.org.uk/points?person_id=493470&amp;year=2021&amp;type=national&amp;d=6","Results")</f>
        <v/>
      </c>
    </row>
    <row r="70">
      <c r="A70" t="inlineStr">
        <is>
          <t>69</t>
        </is>
      </c>
      <c r="B70" t="inlineStr">
        <is>
          <t>Cecilia Linden</t>
        </is>
      </c>
      <c r="C70" t="inlineStr">
        <is>
          <t>Team Milton Keynes</t>
        </is>
      </c>
      <c r="D70" t="inlineStr">
        <is>
          <t>12</t>
        </is>
      </c>
      <c r="E70">
        <f>HYPERLINK("https://www.britishcycling.org.uk/points?person_id=632774&amp;year=2021&amp;type=national&amp;d=6","Results")</f>
        <v/>
      </c>
    </row>
    <row r="71">
      <c r="A71" t="inlineStr">
        <is>
          <t>70</t>
        </is>
      </c>
      <c r="B71" t="inlineStr">
        <is>
          <t>Charlie Furlong</t>
        </is>
      </c>
      <c r="C71" t="inlineStr">
        <is>
          <t>Limited Edition Cycling</t>
        </is>
      </c>
      <c r="D71" t="inlineStr">
        <is>
          <t>11</t>
        </is>
      </c>
      <c r="E71">
        <f>HYPERLINK("https://www.britishcycling.org.uk/points?person_id=554049&amp;year=2021&amp;type=national&amp;d=6","Results")</f>
        <v/>
      </c>
    </row>
    <row r="72">
      <c r="A72" t="inlineStr">
        <is>
          <t>71</t>
        </is>
      </c>
      <c r="B72" t="inlineStr">
        <is>
          <t>Olivia Loriggio</t>
        </is>
      </c>
      <c r="C72" t="inlineStr">
        <is>
          <t>Team Milton Keynes</t>
        </is>
      </c>
      <c r="D72" t="inlineStr">
        <is>
          <t>11</t>
        </is>
      </c>
      <c r="E72">
        <f>HYPERLINK("https://www.britishcycling.org.uk/points?person_id=744861&amp;year=2021&amp;type=national&amp;d=6","Results")</f>
        <v/>
      </c>
    </row>
    <row r="73">
      <c r="A73" t="inlineStr">
        <is>
          <t>72</t>
        </is>
      </c>
      <c r="B73" t="inlineStr">
        <is>
          <t>Eve Fairbairn</t>
        </is>
      </c>
      <c r="C73" t="inlineStr">
        <is>
          <t>Discovery Junior Cycling Club</t>
        </is>
      </c>
      <c r="D73" t="inlineStr">
        <is>
          <t>10</t>
        </is>
      </c>
      <c r="E73">
        <f>HYPERLINK("https://www.britishcycling.org.uk/points?person_id=866416&amp;year=2021&amp;type=national&amp;d=6","Results")</f>
        <v/>
      </c>
    </row>
    <row r="74">
      <c r="A74" t="inlineStr">
        <is>
          <t>73</t>
        </is>
      </c>
      <c r="B74" t="inlineStr">
        <is>
          <t>Ella Harris</t>
        </is>
      </c>
      <c r="C74" t="inlineStr">
        <is>
          <t>Halesowen A &amp; CC</t>
        </is>
      </c>
      <c r="D74" t="inlineStr">
        <is>
          <t>10</t>
        </is>
      </c>
      <c r="E74">
        <f>HYPERLINK("https://www.britishcycling.org.uk/points?person_id=125835&amp;year=2021&amp;type=national&amp;d=6","Results")</f>
        <v/>
      </c>
    </row>
    <row r="75">
      <c r="A75" t="inlineStr">
        <is>
          <t>74</t>
        </is>
      </c>
      <c r="B75" t="inlineStr">
        <is>
          <t>Ella Stewart</t>
        </is>
      </c>
      <c r="C75" t="inlineStr">
        <is>
          <t>West Suffolk Wheelers</t>
        </is>
      </c>
      <c r="D75" t="inlineStr">
        <is>
          <t>9</t>
        </is>
      </c>
      <c r="E75">
        <f>HYPERLINK("https://www.britishcycling.org.uk/points?person_id=839229&amp;year=2021&amp;type=national&amp;d=6","Results")</f>
        <v/>
      </c>
    </row>
    <row r="76">
      <c r="A76" t="inlineStr">
        <is>
          <t>75</t>
        </is>
      </c>
      <c r="B76" t="inlineStr">
        <is>
          <t>Aoife Byrne</t>
        </is>
      </c>
      <c r="C76" t="inlineStr">
        <is>
          <t>Calder Clarion CC</t>
        </is>
      </c>
      <c r="D76" t="inlineStr">
        <is>
          <t>8</t>
        </is>
      </c>
      <c r="E76">
        <f>HYPERLINK("https://www.britishcycling.org.uk/points?person_id=876434&amp;year=2021&amp;type=national&amp;d=6","Results")</f>
        <v/>
      </c>
    </row>
    <row r="77">
      <c r="A77" t="inlineStr">
        <is>
          <t>76</t>
        </is>
      </c>
      <c r="B77" t="inlineStr">
        <is>
          <t>Elizabeth Wallace</t>
        </is>
      </c>
      <c r="C77" t="inlineStr">
        <is>
          <t>Lee Velo (South East London)</t>
        </is>
      </c>
      <c r="D77" t="inlineStr">
        <is>
          <t>8</t>
        </is>
      </c>
      <c r="E77">
        <f>HYPERLINK("https://www.britishcycling.org.uk/points?person_id=899657&amp;year=2021&amp;type=national&amp;d=6","Results")</f>
        <v/>
      </c>
    </row>
    <row r="78">
      <c r="A78" t="inlineStr">
        <is>
          <t>77</t>
        </is>
      </c>
      <c r="B78" t="inlineStr">
        <is>
          <t>Emma Campbell</t>
        </is>
      </c>
      <c r="C78" t="inlineStr">
        <is>
          <t>Deeside Thistle CC</t>
        </is>
      </c>
      <c r="D78" t="inlineStr">
        <is>
          <t>7</t>
        </is>
      </c>
      <c r="E78">
        <f>HYPERLINK("https://www.britishcycling.org.uk/points?person_id=783774&amp;year=2021&amp;type=national&amp;d=6","Results")</f>
        <v/>
      </c>
    </row>
    <row r="79">
      <c r="A79" t="inlineStr">
        <is>
          <t>78</t>
        </is>
      </c>
      <c r="B79" t="inlineStr">
        <is>
          <t>Erica Dodsworth</t>
        </is>
      </c>
      <c r="C79" t="inlineStr">
        <is>
          <t>Maldon &amp; District CC</t>
        </is>
      </c>
      <c r="D79" t="inlineStr">
        <is>
          <t>7</t>
        </is>
      </c>
      <c r="E79">
        <f>HYPERLINK("https://www.britishcycling.org.uk/points?person_id=507108&amp;year=2021&amp;type=national&amp;d=6","Results")</f>
        <v/>
      </c>
    </row>
    <row r="80">
      <c r="A80" t="inlineStr">
        <is>
          <t>79</t>
        </is>
      </c>
      <c r="B80" t="inlineStr">
        <is>
          <t>Kaya Mainwaring</t>
        </is>
      </c>
      <c r="C80" t="inlineStr">
        <is>
          <t>Towy Riders</t>
        </is>
      </c>
      <c r="D80" t="inlineStr">
        <is>
          <t>7</t>
        </is>
      </c>
      <c r="E80">
        <f>HYPERLINK("https://www.britishcycling.org.uk/points?person_id=925514&amp;year=2021&amp;type=national&amp;d=6","Results")</f>
        <v/>
      </c>
    </row>
    <row r="81">
      <c r="A81" t="inlineStr">
        <is>
          <t>80</t>
        </is>
      </c>
      <c r="B81" t="inlineStr">
        <is>
          <t>Lara Brown</t>
        </is>
      </c>
      <c r="C81" t="inlineStr">
        <is>
          <t>Sprockets Cycle Club</t>
        </is>
      </c>
      <c r="D81" t="inlineStr">
        <is>
          <t>6</t>
        </is>
      </c>
      <c r="E81">
        <f>HYPERLINK("https://www.britishcycling.org.uk/points?person_id=621138&amp;year=2021&amp;type=national&amp;d=6","Results")</f>
        <v/>
      </c>
    </row>
    <row r="82">
      <c r="A82" t="inlineStr">
        <is>
          <t>81</t>
        </is>
      </c>
      <c r="B82" t="inlineStr">
        <is>
          <t>Melissa Moscrop</t>
        </is>
      </c>
      <c r="C82" t="inlineStr">
        <is>
          <t>Southport CC</t>
        </is>
      </c>
      <c r="D82" t="inlineStr">
        <is>
          <t>6</t>
        </is>
      </c>
      <c r="E82">
        <f>HYPERLINK("https://www.britishcycling.org.uk/points?person_id=770387&amp;year=2021&amp;type=national&amp;d=6","Results")</f>
        <v/>
      </c>
    </row>
    <row r="83">
      <c r="A83" t="inlineStr">
        <is>
          <t>82</t>
        </is>
      </c>
      <c r="B83" t="inlineStr">
        <is>
          <t>Evelyn Tedaldi</t>
        </is>
      </c>
      <c r="C83" t="inlineStr">
        <is>
          <t>Avid Sport</t>
        </is>
      </c>
      <c r="D83" t="inlineStr">
        <is>
          <t>6</t>
        </is>
      </c>
      <c r="E83">
        <f>HYPERLINK("https://www.britishcycling.org.uk/points?person_id=917893&amp;year=2021&amp;type=national&amp;d=6","Results")</f>
        <v/>
      </c>
    </row>
    <row r="84">
      <c r="A84" t="inlineStr">
        <is>
          <t>83</t>
        </is>
      </c>
      <c r="B84" t="inlineStr">
        <is>
          <t>Sian Thompson</t>
        </is>
      </c>
      <c r="C84" t="inlineStr">
        <is>
          <t>Paul Milnes - Bradford Olympic RC</t>
        </is>
      </c>
      <c r="D84" t="inlineStr">
        <is>
          <t>6</t>
        </is>
      </c>
      <c r="E84">
        <f>HYPERLINK("https://www.britishcycling.org.uk/points?person_id=392085&amp;year=2021&amp;type=national&amp;d=6","Results")</f>
        <v/>
      </c>
    </row>
    <row r="85">
      <c r="A85" t="inlineStr">
        <is>
          <t>84</t>
        </is>
      </c>
      <c r="B85" t="inlineStr">
        <is>
          <t>Abbey Thompson</t>
        </is>
      </c>
      <c r="C85" t="inlineStr">
        <is>
          <t>Stonham Barns Park – SYRT</t>
        </is>
      </c>
      <c r="D85" t="inlineStr">
        <is>
          <t>6</t>
        </is>
      </c>
      <c r="E85">
        <f>HYPERLINK("https://www.britishcycling.org.uk/points?person_id=298632&amp;year=2021&amp;type=national&amp;d=6","Results")</f>
        <v/>
      </c>
    </row>
    <row r="86">
      <c r="A86" t="inlineStr">
        <is>
          <t>85</t>
        </is>
      </c>
      <c r="B86" t="inlineStr">
        <is>
          <t>Isla Widdowson</t>
        </is>
      </c>
      <c r="C86" t="inlineStr">
        <is>
          <t>Colchester Rovers CC</t>
        </is>
      </c>
      <c r="D86" t="inlineStr">
        <is>
          <t>6</t>
        </is>
      </c>
      <c r="E86">
        <f>HYPERLINK("https://www.britishcycling.org.uk/points?person_id=937514&amp;year=2021&amp;type=national&amp;d=6","Results")</f>
        <v/>
      </c>
    </row>
    <row r="87">
      <c r="A87" t="inlineStr">
        <is>
          <t>86</t>
        </is>
      </c>
      <c r="B87" t="inlineStr">
        <is>
          <t>Matilda Challinor</t>
        </is>
      </c>
      <c r="C87" t="inlineStr">
        <is>
          <t>Colchester Rovers CC</t>
        </is>
      </c>
      <c r="D87" t="inlineStr">
        <is>
          <t>5</t>
        </is>
      </c>
      <c r="E87">
        <f>HYPERLINK("https://www.britishcycling.org.uk/points?person_id=330620&amp;year=2021&amp;type=national&amp;d=6","Results")</f>
        <v/>
      </c>
    </row>
    <row r="88">
      <c r="A88" t="inlineStr">
        <is>
          <t>87</t>
        </is>
      </c>
      <c r="B88" t="inlineStr">
        <is>
          <t>Charlotte Clayson</t>
        </is>
      </c>
      <c r="C88" t="inlineStr">
        <is>
          <t>VC Deal</t>
        </is>
      </c>
      <c r="D88" t="inlineStr">
        <is>
          <t>5</t>
        </is>
      </c>
      <c r="E88">
        <f>HYPERLINK("https://www.britishcycling.org.uk/points?person_id=986188&amp;year=2021&amp;type=national&amp;d=6","Results")</f>
        <v/>
      </c>
    </row>
    <row r="89">
      <c r="A89" t="inlineStr">
        <is>
          <t>88</t>
        </is>
      </c>
      <c r="B89" t="inlineStr">
        <is>
          <t>Isla Hoult</t>
        </is>
      </c>
      <c r="C89" t="inlineStr">
        <is>
          <t>Velo Club Venta</t>
        </is>
      </c>
      <c r="D89" t="inlineStr">
        <is>
          <t>5</t>
        </is>
      </c>
      <c r="E89">
        <f>HYPERLINK("https://www.britishcycling.org.uk/points?person_id=1033183&amp;year=2021&amp;type=national&amp;d=6","Results")</f>
        <v/>
      </c>
    </row>
    <row r="90">
      <c r="A90" t="inlineStr">
        <is>
          <t>89</t>
        </is>
      </c>
      <c r="B90" t="inlineStr">
        <is>
          <t>Kirsten Brown</t>
        </is>
      </c>
      <c r="C90" t="inlineStr">
        <is>
          <t>Sprockets Cycle Club</t>
        </is>
      </c>
      <c r="D90" t="inlineStr">
        <is>
          <t>4</t>
        </is>
      </c>
      <c r="E90">
        <f>HYPERLINK("https://www.britishcycling.org.uk/points?person_id=621135&amp;year=2021&amp;type=national&amp;d=6","Results")</f>
        <v/>
      </c>
    </row>
    <row r="91">
      <c r="A91" t="inlineStr">
        <is>
          <t>90</t>
        </is>
      </c>
      <c r="B91" t="inlineStr">
        <is>
          <t>Orla Burn</t>
        </is>
      </c>
      <c r="C91" t="inlineStr">
        <is>
          <t>West Lothian Clarion CC</t>
        </is>
      </c>
      <c r="D91" t="inlineStr">
        <is>
          <t>4</t>
        </is>
      </c>
      <c r="E91">
        <f>HYPERLINK("https://www.britishcycling.org.uk/points?person_id=455645&amp;year=2021&amp;type=national&amp;d=6","Results")</f>
        <v/>
      </c>
    </row>
    <row r="92">
      <c r="A92" t="inlineStr">
        <is>
          <t>91</t>
        </is>
      </c>
      <c r="B92" t="inlineStr">
        <is>
          <t>Beth Gardner</t>
        </is>
      </c>
      <c r="C92" t="inlineStr">
        <is>
          <t>Matlock CC</t>
        </is>
      </c>
      <c r="D92" t="inlineStr">
        <is>
          <t>4</t>
        </is>
      </c>
      <c r="E92">
        <f>HYPERLINK("https://www.britishcycling.org.uk/points?person_id=855198&amp;year=2021&amp;type=national&amp;d=6","Results")</f>
        <v/>
      </c>
    </row>
    <row r="93">
      <c r="A93" t="inlineStr">
        <is>
          <t>92</t>
        </is>
      </c>
      <c r="B93" t="inlineStr">
        <is>
          <t>Iona Kynaston</t>
        </is>
      </c>
      <c r="C93" t="inlineStr">
        <is>
          <t>Team Milton Keynes</t>
        </is>
      </c>
      <c r="D93" t="inlineStr">
        <is>
          <t>4</t>
        </is>
      </c>
      <c r="E93">
        <f>HYPERLINK("https://www.britishcycling.org.uk/points?person_id=789700&amp;year=2021&amp;type=national&amp;d=6","Results")</f>
        <v/>
      </c>
    </row>
    <row r="94">
      <c r="A94" t="inlineStr">
        <is>
          <t>93</t>
        </is>
      </c>
      <c r="B94" t="inlineStr">
        <is>
          <t>Katy Otterson</t>
        </is>
      </c>
      <c r="C94" t="inlineStr">
        <is>
          <t>North Shields Polytechnic</t>
        </is>
      </c>
      <c r="D94" t="inlineStr">
        <is>
          <t>4</t>
        </is>
      </c>
      <c r="E94">
        <f>HYPERLINK("https://www.britishcycling.org.uk/points?person_id=947866&amp;year=2021&amp;type=national&amp;d=6","Results")</f>
        <v/>
      </c>
    </row>
    <row r="95">
      <c r="A95" t="inlineStr">
        <is>
          <t>94</t>
        </is>
      </c>
      <c r="B95" t="inlineStr">
        <is>
          <t>Helen Stevenson</t>
        </is>
      </c>
      <c r="C95" t="inlineStr">
        <is>
          <t>Cwmcarn Paragon Cycling Club</t>
        </is>
      </c>
      <c r="D95" t="inlineStr">
        <is>
          <t>4</t>
        </is>
      </c>
      <c r="E95">
        <f>HYPERLINK("https://www.britishcycling.org.uk/points?person_id=1032139&amp;year=2021&amp;type=national&amp;d=6","Results")</f>
        <v/>
      </c>
    </row>
    <row r="96">
      <c r="A96" t="inlineStr">
        <is>
          <t>95</t>
        </is>
      </c>
      <c r="B96" t="inlineStr">
        <is>
          <t>Lucy Ball</t>
        </is>
      </c>
      <c r="C96" t="inlineStr">
        <is>
          <t>Derby Mercury RC</t>
        </is>
      </c>
      <c r="D96" t="inlineStr">
        <is>
          <t>3</t>
        </is>
      </c>
      <c r="E96">
        <f>HYPERLINK("https://www.britishcycling.org.uk/points?person_id=1027880&amp;year=2021&amp;type=national&amp;d=6","Results")</f>
        <v/>
      </c>
    </row>
    <row r="97">
      <c r="A97" t="inlineStr">
        <is>
          <t>96</t>
        </is>
      </c>
      <c r="B97" t="inlineStr">
        <is>
          <t>Katie Colling</t>
        </is>
      </c>
      <c r="C97" t="inlineStr">
        <is>
          <t>Eastlands Velo</t>
        </is>
      </c>
      <c r="D97" t="inlineStr">
        <is>
          <t>3</t>
        </is>
      </c>
      <c r="E97">
        <f>HYPERLINK("https://www.britishcycling.org.uk/points?person_id=464124&amp;year=2021&amp;type=national&amp;d=6","Results")</f>
        <v/>
      </c>
    </row>
    <row r="98">
      <c r="A98" t="inlineStr">
        <is>
          <t>97</t>
        </is>
      </c>
      <c r="B98" t="inlineStr">
        <is>
          <t>Jemima Danvers</t>
        </is>
      </c>
      <c r="C98" t="inlineStr">
        <is>
          <t>Matlock CC</t>
        </is>
      </c>
      <c r="D98" t="inlineStr">
        <is>
          <t>3</t>
        </is>
      </c>
      <c r="E98">
        <f>HYPERLINK("https://www.britishcycling.org.uk/points?person_id=896315&amp;year=2021&amp;type=national&amp;d=6","Results")</f>
        <v/>
      </c>
    </row>
    <row r="99">
      <c r="A99" t="inlineStr">
        <is>
          <t>98</t>
        </is>
      </c>
      <c r="B99" t="inlineStr">
        <is>
          <t>Estelle Lowe</t>
        </is>
      </c>
      <c r="C99" t="inlineStr">
        <is>
          <t>Sulis Scorpions Youth Cycling Club</t>
        </is>
      </c>
      <c r="D99" t="inlineStr">
        <is>
          <t>3</t>
        </is>
      </c>
      <c r="E99">
        <f>HYPERLINK("https://www.britishcycling.org.uk/points?person_id=871283&amp;year=2021&amp;type=national&amp;d=6","Results")</f>
        <v/>
      </c>
    </row>
    <row r="100">
      <c r="A100" t="inlineStr">
        <is>
          <t>99</t>
        </is>
      </c>
      <c r="B100" t="inlineStr">
        <is>
          <t>Annabella MacLennan</t>
        </is>
      </c>
      <c r="C100" t="inlineStr">
        <is>
          <t>Wadebridge Coasters Cycling Club</t>
        </is>
      </c>
      <c r="D100" t="inlineStr">
        <is>
          <t>3</t>
        </is>
      </c>
      <c r="E100">
        <f>HYPERLINK("https://www.britishcycling.org.uk/points?person_id=782014&amp;year=2021&amp;type=national&amp;d=6","Results")</f>
        <v/>
      </c>
    </row>
    <row r="101">
      <c r="A101" t="inlineStr">
        <is>
          <t>100</t>
        </is>
      </c>
      <c r="B101" t="inlineStr">
        <is>
          <t>Cerys Mitchell</t>
        </is>
      </c>
      <c r="C101" t="inlineStr">
        <is>
          <t>Welwyn Wheelers CC</t>
        </is>
      </c>
      <c r="D101" t="inlineStr">
        <is>
          <t>3</t>
        </is>
      </c>
      <c r="E101">
        <f>HYPERLINK("https://www.britishcycling.org.uk/points?person_id=854336&amp;year=2021&amp;type=national&amp;d=6","Results")</f>
        <v/>
      </c>
    </row>
    <row r="102">
      <c r="A102" t="inlineStr">
        <is>
          <t>101</t>
        </is>
      </c>
      <c r="B102" t="inlineStr">
        <is>
          <t>Isabel Moore</t>
        </is>
      </c>
      <c r="C102" t="inlineStr">
        <is>
          <t>West Suffolk Wheelers</t>
        </is>
      </c>
      <c r="D102" t="inlineStr">
        <is>
          <t>3</t>
        </is>
      </c>
      <c r="E102">
        <f>HYPERLINK("https://www.britishcycling.org.uk/points?person_id=942475&amp;year=2021&amp;type=national&amp;d=6","Results")</f>
        <v/>
      </c>
    </row>
    <row r="103">
      <c r="A103" t="inlineStr">
        <is>
          <t>102</t>
        </is>
      </c>
      <c r="B103" t="inlineStr">
        <is>
          <t>Sophie Smith-Jackson</t>
        </is>
      </c>
      <c r="C103" t="inlineStr">
        <is>
          <t>Cockermouth Youth Cycling Club</t>
        </is>
      </c>
      <c r="D103" t="inlineStr">
        <is>
          <t>3</t>
        </is>
      </c>
      <c r="E103">
        <f>HYPERLINK("https://www.britishcycling.org.uk/points?person_id=473683&amp;year=2021&amp;type=national&amp;d=6","Results")</f>
        <v/>
      </c>
    </row>
    <row r="104">
      <c r="A104" t="inlineStr">
        <is>
          <t>103</t>
        </is>
      </c>
      <c r="B104" t="inlineStr">
        <is>
          <t>Florence Switzer</t>
        </is>
      </c>
      <c r="C104" t="inlineStr">
        <is>
          <t>Welland Valley CC</t>
        </is>
      </c>
      <c r="D104" t="inlineStr">
        <is>
          <t>3</t>
        </is>
      </c>
      <c r="E104">
        <f>HYPERLINK("https://www.britishcycling.org.uk/points?person_id=380720&amp;year=2021&amp;type=national&amp;d=6","Results")</f>
        <v/>
      </c>
    </row>
    <row r="105">
      <c r="A105" t="inlineStr">
        <is>
          <t>104</t>
        </is>
      </c>
      <c r="B105" t="inlineStr">
        <is>
          <t>Amelie Livesey</t>
        </is>
      </c>
      <c r="C105" t="inlineStr">
        <is>
          <t>Palmer Park Velo RT</t>
        </is>
      </c>
      <c r="D105" t="inlineStr">
        <is>
          <t>2</t>
        </is>
      </c>
      <c r="E105">
        <f>HYPERLINK("https://www.britishcycling.org.uk/points?person_id=1022424&amp;year=2021&amp;type=national&amp;d=6","Results")</f>
        <v/>
      </c>
    </row>
    <row r="106">
      <c r="A106" t="inlineStr">
        <is>
          <t>105</t>
        </is>
      </c>
      <c r="B106" t="inlineStr">
        <is>
          <t>Felicity Lowe</t>
        </is>
      </c>
      <c r="C106" t="inlineStr">
        <is>
          <t>Avid Sport</t>
        </is>
      </c>
      <c r="D106" t="inlineStr">
        <is>
          <t>2</t>
        </is>
      </c>
      <c r="E106">
        <f>HYPERLINK("https://www.britishcycling.org.uk/points?person_id=871267&amp;year=2021&amp;type=national&amp;d=6","Results")</f>
        <v/>
      </c>
    </row>
    <row r="107">
      <c r="A107" t="inlineStr">
        <is>
          <t>106</t>
        </is>
      </c>
      <c r="B107" t="inlineStr">
        <is>
          <t>Nerys Meeran</t>
        </is>
      </c>
      <c r="C107" t="inlineStr">
        <is>
          <t>VC Londres</t>
        </is>
      </c>
      <c r="D107" t="inlineStr">
        <is>
          <t>2</t>
        </is>
      </c>
      <c r="E107">
        <f>HYPERLINK("https://www.britishcycling.org.uk/points?person_id=621417&amp;year=2021&amp;type=national&amp;d=6","Results")</f>
        <v/>
      </c>
    </row>
    <row r="108">
      <c r="A108" t="inlineStr">
        <is>
          <t>107</t>
        </is>
      </c>
      <c r="B108" t="inlineStr">
        <is>
          <t>Eva Murphy</t>
        </is>
      </c>
      <c r="C108" t="inlineStr">
        <is>
          <t>Deeside Thistle CC</t>
        </is>
      </c>
      <c r="D108" t="inlineStr">
        <is>
          <t>2</t>
        </is>
      </c>
      <c r="E108">
        <f>HYPERLINK("https://www.britishcycling.org.uk/points?person_id=653974&amp;year=2021&amp;type=national&amp;d=6","Results")</f>
        <v/>
      </c>
    </row>
    <row r="109">
      <c r="A109" t="inlineStr">
        <is>
          <t>108</t>
        </is>
      </c>
      <c r="B109" t="inlineStr">
        <is>
          <t>Nina Padmanabhan</t>
        </is>
      </c>
      <c r="C109" t="inlineStr">
        <is>
          <t>Falcons Cycling Club Bishopbriggs</t>
        </is>
      </c>
      <c r="D109" t="inlineStr">
        <is>
          <t>2</t>
        </is>
      </c>
      <c r="E109">
        <f>HYPERLINK("https://www.britishcycling.org.uk/points?person_id=314754&amp;year=2021&amp;type=national&amp;d=6","Results")</f>
        <v/>
      </c>
    </row>
    <row r="110">
      <c r="A110" t="inlineStr">
        <is>
          <t>109</t>
        </is>
      </c>
      <c r="B110" t="inlineStr">
        <is>
          <t>Ellie Ponting</t>
        </is>
      </c>
      <c r="C110" t="inlineStr">
        <is>
          <t>Andover BMX Club</t>
        </is>
      </c>
      <c r="D110" t="inlineStr">
        <is>
          <t>2</t>
        </is>
      </c>
      <c r="E110">
        <f>HYPERLINK("https://www.britishcycling.org.uk/points?person_id=1027972&amp;year=2021&amp;type=national&amp;d=6","Results")</f>
        <v/>
      </c>
    </row>
    <row r="111">
      <c r="A111" t="inlineStr">
        <is>
          <t>110</t>
        </is>
      </c>
      <c r="B111" t="inlineStr">
        <is>
          <t>Violet Samson</t>
        </is>
      </c>
      <c r="C111" t="inlineStr">
        <is>
          <t>Islington Cycling Club</t>
        </is>
      </c>
      <c r="D111" t="inlineStr">
        <is>
          <t>2</t>
        </is>
      </c>
      <c r="E111">
        <f>HYPERLINK("https://www.britishcycling.org.uk/points?person_id=1035854&amp;year=2021&amp;type=national&amp;d=6","Results")</f>
        <v/>
      </c>
    </row>
    <row r="112">
      <c r="A112" t="inlineStr">
        <is>
          <t>111</t>
        </is>
      </c>
      <c r="B112" t="inlineStr">
        <is>
          <t>Isabelle Bishop</t>
        </is>
      </c>
      <c r="C112" t="inlineStr">
        <is>
          <t>Sprockets Cycle Club</t>
        </is>
      </c>
      <c r="D112" t="inlineStr">
        <is>
          <t>1</t>
        </is>
      </c>
      <c r="E112">
        <f>HYPERLINK("https://www.britishcycling.org.uk/points?person_id=618993&amp;year=2021&amp;type=national&amp;d=6","Results")</f>
        <v/>
      </c>
    </row>
    <row r="113">
      <c r="A113" t="inlineStr">
        <is>
          <t>112</t>
        </is>
      </c>
      <c r="B113" t="inlineStr">
        <is>
          <t>Grace Blagg</t>
        </is>
      </c>
      <c r="C113" t="inlineStr">
        <is>
          <t>Beeston RC</t>
        </is>
      </c>
      <c r="D113" t="inlineStr">
        <is>
          <t>1</t>
        </is>
      </c>
      <c r="E113">
        <f>HYPERLINK("https://www.britishcycling.org.uk/points?person_id=1033752&amp;year=2021&amp;type=national&amp;d=6","Results")</f>
        <v/>
      </c>
    </row>
    <row r="114">
      <c r="A114" t="inlineStr">
        <is>
          <t>113</t>
        </is>
      </c>
      <c r="B114" t="inlineStr">
        <is>
          <t>Olivia Courtney</t>
        </is>
      </c>
      <c r="C114" t="inlineStr"/>
      <c r="D114" t="inlineStr">
        <is>
          <t>1</t>
        </is>
      </c>
      <c r="E114">
        <f>HYPERLINK("https://www.britishcycling.org.uk/points?person_id=688588&amp;year=2021&amp;type=national&amp;d=6","Results")</f>
        <v/>
      </c>
    </row>
    <row r="115">
      <c r="A115" t="inlineStr">
        <is>
          <t>114</t>
        </is>
      </c>
      <c r="B115" t="inlineStr">
        <is>
          <t>Robyn Douglass</t>
        </is>
      </c>
      <c r="C115" t="inlineStr">
        <is>
          <t>South Shields Velo Cycling Club</t>
        </is>
      </c>
      <c r="D115" t="inlineStr">
        <is>
          <t>1</t>
        </is>
      </c>
      <c r="E115">
        <f>HYPERLINK("https://www.britishcycling.org.uk/points?person_id=753897&amp;year=2021&amp;type=national&amp;d=6","Results")</f>
        <v/>
      </c>
    </row>
    <row r="116">
      <c r="A116" t="inlineStr">
        <is>
          <t>115</t>
        </is>
      </c>
      <c r="B116" t="inlineStr">
        <is>
          <t>Esme Glossop</t>
        </is>
      </c>
      <c r="C116" t="inlineStr">
        <is>
          <t>Bolton Hot Wheels CC</t>
        </is>
      </c>
      <c r="D116" t="inlineStr">
        <is>
          <t>1</t>
        </is>
      </c>
      <c r="E116">
        <f>HYPERLINK("https://www.britishcycling.org.uk/points?person_id=417860&amp;year=2021&amp;type=national&amp;d=6","Results")</f>
        <v/>
      </c>
    </row>
    <row r="117">
      <c r="A117" t="inlineStr">
        <is>
          <t>116</t>
        </is>
      </c>
      <c r="B117" t="inlineStr">
        <is>
          <t>Jessica Herriott</t>
        </is>
      </c>
      <c r="C117" t="inlineStr">
        <is>
          <t>Boston Triathlon Club</t>
        </is>
      </c>
      <c r="D117" t="inlineStr">
        <is>
          <t>1</t>
        </is>
      </c>
      <c r="E117">
        <f>HYPERLINK("https://www.britishcycling.org.uk/points?person_id=953273&amp;year=2021&amp;type=national&amp;d=6","Results")</f>
        <v/>
      </c>
    </row>
    <row r="118">
      <c r="A118" t="inlineStr">
        <is>
          <t>117</t>
        </is>
      </c>
      <c r="B118" t="inlineStr">
        <is>
          <t>Edith Heslop</t>
        </is>
      </c>
      <c r="C118" t="inlineStr">
        <is>
          <t>Team Milton Keynes</t>
        </is>
      </c>
      <c r="D118" t="inlineStr">
        <is>
          <t>1</t>
        </is>
      </c>
      <c r="E118">
        <f>HYPERLINK("https://www.britishcycling.org.uk/points?person_id=766627&amp;year=2021&amp;type=national&amp;d=6","Results")</f>
        <v/>
      </c>
    </row>
    <row r="119">
      <c r="A119" t="inlineStr">
        <is>
          <t>118</t>
        </is>
      </c>
      <c r="B119" t="inlineStr">
        <is>
          <t>Lottie Styler</t>
        </is>
      </c>
      <c r="C119" t="inlineStr">
        <is>
          <t>Redditch Road &amp; Path CC</t>
        </is>
      </c>
      <c r="D119" t="inlineStr">
        <is>
          <t>1</t>
        </is>
      </c>
      <c r="E119">
        <f>HYPERLINK("https://www.britishcycling.org.uk/points?person_id=310098&amp;year=2021&amp;type=national&amp;d=6","Results")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11"/>
  <sheetViews>
    <sheetView workbookViewId="0">
      <selection activeCell="A1" sqref="A1"/>
    </sheetView>
  </sheetViews>
  <sheetFormatPr baseColWidth="8" defaultRowHeight="15"/>
  <cols>
    <col customWidth="1" max="1" min="1" width="8"/>
    <col customWidth="1" max="2" min="2" width="25"/>
    <col customWidth="1" max="3" min="3" width="50"/>
    <col customWidth="1" max="4" min="4" width="7"/>
    <col customWidth="1" max="5" min="5" width="20"/>
  </cols>
  <sheetData>
    <row r="1">
      <c r="A1" t="inlineStr">
        <is>
          <t>Ranking</t>
        </is>
      </c>
      <c r="B1" t="inlineStr">
        <is>
          <t>Name</t>
        </is>
      </c>
      <c r="C1" t="inlineStr">
        <is>
          <t>Club/Team</t>
        </is>
      </c>
      <c r="D1" t="inlineStr">
        <is>
          <t>Points</t>
        </is>
      </c>
      <c r="E1" t="inlineStr">
        <is>
          <t>Detail (click)</t>
        </is>
      </c>
      <c r="F1" t="inlineStr">
        <is>
          <t>Updated: 2022-09-08</t>
        </is>
      </c>
    </row>
    <row r="2">
      <c r="A2" t="inlineStr">
        <is>
          <t>1</t>
        </is>
      </c>
      <c r="B2" t="inlineStr">
        <is>
          <t>Cat Ferguson</t>
        </is>
      </c>
      <c r="C2" t="inlineStr">
        <is>
          <t>Hope Factory Racing</t>
        </is>
      </c>
      <c r="D2" t="inlineStr">
        <is>
          <t>749</t>
        </is>
      </c>
      <c r="E2">
        <f>HYPERLINK("https://www.britishcycling.org.uk/points?person_id=390279&amp;year=2021&amp;type=national&amp;d=6","Results")</f>
        <v/>
      </c>
    </row>
    <row r="3">
      <c r="A3" t="inlineStr">
        <is>
          <t>2</t>
        </is>
      </c>
      <c r="B3" t="inlineStr">
        <is>
          <t>Alice Colling</t>
        </is>
      </c>
      <c r="C3" t="inlineStr">
        <is>
          <t>Shibden Cycling Club</t>
        </is>
      </c>
      <c r="D3" t="inlineStr">
        <is>
          <t>509</t>
        </is>
      </c>
      <c r="E3">
        <f>HYPERLINK("https://www.britishcycling.org.uk/points?person_id=232664&amp;year=2021&amp;type=national&amp;d=6","Results")</f>
        <v/>
      </c>
    </row>
    <row r="4">
      <c r="A4" t="inlineStr">
        <is>
          <t>3</t>
        </is>
      </c>
      <c r="B4" t="inlineStr">
        <is>
          <t>Florence Greenhalgh</t>
        </is>
      </c>
      <c r="C4" t="inlineStr">
        <is>
          <t>Paul Milnes - Bradford Olympic RC</t>
        </is>
      </c>
      <c r="D4" t="inlineStr">
        <is>
          <t>410</t>
        </is>
      </c>
      <c r="E4">
        <f>HYPERLINK("https://www.britishcycling.org.uk/points?person_id=339045&amp;year=2021&amp;type=national&amp;d=6","Results")</f>
        <v/>
      </c>
    </row>
    <row r="5">
      <c r="A5" t="inlineStr">
        <is>
          <t>4</t>
        </is>
      </c>
      <c r="B5" t="inlineStr">
        <is>
          <t>Imogen Wolff</t>
        </is>
      </c>
      <c r="C5" t="inlineStr">
        <is>
          <t>Shibden Cycling Club</t>
        </is>
      </c>
      <c r="D5" t="inlineStr">
        <is>
          <t>402</t>
        </is>
      </c>
      <c r="E5">
        <f>HYPERLINK("https://www.britishcycling.org.uk/points?person_id=757738&amp;year=2021&amp;type=national&amp;d=6","Results")</f>
        <v/>
      </c>
    </row>
    <row r="6">
      <c r="A6" t="inlineStr">
        <is>
          <t>5</t>
        </is>
      </c>
      <c r="B6" t="inlineStr">
        <is>
          <t>Carys Lloyd</t>
        </is>
      </c>
      <c r="C6" t="inlineStr">
        <is>
          <t>VC Londres</t>
        </is>
      </c>
      <c r="D6" t="inlineStr">
        <is>
          <t>299</t>
        </is>
      </c>
      <c r="E6">
        <f>HYPERLINK("https://www.britishcycling.org.uk/points?person_id=261152&amp;year=2021&amp;type=national&amp;d=6","Results")</f>
        <v/>
      </c>
    </row>
    <row r="7">
      <c r="A7" t="inlineStr">
        <is>
          <t>6</t>
        </is>
      </c>
      <c r="B7" t="inlineStr">
        <is>
          <t>Arabella Blackburn</t>
        </is>
      </c>
      <c r="C7" t="inlineStr">
        <is>
          <t>Deeside Thistle CC</t>
        </is>
      </c>
      <c r="D7" t="inlineStr">
        <is>
          <t>293</t>
        </is>
      </c>
      <c r="E7">
        <f>HYPERLINK("https://www.britishcycling.org.uk/points?person_id=678401&amp;year=2021&amp;type=national&amp;d=6","Results")</f>
        <v/>
      </c>
    </row>
    <row r="8">
      <c r="A8" t="inlineStr">
        <is>
          <t>7</t>
        </is>
      </c>
      <c r="B8" t="inlineStr">
        <is>
          <t>Bethany-Ann Jackson</t>
        </is>
      </c>
      <c r="C8" t="inlineStr">
        <is>
          <t>WXC World Racing</t>
        </is>
      </c>
      <c r="D8" t="inlineStr">
        <is>
          <t>282</t>
        </is>
      </c>
      <c r="E8">
        <f>HYPERLINK("https://www.britishcycling.org.uk/points?person_id=330995&amp;year=2021&amp;type=national&amp;d=6","Results")</f>
        <v/>
      </c>
    </row>
    <row r="9">
      <c r="A9" t="inlineStr">
        <is>
          <t>8</t>
        </is>
      </c>
      <c r="B9" t="inlineStr">
        <is>
          <t>Esther Wong</t>
        </is>
      </c>
      <c r="C9" t="inlineStr">
        <is>
          <t>Cog Set Papyrus Racing Club</t>
        </is>
      </c>
      <c r="D9" t="inlineStr">
        <is>
          <t>272</t>
        </is>
      </c>
      <c r="E9">
        <f>HYPERLINK("https://www.britishcycling.org.uk/points?person_id=190563&amp;year=2021&amp;type=national&amp;d=6","Results")</f>
        <v/>
      </c>
    </row>
    <row r="10">
      <c r="A10" t="inlineStr">
        <is>
          <t>9</t>
        </is>
      </c>
      <c r="B10" t="inlineStr">
        <is>
          <t>Rebecca Woodvine</t>
        </is>
      </c>
      <c r="C10" t="inlineStr">
        <is>
          <t>Mid Shropshire Wheelers</t>
        </is>
      </c>
      <c r="D10" t="inlineStr">
        <is>
          <t>257</t>
        </is>
      </c>
      <c r="E10">
        <f>HYPERLINK("https://www.britishcycling.org.uk/points?person_id=308215&amp;year=2021&amp;type=national&amp;d=6","Results")</f>
        <v/>
      </c>
    </row>
    <row r="11">
      <c r="A11" t="inlineStr">
        <is>
          <t>10</t>
        </is>
      </c>
      <c r="B11" t="inlineStr">
        <is>
          <t>Mia Rutterford</t>
        </is>
      </c>
      <c r="C11" t="inlineStr">
        <is>
          <t>Iceni Velo</t>
        </is>
      </c>
      <c r="D11" t="inlineStr">
        <is>
          <t>254</t>
        </is>
      </c>
      <c r="E11">
        <f>HYPERLINK("https://www.britishcycling.org.uk/points?person_id=351824&amp;year=2021&amp;type=national&amp;d=6","Results")</f>
        <v/>
      </c>
    </row>
    <row r="12">
      <c r="A12" t="inlineStr">
        <is>
          <t>11</t>
        </is>
      </c>
      <c r="B12" t="inlineStr">
        <is>
          <t>Greta Carey</t>
        </is>
      </c>
      <c r="C12" t="inlineStr">
        <is>
          <t>Pedalon.co.uk</t>
        </is>
      </c>
      <c r="D12" t="inlineStr">
        <is>
          <t>193</t>
        </is>
      </c>
      <c r="E12">
        <f>HYPERLINK("https://www.britishcycling.org.uk/points?person_id=173176&amp;year=2021&amp;type=national&amp;d=6","Results")</f>
        <v/>
      </c>
    </row>
    <row r="13">
      <c r="A13" t="inlineStr">
        <is>
          <t>12</t>
        </is>
      </c>
      <c r="B13" t="inlineStr">
        <is>
          <t>Tulsi Bakrania</t>
        </is>
      </c>
      <c r="C13" t="inlineStr">
        <is>
          <t>WXC World Racing</t>
        </is>
      </c>
      <c r="D13" t="inlineStr">
        <is>
          <t>170</t>
        </is>
      </c>
      <c r="E13">
        <f>HYPERLINK("https://www.britishcycling.org.uk/points?person_id=294742&amp;year=2021&amp;type=national&amp;d=6","Results")</f>
        <v/>
      </c>
    </row>
    <row r="14">
      <c r="A14" t="inlineStr">
        <is>
          <t>13</t>
        </is>
      </c>
      <c r="B14" t="inlineStr">
        <is>
          <t>Daisy Taylor</t>
        </is>
      </c>
      <c r="C14" t="inlineStr">
        <is>
          <t>Royal Albert CC</t>
        </is>
      </c>
      <c r="D14" t="inlineStr">
        <is>
          <t>162</t>
        </is>
      </c>
      <c r="E14">
        <f>HYPERLINK("https://www.britishcycling.org.uk/points?person_id=297674&amp;year=2021&amp;type=national&amp;d=6","Results")</f>
        <v/>
      </c>
    </row>
    <row r="15">
      <c r="A15" t="inlineStr">
        <is>
          <t>14</t>
        </is>
      </c>
      <c r="B15" t="inlineStr">
        <is>
          <t>Isabel Mayes</t>
        </is>
      </c>
      <c r="C15" t="inlineStr">
        <is>
          <t>JRC-INTERFLON Race Team</t>
        </is>
      </c>
      <c r="D15" t="inlineStr">
        <is>
          <t>159</t>
        </is>
      </c>
      <c r="E15">
        <f>HYPERLINK("https://www.britishcycling.org.uk/points?person_id=541628&amp;year=2021&amp;type=national&amp;d=6","Results")</f>
        <v/>
      </c>
    </row>
    <row r="16">
      <c r="A16" t="inlineStr">
        <is>
          <t>15</t>
        </is>
      </c>
      <c r="B16" t="inlineStr">
        <is>
          <t>Anna Patterson</t>
        </is>
      </c>
      <c r="C16" t="inlineStr">
        <is>
          <t>Palmer Park Velo RT</t>
        </is>
      </c>
      <c r="D16" t="inlineStr">
        <is>
          <t>159</t>
        </is>
      </c>
      <c r="E16">
        <f>HYPERLINK("https://www.britishcycling.org.uk/points?person_id=533626&amp;year=2021&amp;type=national&amp;d=6","Results")</f>
        <v/>
      </c>
    </row>
    <row r="17">
      <c r="A17" t="inlineStr">
        <is>
          <t>16</t>
        </is>
      </c>
      <c r="B17" t="inlineStr">
        <is>
          <t>Faye Williams</t>
        </is>
      </c>
      <c r="C17" t="inlineStr">
        <is>
          <t>North Cheshire Clarion</t>
        </is>
      </c>
      <c r="D17" t="inlineStr">
        <is>
          <t>148</t>
        </is>
      </c>
      <c r="E17">
        <f>HYPERLINK("https://www.britishcycling.org.uk/points?person_id=204853&amp;year=2021&amp;type=national&amp;d=6","Results")</f>
        <v/>
      </c>
    </row>
    <row r="18">
      <c r="A18" t="inlineStr">
        <is>
          <t>17</t>
        </is>
      </c>
      <c r="B18" t="inlineStr">
        <is>
          <t>Zoe Parker</t>
        </is>
      </c>
      <c r="C18" t="inlineStr">
        <is>
          <t>Solihull CC</t>
        </is>
      </c>
      <c r="D18" t="inlineStr">
        <is>
          <t>143</t>
        </is>
      </c>
      <c r="E18">
        <f>HYPERLINK("https://www.britishcycling.org.uk/points?person_id=615888&amp;year=2021&amp;type=national&amp;d=6","Results")</f>
        <v/>
      </c>
    </row>
    <row r="19">
      <c r="A19" t="inlineStr">
        <is>
          <t>18</t>
        </is>
      </c>
      <c r="B19" t="inlineStr">
        <is>
          <t>Lucy Allsop</t>
        </is>
      </c>
      <c r="C19" t="inlineStr">
        <is>
          <t>Welwyn Wheelers CC</t>
        </is>
      </c>
      <c r="D19" t="inlineStr">
        <is>
          <t>142</t>
        </is>
      </c>
      <c r="E19">
        <f>HYPERLINK("https://www.britishcycling.org.uk/points?person_id=28777&amp;year=2021&amp;type=national&amp;d=6","Results")</f>
        <v/>
      </c>
    </row>
    <row r="20">
      <c r="A20" t="inlineStr">
        <is>
          <t>19</t>
        </is>
      </c>
      <c r="B20" t="inlineStr">
        <is>
          <t>Charlotte Smith</t>
        </is>
      </c>
      <c r="C20" t="inlineStr">
        <is>
          <t>Solent Pirates</t>
        </is>
      </c>
      <c r="D20" t="inlineStr">
        <is>
          <t>135</t>
        </is>
      </c>
      <c r="E20">
        <f>HYPERLINK("https://www.britishcycling.org.uk/points?person_id=420623&amp;year=2021&amp;type=national&amp;d=6","Results")</f>
        <v/>
      </c>
    </row>
    <row r="21">
      <c r="A21" t="inlineStr">
        <is>
          <t>20</t>
        </is>
      </c>
      <c r="B21" t="inlineStr">
        <is>
          <t>Amelia Cebak</t>
        </is>
      </c>
      <c r="C21" t="inlineStr">
        <is>
          <t>Team Milton Keynes</t>
        </is>
      </c>
      <c r="D21" t="inlineStr">
        <is>
          <t>134</t>
        </is>
      </c>
      <c r="E21">
        <f>HYPERLINK("https://www.britishcycling.org.uk/points?person_id=521404&amp;year=2021&amp;type=national&amp;d=6","Results")</f>
        <v/>
      </c>
    </row>
    <row r="22">
      <c r="A22" t="inlineStr">
        <is>
          <t>21</t>
        </is>
      </c>
      <c r="B22" t="inlineStr">
        <is>
          <t>Madeline Moorhouse Smith</t>
        </is>
      </c>
      <c r="C22" t="inlineStr">
        <is>
          <t>Shibden Cycling Club</t>
        </is>
      </c>
      <c r="D22" t="inlineStr">
        <is>
          <t>96</t>
        </is>
      </c>
      <c r="E22">
        <f>HYPERLINK("https://www.britishcycling.org.uk/points?person_id=845775&amp;year=2021&amp;type=national&amp;d=6","Results")</f>
        <v/>
      </c>
    </row>
    <row r="23">
      <c r="A23" t="inlineStr">
        <is>
          <t>22</t>
        </is>
      </c>
      <c r="B23" t="inlineStr">
        <is>
          <t>Megan Lloyd</t>
        </is>
      </c>
      <c r="C23" t="inlineStr">
        <is>
          <t>Harry Middleton Cycling Club</t>
        </is>
      </c>
      <c r="D23" t="inlineStr">
        <is>
          <t>70</t>
        </is>
      </c>
      <c r="E23">
        <f>HYPERLINK("https://www.britishcycling.org.uk/points?person_id=375804&amp;year=2021&amp;type=national&amp;d=6","Results")</f>
        <v/>
      </c>
    </row>
    <row r="24">
      <c r="A24" t="inlineStr">
        <is>
          <t>23</t>
        </is>
      </c>
      <c r="B24" t="inlineStr">
        <is>
          <t>Gabby Scott</t>
        </is>
      </c>
      <c r="C24" t="inlineStr">
        <is>
          <t>North Cheshire Clarion</t>
        </is>
      </c>
      <c r="D24" t="inlineStr">
        <is>
          <t>70</t>
        </is>
      </c>
      <c r="E24">
        <f>HYPERLINK("https://www.britishcycling.org.uk/points?person_id=832706&amp;year=2021&amp;type=national&amp;d=6","Results")</f>
        <v/>
      </c>
    </row>
    <row r="25">
      <c r="A25" t="inlineStr">
        <is>
          <t>24</t>
        </is>
      </c>
      <c r="B25" t="inlineStr">
        <is>
          <t>Amelia Staunton</t>
        </is>
      </c>
      <c r="C25" t="inlineStr">
        <is>
          <t>Sprockets Cycle Club</t>
        </is>
      </c>
      <c r="D25" t="inlineStr">
        <is>
          <t>69</t>
        </is>
      </c>
      <c r="E25">
        <f>HYPERLINK("https://www.britishcycling.org.uk/points?person_id=883749&amp;year=2021&amp;type=national&amp;d=6","Results")</f>
        <v/>
      </c>
    </row>
    <row r="26">
      <c r="A26" t="inlineStr">
        <is>
          <t>25</t>
        </is>
      </c>
      <c r="B26" t="inlineStr">
        <is>
          <t>Skye Willis</t>
        </is>
      </c>
      <c r="C26" t="inlineStr">
        <is>
          <t>Una Forza Racing</t>
        </is>
      </c>
      <c r="D26" t="inlineStr">
        <is>
          <t>68</t>
        </is>
      </c>
      <c r="E26">
        <f>HYPERLINK("https://www.britishcycling.org.uk/points?person_id=462817&amp;year=2021&amp;type=national&amp;d=6","Results")</f>
        <v/>
      </c>
    </row>
    <row r="27">
      <c r="A27" t="inlineStr">
        <is>
          <t>26</t>
        </is>
      </c>
      <c r="B27" t="inlineStr">
        <is>
          <t>Jamie Leigh Lloyd</t>
        </is>
      </c>
      <c r="C27" t="inlineStr">
        <is>
          <t>Liverpool Braveheart Bicycle Club</t>
        </is>
      </c>
      <c r="D27" t="inlineStr">
        <is>
          <t>60</t>
        </is>
      </c>
      <c r="E27">
        <f>HYPERLINK("https://www.britishcycling.org.uk/points?person_id=817227&amp;year=2021&amp;type=national&amp;d=6","Results")</f>
        <v/>
      </c>
    </row>
    <row r="28">
      <c r="A28" t="inlineStr">
        <is>
          <t>27</t>
        </is>
      </c>
      <c r="B28" t="inlineStr">
        <is>
          <t>Jessica Hoskins</t>
        </is>
      </c>
      <c r="C28" t="inlineStr">
        <is>
          <t>Cardiff JIF</t>
        </is>
      </c>
      <c r="D28" t="inlineStr">
        <is>
          <t>57</t>
        </is>
      </c>
      <c r="E28">
        <f>HYPERLINK("https://www.britishcycling.org.uk/points?person_id=441525&amp;year=2021&amp;type=national&amp;d=6","Results")</f>
        <v/>
      </c>
    </row>
    <row r="29">
      <c r="A29" t="inlineStr">
        <is>
          <t>28</t>
        </is>
      </c>
      <c r="B29" t="inlineStr">
        <is>
          <t>Ellie Harrison</t>
        </is>
      </c>
      <c r="C29" t="inlineStr">
        <is>
          <t>Clifton CC</t>
        </is>
      </c>
      <c r="D29" t="inlineStr">
        <is>
          <t>53</t>
        </is>
      </c>
      <c r="E29">
        <f>HYPERLINK("https://www.britishcycling.org.uk/points?person_id=661953&amp;year=2021&amp;type=national&amp;d=6","Results")</f>
        <v/>
      </c>
    </row>
    <row r="30">
      <c r="A30" t="inlineStr">
        <is>
          <t>29</t>
        </is>
      </c>
      <c r="B30" t="inlineStr">
        <is>
          <t>Ella Tandy</t>
        </is>
      </c>
      <c r="C30" t="inlineStr">
        <is>
          <t>Solihull CC</t>
        </is>
      </c>
      <c r="D30" t="inlineStr">
        <is>
          <t>52</t>
        </is>
      </c>
      <c r="E30">
        <f>HYPERLINK("https://www.britishcycling.org.uk/points?person_id=222961&amp;year=2021&amp;type=national&amp;d=6","Results")</f>
        <v/>
      </c>
    </row>
    <row r="31">
      <c r="A31" t="inlineStr">
        <is>
          <t>30</t>
        </is>
      </c>
      <c r="B31" t="inlineStr">
        <is>
          <t>Amelia Walton</t>
        </is>
      </c>
      <c r="C31" t="inlineStr">
        <is>
          <t>Shibden Cycling Club</t>
        </is>
      </c>
      <c r="D31" t="inlineStr">
        <is>
          <t>52</t>
        </is>
      </c>
      <c r="E31">
        <f>HYPERLINK("https://www.britishcycling.org.uk/points?person_id=227275&amp;year=2021&amp;type=national&amp;d=6","Results")</f>
        <v/>
      </c>
    </row>
    <row r="32">
      <c r="A32" t="inlineStr">
        <is>
          <t>31</t>
        </is>
      </c>
      <c r="B32" t="inlineStr">
        <is>
          <t>Anwen Nesham</t>
        </is>
      </c>
      <c r="C32" t="inlineStr">
        <is>
          <t>Maindy Flyers CC</t>
        </is>
      </c>
      <c r="D32" t="inlineStr">
        <is>
          <t>51</t>
        </is>
      </c>
      <c r="E32">
        <f>HYPERLINK("https://www.britishcycling.org.uk/points?person_id=233769&amp;year=2021&amp;type=national&amp;d=6","Results")</f>
        <v/>
      </c>
    </row>
    <row r="33">
      <c r="A33" t="inlineStr">
        <is>
          <t>32</t>
        </is>
      </c>
      <c r="B33" t="inlineStr">
        <is>
          <t>Harriette Taylor</t>
        </is>
      </c>
      <c r="C33" t="inlineStr">
        <is>
          <t>Newport Shropshire CC</t>
        </is>
      </c>
      <c r="D33" t="inlineStr">
        <is>
          <t>50</t>
        </is>
      </c>
      <c r="E33">
        <f>HYPERLINK("https://www.britishcycling.org.uk/points?person_id=669204&amp;year=2021&amp;type=national&amp;d=6","Results")</f>
        <v/>
      </c>
    </row>
    <row r="34">
      <c r="A34" t="inlineStr">
        <is>
          <t>33</t>
        </is>
      </c>
      <c r="B34" t="inlineStr">
        <is>
          <t>Erin Boothman</t>
        </is>
      </c>
      <c r="C34" t="inlineStr">
        <is>
          <t>East Kilbride Road Club</t>
        </is>
      </c>
      <c r="D34" t="inlineStr">
        <is>
          <t>49</t>
        </is>
      </c>
      <c r="E34">
        <f>HYPERLINK("https://www.britishcycling.org.uk/points?person_id=631025&amp;year=2021&amp;type=national&amp;d=6","Results")</f>
        <v/>
      </c>
    </row>
    <row r="35">
      <c r="A35" t="inlineStr">
        <is>
          <t>34</t>
        </is>
      </c>
      <c r="B35" t="inlineStr">
        <is>
          <t>Amelia Cleathero</t>
        </is>
      </c>
      <c r="C35" t="inlineStr">
        <is>
          <t>Racing Metro 15</t>
        </is>
      </c>
      <c r="D35" t="inlineStr">
        <is>
          <t>45</t>
        </is>
      </c>
      <c r="E35">
        <f>HYPERLINK("https://www.britishcycling.org.uk/points?person_id=225648&amp;year=2021&amp;type=national&amp;d=6","Results")</f>
        <v/>
      </c>
    </row>
    <row r="36">
      <c r="A36" t="inlineStr">
        <is>
          <t>35</t>
        </is>
      </c>
      <c r="B36" t="inlineStr">
        <is>
          <t>Elen Ruck</t>
        </is>
      </c>
      <c r="C36" t="inlineStr">
        <is>
          <t>Avid Sport</t>
        </is>
      </c>
      <c r="D36" t="inlineStr">
        <is>
          <t>40</t>
        </is>
      </c>
      <c r="E36">
        <f>HYPERLINK("https://www.britishcycling.org.uk/points?person_id=532315&amp;year=2021&amp;type=national&amp;d=6","Results")</f>
        <v/>
      </c>
    </row>
    <row r="37">
      <c r="A37" t="inlineStr">
        <is>
          <t>36</t>
        </is>
      </c>
      <c r="B37" t="inlineStr">
        <is>
          <t>Evie Smith</t>
        </is>
      </c>
      <c r="C37" t="inlineStr">
        <is>
          <t>Sportcity Velo</t>
        </is>
      </c>
      <c r="D37" t="inlineStr">
        <is>
          <t>36</t>
        </is>
      </c>
      <c r="E37">
        <f>HYPERLINK("https://www.britishcycling.org.uk/points?person_id=379106&amp;year=2021&amp;type=national&amp;d=6","Results")</f>
        <v/>
      </c>
    </row>
    <row r="38">
      <c r="A38" t="inlineStr">
        <is>
          <t>37</t>
        </is>
      </c>
      <c r="B38" t="inlineStr">
        <is>
          <t>Abigail Miller</t>
        </is>
      </c>
      <c r="C38" t="inlineStr">
        <is>
          <t>Clifton CC</t>
        </is>
      </c>
      <c r="D38" t="inlineStr">
        <is>
          <t>34</t>
        </is>
      </c>
      <c r="E38">
        <f>HYPERLINK("https://www.britishcycling.org.uk/points?person_id=499483&amp;year=2021&amp;type=national&amp;d=6","Results")</f>
        <v/>
      </c>
    </row>
    <row r="39">
      <c r="A39" t="inlineStr">
        <is>
          <t>38</t>
        </is>
      </c>
      <c r="B39" t="inlineStr">
        <is>
          <t>Kate Coulson</t>
        </is>
      </c>
      <c r="C39" t="inlineStr">
        <is>
          <t>Palmer Park Velo RT</t>
        </is>
      </c>
      <c r="D39" t="inlineStr">
        <is>
          <t>33</t>
        </is>
      </c>
      <c r="E39">
        <f>HYPERLINK("https://www.britishcycling.org.uk/points?person_id=616367&amp;year=2021&amp;type=national&amp;d=6","Results")</f>
        <v/>
      </c>
    </row>
    <row r="40">
      <c r="A40" t="inlineStr">
        <is>
          <t>39</t>
        </is>
      </c>
      <c r="B40" t="inlineStr">
        <is>
          <t>Eleanor Whalley</t>
        </is>
      </c>
      <c r="C40" t="inlineStr">
        <is>
          <t>Morvelo Magspeed Racing</t>
        </is>
      </c>
      <c r="D40" t="inlineStr">
        <is>
          <t>32</t>
        </is>
      </c>
      <c r="E40">
        <f>HYPERLINK("https://www.britishcycling.org.uk/points?person_id=766472&amp;year=2021&amp;type=national&amp;d=6","Results")</f>
        <v/>
      </c>
    </row>
    <row r="41">
      <c r="A41" t="inlineStr">
        <is>
          <t>40</t>
        </is>
      </c>
      <c r="B41" t="inlineStr">
        <is>
          <t>Ellie Mitchinson</t>
        </is>
      </c>
      <c r="C41" t="inlineStr">
        <is>
          <t>Welwyn Wheelers CC</t>
        </is>
      </c>
      <c r="D41" t="inlineStr">
        <is>
          <t>31</t>
        </is>
      </c>
      <c r="E41">
        <f>HYPERLINK("https://www.britishcycling.org.uk/points?person_id=431415&amp;year=2021&amp;type=national&amp;d=6","Results")</f>
        <v/>
      </c>
    </row>
    <row r="42">
      <c r="A42" t="inlineStr">
        <is>
          <t>41</t>
        </is>
      </c>
      <c r="B42" t="inlineStr">
        <is>
          <t>Electra Morris</t>
        </is>
      </c>
      <c r="C42" t="inlineStr">
        <is>
          <t>Charlotteville CC</t>
        </is>
      </c>
      <c r="D42" t="inlineStr">
        <is>
          <t>31</t>
        </is>
      </c>
      <c r="E42">
        <f>HYPERLINK("https://www.britishcycling.org.uk/points?person_id=194434&amp;year=2021&amp;type=national&amp;d=6","Results")</f>
        <v/>
      </c>
    </row>
    <row r="43">
      <c r="A43" t="inlineStr">
        <is>
          <t>42</t>
        </is>
      </c>
      <c r="B43" t="inlineStr">
        <is>
          <t>Lucy Benezet Minns</t>
        </is>
      </c>
      <c r="C43" t="inlineStr">
        <is>
          <t>VC Londres</t>
        </is>
      </c>
      <c r="D43" t="inlineStr">
        <is>
          <t>29</t>
        </is>
      </c>
      <c r="E43">
        <f>HYPERLINK("https://www.britishcycling.org.uk/points?person_id=708999&amp;year=2021&amp;type=national&amp;d=6","Results")</f>
        <v/>
      </c>
    </row>
    <row r="44">
      <c r="A44" t="inlineStr">
        <is>
          <t>43</t>
        </is>
      </c>
      <c r="B44" t="inlineStr">
        <is>
          <t>Amy Kolbert</t>
        </is>
      </c>
      <c r="C44" t="inlineStr">
        <is>
          <t>Witham Wheelers Cycling Club</t>
        </is>
      </c>
      <c r="D44" t="inlineStr">
        <is>
          <t>28</t>
        </is>
      </c>
      <c r="E44">
        <f>HYPERLINK("https://www.britishcycling.org.uk/points?person_id=521460&amp;year=2021&amp;type=national&amp;d=6","Results")</f>
        <v/>
      </c>
    </row>
    <row r="45">
      <c r="A45" t="inlineStr">
        <is>
          <t>44</t>
        </is>
      </c>
      <c r="B45" t="inlineStr">
        <is>
          <t>Edith Davies</t>
        </is>
      </c>
      <c r="C45" t="inlineStr">
        <is>
          <t>4T+ Cyclopark</t>
        </is>
      </c>
      <c r="D45" t="inlineStr">
        <is>
          <t>27</t>
        </is>
      </c>
      <c r="E45">
        <f>HYPERLINK("https://www.britishcycling.org.uk/points?person_id=295396&amp;year=2021&amp;type=national&amp;d=6","Results")</f>
        <v/>
      </c>
    </row>
    <row r="46">
      <c r="A46" t="inlineStr">
        <is>
          <t>45</t>
        </is>
      </c>
      <c r="B46" t="inlineStr">
        <is>
          <t>Florence Barnett</t>
        </is>
      </c>
      <c r="C46" t="inlineStr">
        <is>
          <t>Welwyn Wheelers CC</t>
        </is>
      </c>
      <c r="D46" t="inlineStr">
        <is>
          <t>26</t>
        </is>
      </c>
      <c r="E46">
        <f>HYPERLINK("https://www.britishcycling.org.uk/points?person_id=463519&amp;year=2021&amp;type=national&amp;d=6","Results")</f>
        <v/>
      </c>
    </row>
    <row r="47">
      <c r="A47" t="inlineStr">
        <is>
          <t>46</t>
        </is>
      </c>
      <c r="B47" t="inlineStr">
        <is>
          <t>Layla Bradbrook</t>
        </is>
      </c>
      <c r="C47" t="inlineStr">
        <is>
          <t>Marsh Tracks Racing - Trek</t>
        </is>
      </c>
      <c r="D47" t="inlineStr">
        <is>
          <t>25</t>
        </is>
      </c>
      <c r="E47">
        <f>HYPERLINK("https://www.britishcycling.org.uk/points?person_id=447918&amp;year=2021&amp;type=national&amp;d=6","Results")</f>
        <v/>
      </c>
    </row>
    <row r="48">
      <c r="A48" t="inlineStr">
        <is>
          <t>47</t>
        </is>
      </c>
      <c r="B48" t="inlineStr">
        <is>
          <t>Ffion Hill</t>
        </is>
      </c>
      <c r="C48" t="inlineStr">
        <is>
          <t>Towy Riders</t>
        </is>
      </c>
      <c r="D48" t="inlineStr">
        <is>
          <t>25</t>
        </is>
      </c>
      <c r="E48">
        <f>HYPERLINK("https://www.britishcycling.org.uk/points?person_id=415883&amp;year=2021&amp;type=national&amp;d=6","Results")</f>
        <v/>
      </c>
    </row>
    <row r="49">
      <c r="A49" t="inlineStr">
        <is>
          <t>48</t>
        </is>
      </c>
      <c r="B49" t="inlineStr">
        <is>
          <t>Mari Porton</t>
        </is>
      </c>
      <c r="C49" t="inlineStr">
        <is>
          <t>Halesowen A &amp; CC</t>
        </is>
      </c>
      <c r="D49" t="inlineStr">
        <is>
          <t>25</t>
        </is>
      </c>
      <c r="E49">
        <f>HYPERLINK("https://www.britishcycling.org.uk/points?person_id=177314&amp;year=2021&amp;type=national&amp;d=6","Results")</f>
        <v/>
      </c>
    </row>
    <row r="50">
      <c r="A50" t="inlineStr">
        <is>
          <t>49</t>
        </is>
      </c>
      <c r="B50" t="inlineStr">
        <is>
          <t>Grace Ward</t>
        </is>
      </c>
      <c r="C50" t="inlineStr">
        <is>
          <t>Mid Devon CC</t>
        </is>
      </c>
      <c r="D50" t="inlineStr">
        <is>
          <t>24</t>
        </is>
      </c>
      <c r="E50">
        <f>HYPERLINK("https://www.britishcycling.org.uk/points?person_id=685779&amp;year=2021&amp;type=national&amp;d=6","Results")</f>
        <v/>
      </c>
    </row>
    <row r="51">
      <c r="A51" t="inlineStr">
        <is>
          <t>50</t>
        </is>
      </c>
      <c r="B51" t="inlineStr">
        <is>
          <t>Imogen Cox</t>
        </is>
      </c>
      <c r="C51" t="inlineStr">
        <is>
          <t>Banjo Cycles/Raceware</t>
        </is>
      </c>
      <c r="D51" t="inlineStr">
        <is>
          <t>22</t>
        </is>
      </c>
      <c r="E51">
        <f>HYPERLINK("https://www.britishcycling.org.uk/points?person_id=381051&amp;year=2021&amp;type=national&amp;d=6","Results")</f>
        <v/>
      </c>
    </row>
    <row r="52">
      <c r="A52" t="inlineStr">
        <is>
          <t>51</t>
        </is>
      </c>
      <c r="B52" t="inlineStr">
        <is>
          <t>Ellen Phillips</t>
        </is>
      </c>
      <c r="C52" t="inlineStr">
        <is>
          <t>Welwyn Wheelers CC</t>
        </is>
      </c>
      <c r="D52" t="inlineStr">
        <is>
          <t>22</t>
        </is>
      </c>
      <c r="E52">
        <f>HYPERLINK("https://www.britishcycling.org.uk/points?person_id=509415&amp;year=2021&amp;type=national&amp;d=6","Results")</f>
        <v/>
      </c>
    </row>
    <row r="53">
      <c r="A53" t="inlineStr">
        <is>
          <t>52</t>
        </is>
      </c>
      <c r="B53" t="inlineStr">
        <is>
          <t>Ella Friedlander</t>
        </is>
      </c>
      <c r="C53" t="inlineStr">
        <is>
          <t>Cycle Club Ashwell (CCA)</t>
        </is>
      </c>
      <c r="D53" t="inlineStr">
        <is>
          <t>21</t>
        </is>
      </c>
      <c r="E53">
        <f>HYPERLINK("https://www.britishcycling.org.uk/points?person_id=520439&amp;year=2021&amp;type=national&amp;d=6","Results")</f>
        <v/>
      </c>
    </row>
    <row r="54">
      <c r="A54" t="inlineStr">
        <is>
          <t>53</t>
        </is>
      </c>
      <c r="B54" t="inlineStr">
        <is>
          <t>Evelyn Nurse</t>
        </is>
      </c>
      <c r="C54" t="inlineStr">
        <is>
          <t>Cardiff JIF</t>
        </is>
      </c>
      <c r="D54" t="inlineStr">
        <is>
          <t>21</t>
        </is>
      </c>
      <c r="E54">
        <f>HYPERLINK("https://www.britishcycling.org.uk/points?person_id=402776&amp;year=2021&amp;type=national&amp;d=6","Results")</f>
        <v/>
      </c>
    </row>
    <row r="55">
      <c r="A55" t="inlineStr">
        <is>
          <t>54</t>
        </is>
      </c>
      <c r="B55" t="inlineStr">
        <is>
          <t>Megan Wilkinson</t>
        </is>
      </c>
      <c r="C55" t="inlineStr">
        <is>
          <t>East Bradford CC</t>
        </is>
      </c>
      <c r="D55" t="inlineStr">
        <is>
          <t>20</t>
        </is>
      </c>
      <c r="E55">
        <f>HYPERLINK("https://www.britishcycling.org.uk/points?person_id=327613&amp;year=2021&amp;type=national&amp;d=6","Results")</f>
        <v/>
      </c>
    </row>
    <row r="56">
      <c r="A56" t="inlineStr">
        <is>
          <t>55</t>
        </is>
      </c>
      <c r="B56" t="inlineStr">
        <is>
          <t>Sofia Brandon-Higgs</t>
        </is>
      </c>
      <c r="C56" t="inlineStr">
        <is>
          <t>Hafren CC</t>
        </is>
      </c>
      <c r="D56" t="inlineStr">
        <is>
          <t>19</t>
        </is>
      </c>
      <c r="E56">
        <f>HYPERLINK("https://www.britishcycling.org.uk/points?person_id=897700&amp;year=2021&amp;type=national&amp;d=6","Results")</f>
        <v/>
      </c>
    </row>
    <row r="57">
      <c r="A57" t="inlineStr">
        <is>
          <t>56</t>
        </is>
      </c>
      <c r="B57" t="inlineStr">
        <is>
          <t>Rebecca Gascoyne</t>
        </is>
      </c>
      <c r="C57" t="inlineStr">
        <is>
          <t>Sprockets Cycle Club</t>
        </is>
      </c>
      <c r="D57" t="inlineStr">
        <is>
          <t>19</t>
        </is>
      </c>
      <c r="E57">
        <f>HYPERLINK("https://www.britishcycling.org.uk/points?person_id=1024588&amp;year=2021&amp;type=national&amp;d=6","Results")</f>
        <v/>
      </c>
    </row>
    <row r="58">
      <c r="A58" t="inlineStr">
        <is>
          <t>57</t>
        </is>
      </c>
      <c r="B58" t="inlineStr">
        <is>
          <t>Isla Glossop</t>
        </is>
      </c>
      <c r="C58" t="inlineStr">
        <is>
          <t>Bolton Hot Wheels CC</t>
        </is>
      </c>
      <c r="D58" t="inlineStr">
        <is>
          <t>19</t>
        </is>
      </c>
      <c r="E58">
        <f>HYPERLINK("https://www.britishcycling.org.uk/points?person_id=411793&amp;year=2021&amp;type=national&amp;d=6","Results")</f>
        <v/>
      </c>
    </row>
    <row r="59">
      <c r="A59" t="inlineStr">
        <is>
          <t>58</t>
        </is>
      </c>
      <c r="B59" t="inlineStr">
        <is>
          <t>Floella Phillips</t>
        </is>
      </c>
      <c r="C59" t="inlineStr">
        <is>
          <t>Clifton CC</t>
        </is>
      </c>
      <c r="D59" t="inlineStr">
        <is>
          <t>19</t>
        </is>
      </c>
      <c r="E59">
        <f>HYPERLINK("https://www.britishcycling.org.uk/points?person_id=883399&amp;year=2021&amp;type=national&amp;d=6","Results")</f>
        <v/>
      </c>
    </row>
    <row r="60">
      <c r="A60" t="inlineStr">
        <is>
          <t>59</t>
        </is>
      </c>
      <c r="B60" t="inlineStr">
        <is>
          <t>Eva Ellis</t>
        </is>
      </c>
      <c r="C60" t="inlineStr">
        <is>
          <t>1st Chard Whls</t>
        </is>
      </c>
      <c r="D60" t="inlineStr">
        <is>
          <t>18</t>
        </is>
      </c>
      <c r="E60">
        <f>HYPERLINK("https://www.britishcycling.org.uk/points?person_id=794782&amp;year=2021&amp;type=national&amp;d=6","Results")</f>
        <v/>
      </c>
    </row>
    <row r="61">
      <c r="A61" t="inlineStr">
        <is>
          <t>60</t>
        </is>
      </c>
      <c r="B61" t="inlineStr">
        <is>
          <t>Ilana Lord</t>
        </is>
      </c>
      <c r="C61" t="inlineStr">
        <is>
          <t>VC Deal</t>
        </is>
      </c>
      <c r="D61" t="inlineStr">
        <is>
          <t>18</t>
        </is>
      </c>
      <c r="E61">
        <f>HYPERLINK("https://www.britishcycling.org.uk/points?person_id=439637&amp;year=2021&amp;type=national&amp;d=6","Results")</f>
        <v/>
      </c>
    </row>
    <row r="62">
      <c r="A62" t="inlineStr">
        <is>
          <t>61</t>
        </is>
      </c>
      <c r="B62" t="inlineStr">
        <is>
          <t>Evie Moran</t>
        </is>
      </c>
      <c r="C62" t="inlineStr">
        <is>
          <t>Palmer Park Velo RT</t>
        </is>
      </c>
      <c r="D62" t="inlineStr">
        <is>
          <t>17</t>
        </is>
      </c>
      <c r="E62">
        <f>HYPERLINK("https://www.britishcycling.org.uk/points?person_id=629813&amp;year=2021&amp;type=national&amp;d=6","Results")</f>
        <v/>
      </c>
    </row>
    <row r="63">
      <c r="A63" t="inlineStr">
        <is>
          <t>62</t>
        </is>
      </c>
      <c r="B63" t="inlineStr">
        <is>
          <t>Chloe Shephard</t>
        </is>
      </c>
      <c r="C63" t="inlineStr">
        <is>
          <t>Cheltenham Town Wheelers</t>
        </is>
      </c>
      <c r="D63" t="inlineStr">
        <is>
          <t>17</t>
        </is>
      </c>
      <c r="E63">
        <f>HYPERLINK("https://www.britishcycling.org.uk/points?person_id=766819&amp;year=2021&amp;type=national&amp;d=6","Results")</f>
        <v/>
      </c>
    </row>
    <row r="64">
      <c r="A64" t="inlineStr">
        <is>
          <t>63</t>
        </is>
      </c>
      <c r="B64" t="inlineStr">
        <is>
          <t>Esme Wiley</t>
        </is>
      </c>
      <c r="C64" t="inlineStr">
        <is>
          <t>VC Londres</t>
        </is>
      </c>
      <c r="D64" t="inlineStr">
        <is>
          <t>17</t>
        </is>
      </c>
      <c r="E64">
        <f>HYPERLINK("https://www.britishcycling.org.uk/points?person_id=226256&amp;year=2021&amp;type=national&amp;d=6","Results")</f>
        <v/>
      </c>
    </row>
    <row r="65">
      <c r="A65" t="inlineStr">
        <is>
          <t>64</t>
        </is>
      </c>
      <c r="B65" t="inlineStr">
        <is>
          <t>Amy Scott</t>
        </is>
      </c>
      <c r="C65" t="inlineStr">
        <is>
          <t>Holmfirth Cycling Club</t>
        </is>
      </c>
      <c r="D65" t="inlineStr">
        <is>
          <t>16</t>
        </is>
      </c>
      <c r="E65">
        <f>HYPERLINK("https://www.britishcycling.org.uk/points?person_id=173854&amp;year=2021&amp;type=national&amp;d=6","Results")</f>
        <v/>
      </c>
    </row>
    <row r="66">
      <c r="A66" t="inlineStr">
        <is>
          <t>65</t>
        </is>
      </c>
      <c r="B66" t="inlineStr">
        <is>
          <t>Iona Simcock</t>
        </is>
      </c>
      <c r="C66" t="inlineStr"/>
      <c r="D66" t="inlineStr">
        <is>
          <t>16</t>
        </is>
      </c>
      <c r="E66">
        <f>HYPERLINK("https://www.britishcycling.org.uk/points?person_id=611990&amp;year=2021&amp;type=national&amp;d=6","Results")</f>
        <v/>
      </c>
    </row>
    <row r="67">
      <c r="A67" t="inlineStr">
        <is>
          <t>66</t>
        </is>
      </c>
      <c r="B67" t="inlineStr">
        <is>
          <t>Lola Stevenson</t>
        </is>
      </c>
      <c r="C67" t="inlineStr">
        <is>
          <t>Huddersfield Star Wheelers</t>
        </is>
      </c>
      <c r="D67" t="inlineStr">
        <is>
          <t>16</t>
        </is>
      </c>
      <c r="E67">
        <f>HYPERLINK("https://www.britishcycling.org.uk/points?person_id=725038&amp;year=2021&amp;type=national&amp;d=6","Results")</f>
        <v/>
      </c>
    </row>
    <row r="68">
      <c r="A68" t="inlineStr">
        <is>
          <t>67</t>
        </is>
      </c>
      <c r="B68" t="inlineStr">
        <is>
          <t>Tilly Wadsworth</t>
        </is>
      </c>
      <c r="C68" t="inlineStr">
        <is>
          <t>Shibden Cycling Club</t>
        </is>
      </c>
      <c r="D68" t="inlineStr">
        <is>
          <t>16</t>
        </is>
      </c>
      <c r="E68">
        <f>HYPERLINK("https://www.britishcycling.org.uk/points?person_id=392128&amp;year=2021&amp;type=national&amp;d=6","Results")</f>
        <v/>
      </c>
    </row>
    <row r="69">
      <c r="A69" t="inlineStr">
        <is>
          <t>68</t>
        </is>
      </c>
      <c r="B69" t="inlineStr">
        <is>
          <t>Ingrid Gascoigne</t>
        </is>
      </c>
      <c r="C69" t="inlineStr">
        <is>
          <t>Team Empella Cyclo-Cross.Com</t>
        </is>
      </c>
      <c r="D69" t="inlineStr">
        <is>
          <t>15</t>
        </is>
      </c>
      <c r="E69">
        <f>HYPERLINK("https://www.britishcycling.org.uk/points?person_id=942830&amp;year=2021&amp;type=national&amp;d=6","Results")</f>
        <v/>
      </c>
    </row>
    <row r="70">
      <c r="A70" t="inlineStr">
        <is>
          <t>69</t>
        </is>
      </c>
      <c r="B70" t="inlineStr">
        <is>
          <t>Caitlin Havisham</t>
        </is>
      </c>
      <c r="C70" t="inlineStr">
        <is>
          <t>Palmer Park Velo RT</t>
        </is>
      </c>
      <c r="D70" t="inlineStr">
        <is>
          <t>15</t>
        </is>
      </c>
      <c r="E70">
        <f>HYPERLINK("https://www.britishcycling.org.uk/points?person_id=740736&amp;year=2021&amp;type=national&amp;d=6","Results")</f>
        <v/>
      </c>
    </row>
    <row r="71">
      <c r="A71" t="inlineStr">
        <is>
          <t>70</t>
        </is>
      </c>
      <c r="B71" t="inlineStr">
        <is>
          <t>Eleina McFadden</t>
        </is>
      </c>
      <c r="C71" t="inlineStr">
        <is>
          <t>East Bradford CC</t>
        </is>
      </c>
      <c r="D71" t="inlineStr">
        <is>
          <t>15</t>
        </is>
      </c>
      <c r="E71">
        <f>HYPERLINK("https://www.britishcycling.org.uk/points?person_id=659452&amp;year=2021&amp;type=national&amp;d=6","Results")</f>
        <v/>
      </c>
    </row>
    <row r="72">
      <c r="A72" t="inlineStr">
        <is>
          <t>71</t>
        </is>
      </c>
      <c r="B72" t="inlineStr">
        <is>
          <t>Grace Porter</t>
        </is>
      </c>
      <c r="C72" t="inlineStr">
        <is>
          <t>Bolton Hot Wheels CC</t>
        </is>
      </c>
      <c r="D72" t="inlineStr">
        <is>
          <t>15</t>
        </is>
      </c>
      <c r="E72">
        <f>HYPERLINK("https://www.britishcycling.org.uk/points?person_id=387305&amp;year=2021&amp;type=national&amp;d=6","Results")</f>
        <v/>
      </c>
    </row>
    <row r="73">
      <c r="A73" t="inlineStr">
        <is>
          <t>72</t>
        </is>
      </c>
      <c r="B73" t="inlineStr">
        <is>
          <t>Caitlyn Beardsmore</t>
        </is>
      </c>
      <c r="C73" t="inlineStr">
        <is>
          <t>Team Empella Cyclo-Cross.Com</t>
        </is>
      </c>
      <c r="D73" t="inlineStr">
        <is>
          <t>14</t>
        </is>
      </c>
      <c r="E73">
        <f>HYPERLINK("https://www.britishcycling.org.uk/points?person_id=528370&amp;year=2021&amp;type=national&amp;d=6","Results")</f>
        <v/>
      </c>
    </row>
    <row r="74">
      <c r="A74" t="inlineStr">
        <is>
          <t>73</t>
        </is>
      </c>
      <c r="B74" t="inlineStr">
        <is>
          <t>Millie Thomson</t>
        </is>
      </c>
      <c r="C74" t="inlineStr">
        <is>
          <t>Deeside Thistle CC</t>
        </is>
      </c>
      <c r="D74" t="inlineStr">
        <is>
          <t>14</t>
        </is>
      </c>
      <c r="E74">
        <f>HYPERLINK("https://www.britishcycling.org.uk/points?person_id=454300&amp;year=2021&amp;type=national&amp;d=6","Results")</f>
        <v/>
      </c>
    </row>
    <row r="75">
      <c r="A75" t="inlineStr">
        <is>
          <t>74</t>
        </is>
      </c>
      <c r="B75" t="inlineStr">
        <is>
          <t>Emily Miller</t>
        </is>
      </c>
      <c r="C75" t="inlineStr">
        <is>
          <t>WXC World Racing</t>
        </is>
      </c>
      <c r="D75" t="inlineStr">
        <is>
          <t>13</t>
        </is>
      </c>
      <c r="E75">
        <f>HYPERLINK("https://www.britishcycling.org.uk/points?person_id=613006&amp;year=2021&amp;type=national&amp;d=6","Results")</f>
        <v/>
      </c>
    </row>
    <row r="76">
      <c r="A76" t="inlineStr">
        <is>
          <t>75</t>
        </is>
      </c>
      <c r="B76" t="inlineStr">
        <is>
          <t>Briony Roberts</t>
        </is>
      </c>
      <c r="C76" t="inlineStr">
        <is>
          <t>Hafren CC</t>
        </is>
      </c>
      <c r="D76" t="inlineStr">
        <is>
          <t>12</t>
        </is>
      </c>
      <c r="E76">
        <f>HYPERLINK("https://www.britishcycling.org.uk/points?person_id=707234&amp;year=2021&amp;type=national&amp;d=6","Results")</f>
        <v/>
      </c>
    </row>
    <row r="77">
      <c r="A77" t="inlineStr">
        <is>
          <t>76</t>
        </is>
      </c>
      <c r="B77" t="inlineStr">
        <is>
          <t>Elise Whitaker</t>
        </is>
      </c>
      <c r="C77" t="inlineStr">
        <is>
          <t>Welwyn Wheelers CC</t>
        </is>
      </c>
      <c r="D77" t="inlineStr">
        <is>
          <t>12</t>
        </is>
      </c>
      <c r="E77">
        <f>HYPERLINK("https://www.britishcycling.org.uk/points?person_id=513385&amp;year=2021&amp;type=national&amp;d=6","Results")</f>
        <v/>
      </c>
    </row>
    <row r="78">
      <c r="A78" t="inlineStr">
        <is>
          <t>77</t>
        </is>
      </c>
      <c r="B78" t="inlineStr">
        <is>
          <t>Erin Hall</t>
        </is>
      </c>
      <c r="C78" t="inlineStr">
        <is>
          <t>Cycle Club Ashwell (CCA)</t>
        </is>
      </c>
      <c r="D78" t="inlineStr">
        <is>
          <t>11</t>
        </is>
      </c>
      <c r="E78">
        <f>HYPERLINK("https://www.britishcycling.org.uk/points?person_id=675400&amp;year=2021&amp;type=national&amp;d=6","Results")</f>
        <v/>
      </c>
    </row>
    <row r="79">
      <c r="A79" t="inlineStr">
        <is>
          <t>78</t>
        </is>
      </c>
      <c r="B79" t="inlineStr">
        <is>
          <t>Tabitha Ward</t>
        </is>
      </c>
      <c r="C79" t="inlineStr">
        <is>
          <t>WORX Factory Racing</t>
        </is>
      </c>
      <c r="D79" t="inlineStr">
        <is>
          <t>11</t>
        </is>
      </c>
      <c r="E79">
        <f>HYPERLINK("https://www.britishcycling.org.uk/points?person_id=448790&amp;year=2021&amp;type=national&amp;d=6","Results")</f>
        <v/>
      </c>
    </row>
    <row r="80">
      <c r="A80" t="inlineStr">
        <is>
          <t>79</t>
        </is>
      </c>
      <c r="B80" t="inlineStr">
        <is>
          <t>Anna Cooke</t>
        </is>
      </c>
      <c r="C80" t="inlineStr">
        <is>
          <t>Hetton Hawks Cycling Club</t>
        </is>
      </c>
      <c r="D80" t="inlineStr">
        <is>
          <t>10</t>
        </is>
      </c>
      <c r="E80">
        <f>HYPERLINK("https://www.britishcycling.org.uk/points?person_id=520783&amp;year=2021&amp;type=national&amp;d=6","Results")</f>
        <v/>
      </c>
    </row>
    <row r="81">
      <c r="A81" t="inlineStr">
        <is>
          <t>80</t>
        </is>
      </c>
      <c r="B81" t="inlineStr">
        <is>
          <t>Megan Plews</t>
        </is>
      </c>
      <c r="C81" t="inlineStr">
        <is>
          <t>Hetton Hawks Cycling Club</t>
        </is>
      </c>
      <c r="D81" t="inlineStr">
        <is>
          <t>10</t>
        </is>
      </c>
      <c r="E81">
        <f>HYPERLINK("https://www.britishcycling.org.uk/points?person_id=646049&amp;year=2021&amp;type=national&amp;d=6","Results")</f>
        <v/>
      </c>
    </row>
    <row r="82">
      <c r="A82" t="inlineStr">
        <is>
          <t>81</t>
        </is>
      </c>
      <c r="B82" t="inlineStr">
        <is>
          <t>Rebecca Carter</t>
        </is>
      </c>
      <c r="C82" t="inlineStr">
        <is>
          <t>Palmer Park Velo RT</t>
        </is>
      </c>
      <c r="D82" t="inlineStr">
        <is>
          <t>9</t>
        </is>
      </c>
      <c r="E82">
        <f>HYPERLINK("https://www.britishcycling.org.uk/points?person_id=296522&amp;year=2021&amp;type=national&amp;d=6","Results")</f>
        <v/>
      </c>
    </row>
    <row r="83">
      <c r="A83" t="inlineStr">
        <is>
          <t>82</t>
        </is>
      </c>
      <c r="B83" t="inlineStr">
        <is>
          <t>Jael Maw</t>
        </is>
      </c>
      <c r="C83" t="inlineStr">
        <is>
          <t>Boston Whls CC</t>
        </is>
      </c>
      <c r="D83" t="inlineStr">
        <is>
          <t>9</t>
        </is>
      </c>
      <c r="E83">
        <f>HYPERLINK("https://www.britishcycling.org.uk/points?person_id=312536&amp;year=2021&amp;type=national&amp;d=6","Results")</f>
        <v/>
      </c>
    </row>
    <row r="84">
      <c r="A84" t="inlineStr">
        <is>
          <t>83</t>
        </is>
      </c>
      <c r="B84" t="inlineStr">
        <is>
          <t>Charlotte Redeyoff</t>
        </is>
      </c>
      <c r="C84" t="inlineStr">
        <is>
          <t>Manchester BMX Club</t>
        </is>
      </c>
      <c r="D84" t="inlineStr">
        <is>
          <t>9</t>
        </is>
      </c>
      <c r="E84">
        <f>HYPERLINK("https://www.britishcycling.org.uk/points?person_id=529747&amp;year=2021&amp;type=national&amp;d=6","Results")</f>
        <v/>
      </c>
    </row>
    <row r="85">
      <c r="A85" t="inlineStr">
        <is>
          <t>84</t>
        </is>
      </c>
      <c r="B85" t="inlineStr">
        <is>
          <t>Evie Bellingall</t>
        </is>
      </c>
      <c r="C85" t="inlineStr">
        <is>
          <t>Matlock CC</t>
        </is>
      </c>
      <c r="D85" t="inlineStr">
        <is>
          <t>8</t>
        </is>
      </c>
      <c r="E85">
        <f>HYPERLINK("https://www.britishcycling.org.uk/points?person_id=854538&amp;year=2021&amp;type=national&amp;d=6","Results")</f>
        <v/>
      </c>
    </row>
    <row r="86">
      <c r="A86" t="inlineStr">
        <is>
          <t>85</t>
        </is>
      </c>
      <c r="B86" t="inlineStr">
        <is>
          <t>Myfanwy Meeran</t>
        </is>
      </c>
      <c r="C86" t="inlineStr">
        <is>
          <t>Herne Hill Youth CC</t>
        </is>
      </c>
      <c r="D86" t="inlineStr">
        <is>
          <t>8</t>
        </is>
      </c>
      <c r="E86">
        <f>HYPERLINK("https://www.britishcycling.org.uk/points?person_id=589929&amp;year=2021&amp;type=national&amp;d=6","Results")</f>
        <v/>
      </c>
    </row>
    <row r="87">
      <c r="A87" t="inlineStr">
        <is>
          <t>86</t>
        </is>
      </c>
      <c r="B87" t="inlineStr">
        <is>
          <t>Millie Coleman</t>
        </is>
      </c>
      <c r="C87" t="inlineStr">
        <is>
          <t>Welwyn Wheelers CC</t>
        </is>
      </c>
      <c r="D87" t="inlineStr">
        <is>
          <t>7</t>
        </is>
      </c>
      <c r="E87">
        <f>HYPERLINK("https://www.britishcycling.org.uk/points?person_id=223115&amp;year=2021&amp;type=national&amp;d=6","Results")</f>
        <v/>
      </c>
    </row>
    <row r="88">
      <c r="A88" t="inlineStr">
        <is>
          <t>87</t>
        </is>
      </c>
      <c r="B88" t="inlineStr">
        <is>
          <t>Melissa Cooper</t>
        </is>
      </c>
      <c r="C88" t="inlineStr">
        <is>
          <t>Chapel Tri-Stars</t>
        </is>
      </c>
      <c r="D88" t="inlineStr">
        <is>
          <t>7</t>
        </is>
      </c>
      <c r="E88">
        <f>HYPERLINK("https://www.britishcycling.org.uk/points?person_id=255794&amp;year=2021&amp;type=national&amp;d=6","Results")</f>
        <v/>
      </c>
    </row>
    <row r="89">
      <c r="A89" t="inlineStr">
        <is>
          <t>88</t>
        </is>
      </c>
      <c r="B89" t="inlineStr">
        <is>
          <t>Madeleine Tingay</t>
        </is>
      </c>
      <c r="C89" t="inlineStr">
        <is>
          <t>Cambridge Junior Cycling Club</t>
        </is>
      </c>
      <c r="D89" t="inlineStr">
        <is>
          <t>7</t>
        </is>
      </c>
      <c r="E89">
        <f>HYPERLINK("https://www.britishcycling.org.uk/points?person_id=824668&amp;year=2021&amp;type=national&amp;d=6","Results")</f>
        <v/>
      </c>
    </row>
    <row r="90">
      <c r="A90" t="inlineStr">
        <is>
          <t>89</t>
        </is>
      </c>
      <c r="B90" t="inlineStr">
        <is>
          <t>Rebecca Van Aardt</t>
        </is>
      </c>
      <c r="C90" t="inlineStr"/>
      <c r="D90" t="inlineStr">
        <is>
          <t>7</t>
        </is>
      </c>
      <c r="E90">
        <f>HYPERLINK("https://www.britishcycling.org.uk/points?person_id=553395&amp;year=2021&amp;type=national&amp;d=6","Results")</f>
        <v/>
      </c>
    </row>
    <row r="91">
      <c r="A91" t="inlineStr">
        <is>
          <t>90</t>
        </is>
      </c>
      <c r="B91" t="inlineStr">
        <is>
          <t>Anna Whelan</t>
        </is>
      </c>
      <c r="C91" t="inlineStr">
        <is>
          <t>Hetton Hawks Cycling Club</t>
        </is>
      </c>
      <c r="D91" t="inlineStr">
        <is>
          <t>7</t>
        </is>
      </c>
      <c r="E91">
        <f>HYPERLINK("https://www.britishcycling.org.uk/points?person_id=671329&amp;year=2021&amp;type=national&amp;d=6","Results")</f>
        <v/>
      </c>
    </row>
    <row r="92">
      <c r="A92" t="inlineStr">
        <is>
          <t>91</t>
        </is>
      </c>
      <c r="B92" t="inlineStr">
        <is>
          <t>Thea Aitken</t>
        </is>
      </c>
      <c r="C92" t="inlineStr">
        <is>
          <t>Deeside Thistle CC</t>
        </is>
      </c>
      <c r="D92" t="inlineStr">
        <is>
          <t>6</t>
        </is>
      </c>
      <c r="E92">
        <f>HYPERLINK("https://www.britishcycling.org.uk/points?person_id=759604&amp;year=2021&amp;type=national&amp;d=6","Results")</f>
        <v/>
      </c>
    </row>
    <row r="93">
      <c r="A93" t="inlineStr">
        <is>
          <t>92</t>
        </is>
      </c>
      <c r="B93" t="inlineStr">
        <is>
          <t>Daisy Freer</t>
        </is>
      </c>
      <c r="C93" t="inlineStr">
        <is>
          <t>Stockton Wheelers CC</t>
        </is>
      </c>
      <c r="D93" t="inlineStr">
        <is>
          <t>6</t>
        </is>
      </c>
      <c r="E93">
        <f>HYPERLINK("https://www.britishcycling.org.uk/points?person_id=204322&amp;year=2021&amp;type=national&amp;d=6","Results")</f>
        <v/>
      </c>
    </row>
    <row r="94">
      <c r="A94" t="inlineStr">
        <is>
          <t>93</t>
        </is>
      </c>
      <c r="B94" t="inlineStr">
        <is>
          <t>Lucy Glover</t>
        </is>
      </c>
      <c r="C94" t="inlineStr">
        <is>
          <t>Derwentside CC</t>
        </is>
      </c>
      <c r="D94" t="inlineStr">
        <is>
          <t>6</t>
        </is>
      </c>
      <c r="E94">
        <f>HYPERLINK("https://www.britishcycling.org.uk/points?person_id=499635&amp;year=2021&amp;type=national&amp;d=6","Results")</f>
        <v/>
      </c>
    </row>
    <row r="95">
      <c r="A95" t="inlineStr">
        <is>
          <t>94</t>
        </is>
      </c>
      <c r="B95" t="inlineStr">
        <is>
          <t>Jessica Stewart</t>
        </is>
      </c>
      <c r="C95" t="inlineStr"/>
      <c r="D95" t="inlineStr">
        <is>
          <t>6</t>
        </is>
      </c>
      <c r="E95">
        <f>HYPERLINK("https://www.britishcycling.org.uk/points?person_id=676447&amp;year=2021&amp;type=national&amp;d=6","Results")</f>
        <v/>
      </c>
    </row>
    <row r="96">
      <c r="A96" t="inlineStr">
        <is>
          <t>95</t>
        </is>
      </c>
      <c r="B96" t="inlineStr">
        <is>
          <t>Ella Chatfield</t>
        </is>
      </c>
      <c r="C96" t="inlineStr">
        <is>
          <t>Crawley Wheelers</t>
        </is>
      </c>
      <c r="D96" t="inlineStr">
        <is>
          <t>5</t>
        </is>
      </c>
      <c r="E96">
        <f>HYPERLINK("https://www.britishcycling.org.uk/points?person_id=734120&amp;year=2021&amp;type=national&amp;d=6","Results")</f>
        <v/>
      </c>
    </row>
    <row r="97">
      <c r="A97" t="inlineStr">
        <is>
          <t>96</t>
        </is>
      </c>
      <c r="B97" t="inlineStr">
        <is>
          <t>Lorna Farrar</t>
        </is>
      </c>
      <c r="C97" t="inlineStr"/>
      <c r="D97" t="inlineStr">
        <is>
          <t>5</t>
        </is>
      </c>
      <c r="E97">
        <f>HYPERLINK("https://www.britishcycling.org.uk/points?person_id=198038&amp;year=2021&amp;type=national&amp;d=6","Results")</f>
        <v/>
      </c>
    </row>
    <row r="98">
      <c r="A98" t="inlineStr">
        <is>
          <t>97</t>
        </is>
      </c>
      <c r="B98" t="inlineStr">
        <is>
          <t>Mollie Stamper-Clark</t>
        </is>
      </c>
      <c r="C98" t="inlineStr">
        <is>
          <t>North Cheshire Clarion</t>
        </is>
      </c>
      <c r="D98" t="inlineStr">
        <is>
          <t>5</t>
        </is>
      </c>
      <c r="E98">
        <f>HYPERLINK("https://www.britishcycling.org.uk/points?person_id=1029921&amp;year=2021&amp;type=national&amp;d=6","Results")</f>
        <v/>
      </c>
    </row>
    <row r="99">
      <c r="A99" t="inlineStr">
        <is>
          <t>98</t>
        </is>
      </c>
      <c r="B99" t="inlineStr">
        <is>
          <t>Molly Lane</t>
        </is>
      </c>
      <c r="C99" t="inlineStr">
        <is>
          <t>Mid Devon CC</t>
        </is>
      </c>
      <c r="D99" t="inlineStr">
        <is>
          <t>4</t>
        </is>
      </c>
      <c r="E99">
        <f>HYPERLINK("https://www.britishcycling.org.uk/points?person_id=416545&amp;year=2021&amp;type=national&amp;d=6","Results")</f>
        <v/>
      </c>
    </row>
    <row r="100">
      <c r="A100" t="inlineStr">
        <is>
          <t>99</t>
        </is>
      </c>
      <c r="B100" t="inlineStr">
        <is>
          <t>Efa Oliver</t>
        </is>
      </c>
      <c r="C100" t="inlineStr">
        <is>
          <t>Velo Myrddin CC powered by Y Beic</t>
        </is>
      </c>
      <c r="D100" t="inlineStr">
        <is>
          <t>4</t>
        </is>
      </c>
      <c r="E100">
        <f>HYPERLINK("https://www.britishcycling.org.uk/points?person_id=232311&amp;year=2021&amp;type=national&amp;d=6","Results")</f>
        <v/>
      </c>
    </row>
    <row r="101">
      <c r="A101" t="inlineStr">
        <is>
          <t>100</t>
        </is>
      </c>
      <c r="B101" t="inlineStr">
        <is>
          <t>Isabella Boyles</t>
        </is>
      </c>
      <c r="C101" t="inlineStr">
        <is>
          <t>Banbury Star CC</t>
        </is>
      </c>
      <c r="D101" t="inlineStr">
        <is>
          <t>3</t>
        </is>
      </c>
      <c r="E101">
        <f>HYPERLINK("https://www.britishcycling.org.uk/points?person_id=840975&amp;year=2021&amp;type=national&amp;d=6","Results")</f>
        <v/>
      </c>
    </row>
    <row r="102">
      <c r="A102" t="inlineStr">
        <is>
          <t>101</t>
        </is>
      </c>
      <c r="B102" t="inlineStr">
        <is>
          <t>Ruby Flavell</t>
        </is>
      </c>
      <c r="C102" t="inlineStr">
        <is>
          <t>Sotonia CC</t>
        </is>
      </c>
      <c r="D102" t="inlineStr">
        <is>
          <t>3</t>
        </is>
      </c>
      <c r="E102">
        <f>HYPERLINK("https://www.britishcycling.org.uk/points?person_id=804450&amp;year=2021&amp;type=national&amp;d=6","Results")</f>
        <v/>
      </c>
    </row>
    <row r="103">
      <c r="A103" t="inlineStr">
        <is>
          <t>102</t>
        </is>
      </c>
      <c r="B103" t="inlineStr">
        <is>
          <t>Lucy Phillips</t>
        </is>
      </c>
      <c r="C103" t="inlineStr">
        <is>
          <t>Sotonia CC</t>
        </is>
      </c>
      <c r="D103" t="inlineStr">
        <is>
          <t>3</t>
        </is>
      </c>
      <c r="E103">
        <f>HYPERLINK("https://www.britishcycling.org.uk/points?person_id=649820&amp;year=2021&amp;type=national&amp;d=6","Results")</f>
        <v/>
      </c>
    </row>
    <row r="104">
      <c r="A104" t="inlineStr">
        <is>
          <t>103</t>
        </is>
      </c>
      <c r="B104" t="inlineStr">
        <is>
          <t>Emma Harrison</t>
        </is>
      </c>
      <c r="C104" t="inlineStr">
        <is>
          <t>Sotonia CC</t>
        </is>
      </c>
      <c r="D104" t="inlineStr">
        <is>
          <t>2</t>
        </is>
      </c>
      <c r="E104">
        <f>HYPERLINK("https://www.britishcycling.org.uk/points?person_id=823846&amp;year=2021&amp;type=national&amp;d=6","Results")</f>
        <v/>
      </c>
    </row>
    <row r="105">
      <c r="A105" t="inlineStr">
        <is>
          <t>104</t>
        </is>
      </c>
      <c r="B105" t="inlineStr">
        <is>
          <t>Meribel Hudson</t>
        </is>
      </c>
      <c r="C105" t="inlineStr">
        <is>
          <t>WarVena Racing Team</t>
        </is>
      </c>
      <c r="D105" t="inlineStr">
        <is>
          <t>2</t>
        </is>
      </c>
      <c r="E105">
        <f>HYPERLINK("https://www.britishcycling.org.uk/points?person_id=770038&amp;year=2021&amp;type=national&amp;d=6","Results")</f>
        <v/>
      </c>
    </row>
    <row r="106">
      <c r="A106" t="inlineStr">
        <is>
          <t>105</t>
        </is>
      </c>
      <c r="B106" t="inlineStr">
        <is>
          <t>Imogen Morris</t>
        </is>
      </c>
      <c r="C106" t="inlineStr">
        <is>
          <t>Velo Myrddin CC powered by Y Beic</t>
        </is>
      </c>
      <c r="D106" t="inlineStr">
        <is>
          <t>2</t>
        </is>
      </c>
      <c r="E106">
        <f>HYPERLINK("https://www.britishcycling.org.uk/points?person_id=309981&amp;year=2021&amp;type=national&amp;d=6","Results")</f>
        <v/>
      </c>
    </row>
    <row r="107">
      <c r="A107" t="inlineStr">
        <is>
          <t>106</t>
        </is>
      </c>
      <c r="B107" t="inlineStr">
        <is>
          <t>Olivia Austin</t>
        </is>
      </c>
      <c r="C107" t="inlineStr">
        <is>
          <t>VC Deal</t>
        </is>
      </c>
      <c r="D107" t="inlineStr">
        <is>
          <t>1</t>
        </is>
      </c>
      <c r="E107">
        <f>HYPERLINK("https://www.britishcycling.org.uk/points?person_id=1022046&amp;year=2021&amp;type=national&amp;d=6","Results")</f>
        <v/>
      </c>
    </row>
    <row r="108">
      <c r="A108" t="inlineStr">
        <is>
          <t>107</t>
        </is>
      </c>
      <c r="B108" t="inlineStr">
        <is>
          <t>Molly Barker</t>
        </is>
      </c>
      <c r="C108" t="inlineStr">
        <is>
          <t>Welwyn Wheelers CC</t>
        </is>
      </c>
      <c r="D108" t="inlineStr">
        <is>
          <t>1</t>
        </is>
      </c>
      <c r="E108">
        <f>HYPERLINK("https://www.britishcycling.org.uk/points?person_id=229495&amp;year=2021&amp;type=national&amp;d=6","Results")</f>
        <v/>
      </c>
    </row>
    <row r="109">
      <c r="A109" t="inlineStr">
        <is>
          <t>108</t>
        </is>
      </c>
      <c r="B109" t="inlineStr">
        <is>
          <t>Hannah Cockroft</t>
        </is>
      </c>
      <c r="C109" t="inlineStr">
        <is>
          <t>Malvern Cycle Sport</t>
        </is>
      </c>
      <c r="D109" t="inlineStr">
        <is>
          <t>1</t>
        </is>
      </c>
      <c r="E109">
        <f>HYPERLINK("https://www.britishcycling.org.uk/points?person_id=830236&amp;year=2021&amp;type=national&amp;d=6","Results")</f>
        <v/>
      </c>
    </row>
    <row r="110">
      <c r="A110" t="inlineStr">
        <is>
          <t>109</t>
        </is>
      </c>
      <c r="B110" t="inlineStr">
        <is>
          <t>Harriet Hendry</t>
        </is>
      </c>
      <c r="C110" t="inlineStr">
        <is>
          <t>Deeside Thistle CC</t>
        </is>
      </c>
      <c r="D110" t="inlineStr">
        <is>
          <t>1</t>
        </is>
      </c>
      <c r="E110">
        <f>HYPERLINK("https://www.britishcycling.org.uk/points?person_id=456657&amp;year=2021&amp;type=national&amp;d=6","Results")</f>
        <v/>
      </c>
    </row>
    <row r="111">
      <c r="A111" t="inlineStr">
        <is>
          <t>110</t>
        </is>
      </c>
      <c r="B111" t="inlineStr">
        <is>
          <t>Lucy Sartain</t>
        </is>
      </c>
      <c r="C111" t="inlineStr">
        <is>
          <t>Stratford CC</t>
        </is>
      </c>
      <c r="D111" t="inlineStr">
        <is>
          <t>1</t>
        </is>
      </c>
      <c r="E111">
        <f>HYPERLINK("https://www.britishcycling.org.uk/points?person_id=260743&amp;year=2021&amp;type=national&amp;d=6","Results")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2022-09-08T21:53:41Z</dcterms:created>
  <dcterms:modified xsi:type="dcterms:W3CDTF">2022-09-08T21:53:41Z</dcterms:modified>
</cp:coreProperties>
</file>