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-Youth U14" sheetId="1" state="visible" r:id="rId1"/>
    <sheet name="M-Youth U16" sheetId="2" state="visible" r:id="rId2"/>
    <sheet name="M-Junior" sheetId="3" state="visible" r:id="rId3"/>
    <sheet name="M-Senior" sheetId="4" state="visible" r:id="rId4"/>
    <sheet name="M-Vet 40-49" sheetId="5" state="visible" r:id="rId5"/>
    <sheet name="M-Vet 50-59" sheetId="6" state="visible" r:id="rId6"/>
    <sheet name="M-Vet 60+" sheetId="7" state="visible" r:id="rId7"/>
    <sheet name="F-Youth U14" sheetId="8" state="visible" r:id="rId8"/>
    <sheet name="F-Youth U16" sheetId="9" state="visible" r:id="rId9"/>
    <sheet name="F-Junior" sheetId="10" state="visible" r:id="rId10"/>
    <sheet name="F-Senior" sheetId="11" state="visible" r:id="rId11"/>
    <sheet name="F-Vet 40-49" sheetId="12" state="visible" r:id="rId12"/>
    <sheet name="F-Vet 50-59" sheetId="13" state="visible" r:id="rId13"/>
    <sheet name="F-Vet 60+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Luke Trafford</t>
        </is>
      </c>
      <c r="C2" t="inlineStr">
        <is>
          <t>Shibden Cycling Club</t>
        </is>
      </c>
      <c r="D2" t="inlineStr">
        <is>
          <t>574</t>
        </is>
      </c>
      <c r="E2">
        <f>HYPERLINK("https://www.britishcycling.org.uk/points?person_id=754707&amp;year=2022&amp;type=national&amp;d=6","Results")</f>
        <v/>
      </c>
    </row>
    <row r="3">
      <c r="A3" t="inlineStr">
        <is>
          <t>2</t>
        </is>
      </c>
      <c r="B3" t="inlineStr">
        <is>
          <t>Noah White</t>
        </is>
      </c>
      <c r="C3" t="inlineStr">
        <is>
          <t>Mid Shropshire Wheelers</t>
        </is>
      </c>
      <c r="D3" t="inlineStr">
        <is>
          <t>494</t>
        </is>
      </c>
      <c r="E3">
        <f>HYPERLINK("https://www.britishcycling.org.uk/points?person_id=456449&amp;year=2022&amp;type=national&amp;d=6","Results")</f>
        <v/>
      </c>
    </row>
    <row r="4">
      <c r="A4" t="inlineStr">
        <is>
          <t>3</t>
        </is>
      </c>
      <c r="B4" t="inlineStr">
        <is>
          <t>Noah Smith</t>
        </is>
      </c>
      <c r="C4" t="inlineStr">
        <is>
          <t>GKR Racing</t>
        </is>
      </c>
      <c r="D4" t="inlineStr">
        <is>
          <t>459</t>
        </is>
      </c>
      <c r="E4">
        <f>HYPERLINK("https://www.britishcycling.org.uk/points?person_id=615983&amp;year=2022&amp;type=national&amp;d=6","Results")</f>
        <v/>
      </c>
    </row>
    <row r="5">
      <c r="A5" t="inlineStr">
        <is>
          <t>4</t>
        </is>
      </c>
      <c r="B5" t="inlineStr">
        <is>
          <t>Gus Lawson</t>
        </is>
      </c>
      <c r="C5" t="inlineStr">
        <is>
          <t>Pentland Racers</t>
        </is>
      </c>
      <c r="D5" t="inlineStr">
        <is>
          <t>448</t>
        </is>
      </c>
      <c r="E5">
        <f>HYPERLINK("https://www.britishcycling.org.uk/points?person_id=857074&amp;year=2022&amp;type=national&amp;d=6","Results")</f>
        <v/>
      </c>
    </row>
    <row r="6">
      <c r="A6" t="inlineStr">
        <is>
          <t>5</t>
        </is>
      </c>
      <c r="B6" t="inlineStr">
        <is>
          <t>Xander Graham</t>
        </is>
      </c>
      <c r="C6" t="inlineStr">
        <is>
          <t>Jukebox Cycling Team</t>
        </is>
      </c>
      <c r="D6" t="inlineStr">
        <is>
          <t>420</t>
        </is>
      </c>
      <c r="E6">
        <f>HYPERLINK("https://www.britishcycling.org.uk/points?person_id=735787&amp;year=2022&amp;type=national&amp;d=6","Results")</f>
        <v/>
      </c>
    </row>
    <row r="7">
      <c r="A7" t="inlineStr">
        <is>
          <t>6</t>
        </is>
      </c>
      <c r="B7" t="inlineStr">
        <is>
          <t>Alfie Steed</t>
        </is>
      </c>
      <c r="C7" t="inlineStr">
        <is>
          <t>Sherwood Pines Cycles Forme</t>
        </is>
      </c>
      <c r="D7" t="inlineStr">
        <is>
          <t>418</t>
        </is>
      </c>
      <c r="E7">
        <f>HYPERLINK("https://www.britishcycling.org.uk/points?person_id=758440&amp;year=2022&amp;type=national&amp;d=6","Results")</f>
        <v/>
      </c>
    </row>
    <row r="8">
      <c r="A8" t="inlineStr">
        <is>
          <t>7</t>
        </is>
      </c>
      <c r="B8" t="inlineStr">
        <is>
          <t>Daniel Davies</t>
        </is>
      </c>
      <c r="C8" t="inlineStr">
        <is>
          <t>Maindy Flyers CC</t>
        </is>
      </c>
      <c r="D8" t="inlineStr">
        <is>
          <t>382</t>
        </is>
      </c>
      <c r="E8">
        <f>HYPERLINK("https://www.britishcycling.org.uk/points?person_id=580723&amp;year=2022&amp;type=national&amp;d=6","Results")</f>
        <v/>
      </c>
    </row>
    <row r="9">
      <c r="A9" t="inlineStr">
        <is>
          <t>8</t>
        </is>
      </c>
      <c r="B9" t="inlineStr">
        <is>
          <t>Cormac Denwood</t>
        </is>
      </c>
      <c r="C9" t="inlineStr">
        <is>
          <t>Harrogate Nova CC</t>
        </is>
      </c>
      <c r="D9" t="inlineStr">
        <is>
          <t>363</t>
        </is>
      </c>
      <c r="E9">
        <f>HYPERLINK("https://www.britishcycling.org.uk/points?person_id=781445&amp;year=2022&amp;type=national&amp;d=6","Results")</f>
        <v/>
      </c>
    </row>
    <row r="10">
      <c r="A10" t="inlineStr">
        <is>
          <t>9</t>
        </is>
      </c>
      <c r="B10" t="inlineStr">
        <is>
          <t>George Hughes</t>
        </is>
      </c>
      <c r="C10" t="inlineStr">
        <is>
          <t>Shibden Cycling Club</t>
        </is>
      </c>
      <c r="D10" t="inlineStr">
        <is>
          <t>350</t>
        </is>
      </c>
      <c r="E10">
        <f>HYPERLINK("https://www.britishcycling.org.uk/points?person_id=552145&amp;year=2022&amp;type=national&amp;d=6","Results")</f>
        <v/>
      </c>
    </row>
    <row r="11">
      <c r="A11" t="inlineStr">
        <is>
          <t>10</t>
        </is>
      </c>
      <c r="B11" t="inlineStr">
        <is>
          <t>Finley Hudson</t>
        </is>
      </c>
      <c r="C11" t="inlineStr">
        <is>
          <t>Matlock CC</t>
        </is>
      </c>
      <c r="D11" t="inlineStr">
        <is>
          <t>345</t>
        </is>
      </c>
      <c r="E11">
        <f>HYPERLINK("https://www.britishcycling.org.uk/points?person_id=943545&amp;year=2022&amp;type=national&amp;d=6","Results")</f>
        <v/>
      </c>
    </row>
    <row r="12">
      <c r="A12" t="inlineStr">
        <is>
          <t>11</t>
        </is>
      </c>
      <c r="B12" t="inlineStr">
        <is>
          <t>Sam Genazzini</t>
        </is>
      </c>
      <c r="C12" t="inlineStr">
        <is>
          <t>Solent Pirates</t>
        </is>
      </c>
      <c r="D12" t="inlineStr">
        <is>
          <t>331</t>
        </is>
      </c>
      <c r="E12">
        <f>HYPERLINK("https://www.britishcycling.org.uk/points?person_id=542708&amp;year=2022&amp;type=national&amp;d=6","Results")</f>
        <v/>
      </c>
    </row>
    <row r="13">
      <c r="A13" t="inlineStr">
        <is>
          <t>12</t>
        </is>
      </c>
      <c r="B13" t="inlineStr">
        <is>
          <t>Alarik Knox</t>
        </is>
      </c>
      <c r="C13" t="inlineStr">
        <is>
          <t>Verulam - reallymoving.com</t>
        </is>
      </c>
      <c r="D13" t="inlineStr">
        <is>
          <t>314</t>
        </is>
      </c>
      <c r="E13">
        <f>HYPERLINK("https://www.britishcycling.org.uk/points?person_id=615896&amp;year=2022&amp;type=national&amp;d=6","Results")</f>
        <v/>
      </c>
    </row>
    <row r="14">
      <c r="A14" t="inlineStr">
        <is>
          <t>13</t>
        </is>
      </c>
      <c r="B14" t="inlineStr">
        <is>
          <t>Freddie Winkley</t>
        </is>
      </c>
      <c r="C14" t="inlineStr">
        <is>
          <t>Shibden Cycling Club</t>
        </is>
      </c>
      <c r="D14" t="inlineStr">
        <is>
          <t>307</t>
        </is>
      </c>
      <c r="E14">
        <f>HYPERLINK("https://www.britishcycling.org.uk/points?person_id=414838&amp;year=2022&amp;type=national&amp;d=6","Results")</f>
        <v/>
      </c>
    </row>
    <row r="15">
      <c r="A15" t="inlineStr">
        <is>
          <t>14</t>
        </is>
      </c>
      <c r="B15" t="inlineStr">
        <is>
          <t>Jake Bird</t>
        </is>
      </c>
      <c r="C15" t="inlineStr">
        <is>
          <t>Beeston Cycling Club</t>
        </is>
      </c>
      <c r="D15" t="inlineStr">
        <is>
          <t>295</t>
        </is>
      </c>
      <c r="E15">
        <f>HYPERLINK("https://www.britishcycling.org.uk/points?person_id=551429&amp;year=2022&amp;type=national&amp;d=6","Results")</f>
        <v/>
      </c>
    </row>
    <row r="16">
      <c r="A16" t="inlineStr">
        <is>
          <t>15</t>
        </is>
      </c>
      <c r="B16" t="inlineStr">
        <is>
          <t>Isaac Starmer</t>
        </is>
      </c>
      <c r="C16" t="inlineStr">
        <is>
          <t>Colchester Rovers CC</t>
        </is>
      </c>
      <c r="D16" t="inlineStr">
        <is>
          <t>276</t>
        </is>
      </c>
      <c r="E16">
        <f>HYPERLINK("https://www.britishcycling.org.uk/points?person_id=687626&amp;year=2022&amp;type=national&amp;d=6","Results")</f>
        <v/>
      </c>
    </row>
    <row r="17">
      <c r="A17" t="inlineStr">
        <is>
          <t>16</t>
        </is>
      </c>
      <c r="B17" t="inlineStr">
        <is>
          <t>Matthew Holmes</t>
        </is>
      </c>
      <c r="C17" t="inlineStr">
        <is>
          <t>Mid Devon CC</t>
        </is>
      </c>
      <c r="D17" t="inlineStr">
        <is>
          <t>252</t>
        </is>
      </c>
      <c r="E17">
        <f>HYPERLINK("https://www.britishcycling.org.uk/points?person_id=651551&amp;year=2022&amp;type=national&amp;d=6","Results")</f>
        <v/>
      </c>
    </row>
    <row r="18">
      <c r="A18" t="inlineStr">
        <is>
          <t>17</t>
        </is>
      </c>
      <c r="B18" t="inlineStr">
        <is>
          <t>Leon Parker</t>
        </is>
      </c>
      <c r="C18" t="inlineStr">
        <is>
          <t>ROTOR Race Team</t>
        </is>
      </c>
      <c r="D18" t="inlineStr">
        <is>
          <t>248</t>
        </is>
      </c>
      <c r="E18">
        <f>HYPERLINK("https://www.britishcycling.org.uk/points?person_id=398442&amp;year=2022&amp;type=national&amp;d=6","Results")</f>
        <v/>
      </c>
    </row>
    <row r="19">
      <c r="A19" t="inlineStr">
        <is>
          <t>18</t>
        </is>
      </c>
      <c r="B19" t="inlineStr">
        <is>
          <t>Charlie Albone</t>
        </is>
      </c>
      <c r="C19" t="inlineStr">
        <is>
          <t>Shibden Cycling Club</t>
        </is>
      </c>
      <c r="D19" t="inlineStr">
        <is>
          <t>239</t>
        </is>
      </c>
      <c r="E19">
        <f>HYPERLINK("https://www.britishcycling.org.uk/points?person_id=522424&amp;year=2022&amp;type=national&amp;d=6","Results")</f>
        <v/>
      </c>
    </row>
    <row r="20">
      <c r="A20" t="inlineStr">
        <is>
          <t>19</t>
        </is>
      </c>
      <c r="B20" t="inlineStr">
        <is>
          <t>Roch Morgan</t>
        </is>
      </c>
      <c r="C20" t="inlineStr">
        <is>
          <t>Derby Mercury RC</t>
        </is>
      </c>
      <c r="D20" t="inlineStr">
        <is>
          <t>236</t>
        </is>
      </c>
      <c r="E20">
        <f>HYPERLINK("https://www.britishcycling.org.uk/points?person_id=986071&amp;year=2022&amp;type=national&amp;d=6","Results")</f>
        <v/>
      </c>
    </row>
    <row r="21">
      <c r="A21" t="inlineStr">
        <is>
          <t>20</t>
        </is>
      </c>
      <c r="B21" t="inlineStr">
        <is>
          <t>Joe Carpenter</t>
        </is>
      </c>
      <c r="C21" t="inlineStr">
        <is>
          <t>C and N Cycles RT</t>
        </is>
      </c>
      <c r="D21" t="inlineStr">
        <is>
          <t>229</t>
        </is>
      </c>
      <c r="E21">
        <f>HYPERLINK("https://www.britishcycling.org.uk/points?person_id=228185&amp;year=2022&amp;type=national&amp;d=6","Results")</f>
        <v/>
      </c>
    </row>
    <row r="22">
      <c r="A22" t="inlineStr">
        <is>
          <t>21</t>
        </is>
      </c>
      <c r="B22" t="inlineStr">
        <is>
          <t>Oscar Makepeace</t>
        </is>
      </c>
      <c r="C22" t="inlineStr">
        <is>
          <t>NSP Cycling Team</t>
        </is>
      </c>
      <c r="D22" t="inlineStr">
        <is>
          <t>218</t>
        </is>
      </c>
      <c r="E22">
        <f>HYPERLINK("https://www.britishcycling.org.uk/points?person_id=1029702&amp;year=2022&amp;type=national&amp;d=6","Results")</f>
        <v/>
      </c>
    </row>
    <row r="23">
      <c r="A23" t="inlineStr">
        <is>
          <t>22</t>
        </is>
      </c>
      <c r="B23" t="inlineStr">
        <is>
          <t>Oliver Swinburn</t>
        </is>
      </c>
      <c r="C23" t="inlineStr">
        <is>
          <t>Velo Club Lincoln</t>
        </is>
      </c>
      <c r="D23" t="inlineStr">
        <is>
          <t>218</t>
        </is>
      </c>
      <c r="E23">
        <f>HYPERLINK("https://www.britishcycling.org.uk/points?person_id=796368&amp;year=2022&amp;type=national&amp;d=6","Results")</f>
        <v/>
      </c>
    </row>
    <row r="24">
      <c r="A24" t="inlineStr">
        <is>
          <t>23</t>
        </is>
      </c>
      <c r="B24" t="inlineStr">
        <is>
          <t>Joseph Throp</t>
        </is>
      </c>
      <c r="C24" t="inlineStr">
        <is>
          <t>Matlock CC</t>
        </is>
      </c>
      <c r="D24" t="inlineStr">
        <is>
          <t>211</t>
        </is>
      </c>
      <c r="E24">
        <f>HYPERLINK("https://www.britishcycling.org.uk/points?person_id=768971&amp;year=2022&amp;type=national&amp;d=6","Results")</f>
        <v/>
      </c>
    </row>
    <row r="25">
      <c r="A25" t="inlineStr">
        <is>
          <t>24</t>
        </is>
      </c>
      <c r="B25" t="inlineStr">
        <is>
          <t>Thomas Allen</t>
        </is>
      </c>
      <c r="C25" t="inlineStr">
        <is>
          <t>Sotonia CC</t>
        </is>
      </c>
      <c r="D25" t="inlineStr">
        <is>
          <t>206</t>
        </is>
      </c>
      <c r="E25">
        <f>HYPERLINK("https://www.britishcycling.org.uk/points?person_id=856844&amp;year=2022&amp;type=national&amp;d=6","Results")</f>
        <v/>
      </c>
    </row>
    <row r="26">
      <c r="A26" t="inlineStr">
        <is>
          <t>25</t>
        </is>
      </c>
      <c r="B26" t="inlineStr">
        <is>
          <t>Zach Buchan</t>
        </is>
      </c>
      <c r="C26" t="inlineStr">
        <is>
          <t>Pentland Racers</t>
        </is>
      </c>
      <c r="D26" t="inlineStr">
        <is>
          <t>204</t>
        </is>
      </c>
      <c r="E26">
        <f>HYPERLINK("https://www.britishcycling.org.uk/points?person_id=516929&amp;year=2022&amp;type=national&amp;d=6","Results")</f>
        <v/>
      </c>
    </row>
    <row r="27">
      <c r="A27" t="inlineStr">
        <is>
          <t>26</t>
        </is>
      </c>
      <c r="B27" t="inlineStr">
        <is>
          <t>Benjamin Whitehouse</t>
        </is>
      </c>
      <c r="C27" t="inlineStr">
        <is>
          <t>Wolverhampton Wheelers</t>
        </is>
      </c>
      <c r="D27" t="inlineStr">
        <is>
          <t>193</t>
        </is>
      </c>
      <c r="E27">
        <f>HYPERLINK("https://www.britishcycling.org.uk/points?person_id=841814&amp;year=2022&amp;type=national&amp;d=6","Results")</f>
        <v/>
      </c>
    </row>
    <row r="28">
      <c r="A28" t="inlineStr">
        <is>
          <t>27</t>
        </is>
      </c>
      <c r="B28" t="inlineStr">
        <is>
          <t>Elijah Storti</t>
        </is>
      </c>
      <c r="C28" t="inlineStr">
        <is>
          <t>Welwyn Wheelers CC</t>
        </is>
      </c>
      <c r="D28" t="inlineStr">
        <is>
          <t>189</t>
        </is>
      </c>
      <c r="E28">
        <f>HYPERLINK("https://www.britishcycling.org.uk/points?person_id=396867&amp;year=2022&amp;type=national&amp;d=6","Results")</f>
        <v/>
      </c>
    </row>
    <row r="29">
      <c r="A29" t="inlineStr">
        <is>
          <t>28</t>
        </is>
      </c>
      <c r="B29" t="inlineStr">
        <is>
          <t>Harrison Hendy</t>
        </is>
      </c>
      <c r="C29" t="inlineStr">
        <is>
          <t>Team HUP</t>
        </is>
      </c>
      <c r="D29" t="inlineStr">
        <is>
          <t>188</t>
        </is>
      </c>
      <c r="E29">
        <f>HYPERLINK("https://www.britishcycling.org.uk/points?person_id=537409&amp;year=2022&amp;type=national&amp;d=6","Results")</f>
        <v/>
      </c>
    </row>
    <row r="30">
      <c r="A30" t="inlineStr">
        <is>
          <t>29</t>
        </is>
      </c>
      <c r="B30" t="inlineStr">
        <is>
          <t>Milo De La Mare</t>
        </is>
      </c>
      <c r="C30" t="inlineStr">
        <is>
          <t>VC Londres</t>
        </is>
      </c>
      <c r="D30" t="inlineStr">
        <is>
          <t>170</t>
        </is>
      </c>
      <c r="E30">
        <f>HYPERLINK("https://www.britishcycling.org.uk/points?person_id=614000&amp;year=2022&amp;type=national&amp;d=6","Results")</f>
        <v/>
      </c>
    </row>
    <row r="31">
      <c r="A31" t="inlineStr">
        <is>
          <t>30</t>
        </is>
      </c>
      <c r="B31" t="inlineStr">
        <is>
          <t>Oscar Shaw</t>
        </is>
      </c>
      <c r="C31" t="inlineStr">
        <is>
          <t>Beeston Cycling Club</t>
        </is>
      </c>
      <c r="D31" t="inlineStr">
        <is>
          <t>161</t>
        </is>
      </c>
      <c r="E31">
        <f>HYPERLINK("https://www.britishcycling.org.uk/points?person_id=390796&amp;year=2022&amp;type=national&amp;d=6","Results")</f>
        <v/>
      </c>
    </row>
    <row r="32">
      <c r="A32" t="inlineStr">
        <is>
          <t>31</t>
        </is>
      </c>
      <c r="B32" t="inlineStr">
        <is>
          <t>Samuel de la Mare</t>
        </is>
      </c>
      <c r="C32" t="inlineStr">
        <is>
          <t>VC Londres</t>
        </is>
      </c>
      <c r="D32" t="inlineStr">
        <is>
          <t>159</t>
        </is>
      </c>
      <c r="E32">
        <f>HYPERLINK("https://www.britishcycling.org.uk/points?person_id=614002&amp;year=2022&amp;type=national&amp;d=6","Results")</f>
        <v/>
      </c>
    </row>
    <row r="33">
      <c r="A33" t="inlineStr">
        <is>
          <t>32</t>
        </is>
      </c>
      <c r="B33" t="inlineStr">
        <is>
          <t>Alex Box</t>
        </is>
      </c>
      <c r="C33" t="inlineStr">
        <is>
          <t>NSP Cycling Team</t>
        </is>
      </c>
      <c r="D33" t="inlineStr">
        <is>
          <t>158</t>
        </is>
      </c>
      <c r="E33">
        <f>HYPERLINK("https://www.britishcycling.org.uk/points?person_id=1019307&amp;year=2022&amp;type=national&amp;d=6","Results")</f>
        <v/>
      </c>
    </row>
    <row r="34">
      <c r="A34" t="inlineStr">
        <is>
          <t>33</t>
        </is>
      </c>
      <c r="B34" t="inlineStr">
        <is>
          <t>Thomas Wilks</t>
        </is>
      </c>
      <c r="C34" t="inlineStr">
        <is>
          <t>Sotonia CC</t>
        </is>
      </c>
      <c r="D34" t="inlineStr">
        <is>
          <t>153</t>
        </is>
      </c>
      <c r="E34">
        <f>HYPERLINK("https://www.britishcycling.org.uk/points?person_id=691195&amp;year=2022&amp;type=national&amp;d=6","Results")</f>
        <v/>
      </c>
    </row>
    <row r="35">
      <c r="A35" t="inlineStr">
        <is>
          <t>34</t>
        </is>
      </c>
      <c r="B35" t="inlineStr">
        <is>
          <t>Ivo Thwaites</t>
        </is>
      </c>
      <c r="C35" t="inlineStr">
        <is>
          <t>Kent Velo Youth</t>
        </is>
      </c>
      <c r="D35" t="inlineStr">
        <is>
          <t>151</t>
        </is>
      </c>
      <c r="E35">
        <f>HYPERLINK("https://www.britishcycling.org.uk/points?person_id=601755&amp;year=2022&amp;type=national&amp;d=6","Results")</f>
        <v/>
      </c>
    </row>
    <row r="36">
      <c r="A36" t="inlineStr">
        <is>
          <t>35</t>
        </is>
      </c>
      <c r="B36" t="inlineStr">
        <is>
          <t>Rhuairdh Fulton</t>
        </is>
      </c>
      <c r="C36" t="inlineStr">
        <is>
          <t>West Lothian Clarion CC</t>
        </is>
      </c>
      <c r="D36" t="inlineStr">
        <is>
          <t>146</t>
        </is>
      </c>
      <c r="E36">
        <f>HYPERLINK("https://www.britishcycling.org.uk/points?person_id=517611&amp;year=2022&amp;type=national&amp;d=6","Results")</f>
        <v/>
      </c>
    </row>
    <row r="37">
      <c r="A37" t="inlineStr">
        <is>
          <t>36</t>
        </is>
      </c>
      <c r="B37" t="inlineStr">
        <is>
          <t>Lenz Haring</t>
        </is>
      </c>
      <c r="C37" t="inlineStr">
        <is>
          <t>Peckham Challengers BMX Club</t>
        </is>
      </c>
      <c r="D37" t="inlineStr">
        <is>
          <t>146</t>
        </is>
      </c>
      <c r="E37">
        <f>HYPERLINK("https://www.britishcycling.org.uk/points?person_id=621400&amp;year=2022&amp;type=national&amp;d=6","Results")</f>
        <v/>
      </c>
    </row>
    <row r="38">
      <c r="A38" t="inlineStr">
        <is>
          <t>37</t>
        </is>
      </c>
      <c r="B38" t="inlineStr">
        <is>
          <t>James Hardisty</t>
        </is>
      </c>
      <c r="C38" t="inlineStr">
        <is>
          <t>Nottingham Clarion CC</t>
        </is>
      </c>
      <c r="D38" t="inlineStr">
        <is>
          <t>145</t>
        </is>
      </c>
      <c r="E38">
        <f>HYPERLINK("https://www.britishcycling.org.uk/points?person_id=852993&amp;year=2022&amp;type=national&amp;d=6","Results")</f>
        <v/>
      </c>
    </row>
    <row r="39">
      <c r="A39" t="inlineStr">
        <is>
          <t>38</t>
        </is>
      </c>
      <c r="B39" t="inlineStr">
        <is>
          <t>Loris Cains</t>
        </is>
      </c>
      <c r="C39" t="inlineStr">
        <is>
          <t>Avid Sport</t>
        </is>
      </c>
      <c r="D39" t="inlineStr">
        <is>
          <t>139</t>
        </is>
      </c>
      <c r="E39">
        <f>HYPERLINK("https://www.britishcycling.org.uk/points?person_id=773764&amp;year=2022&amp;type=national&amp;d=6","Results")</f>
        <v/>
      </c>
    </row>
    <row r="40">
      <c r="A40" t="inlineStr">
        <is>
          <t>39</t>
        </is>
      </c>
      <c r="B40" t="inlineStr">
        <is>
          <t>Iestyn John Rowlands</t>
        </is>
      </c>
      <c r="C40" t="inlineStr">
        <is>
          <t>Hafren CC</t>
        </is>
      </c>
      <c r="D40" t="inlineStr">
        <is>
          <t>136</t>
        </is>
      </c>
      <c r="E40">
        <f>HYPERLINK("https://www.britishcycling.org.uk/points?person_id=950697&amp;year=2022&amp;type=national&amp;d=6","Results")</f>
        <v/>
      </c>
    </row>
    <row r="41">
      <c r="A41" t="inlineStr">
        <is>
          <t>40</t>
        </is>
      </c>
      <c r="B41" t="inlineStr">
        <is>
          <t>Billy Ladle</t>
        </is>
      </c>
      <c r="C41" t="inlineStr">
        <is>
          <t>Kirklees Cycling Academy</t>
        </is>
      </c>
      <c r="D41" t="inlineStr">
        <is>
          <t>132</t>
        </is>
      </c>
      <c r="E41">
        <f>HYPERLINK("https://www.britishcycling.org.uk/points?person_id=351766&amp;year=2022&amp;type=national&amp;d=6","Results")</f>
        <v/>
      </c>
    </row>
    <row r="42">
      <c r="A42" t="inlineStr">
        <is>
          <t>41</t>
        </is>
      </c>
      <c r="B42" t="inlineStr">
        <is>
          <t>Finlay Storrie</t>
        </is>
      </c>
      <c r="C42" t="inlineStr">
        <is>
          <t>Team HUP</t>
        </is>
      </c>
      <c r="D42" t="inlineStr">
        <is>
          <t>132</t>
        </is>
      </c>
      <c r="E42">
        <f>HYPERLINK("https://www.britishcycling.org.uk/points?person_id=574053&amp;year=2022&amp;type=national&amp;d=6","Results")</f>
        <v/>
      </c>
    </row>
    <row r="43">
      <c r="A43" t="inlineStr">
        <is>
          <t>42</t>
        </is>
      </c>
      <c r="B43" t="inlineStr">
        <is>
          <t>Joseph Wooliscroft</t>
        </is>
      </c>
      <c r="C43" t="inlineStr">
        <is>
          <t>Clancy Briggs Cycling Academy</t>
        </is>
      </c>
      <c r="D43" t="inlineStr">
        <is>
          <t>127</t>
        </is>
      </c>
      <c r="E43">
        <f>HYPERLINK("https://www.britishcycling.org.uk/points?person_id=850497&amp;year=2022&amp;type=national&amp;d=6","Results")</f>
        <v/>
      </c>
    </row>
    <row r="44">
      <c r="A44" t="inlineStr">
        <is>
          <t>43</t>
        </is>
      </c>
      <c r="B44" t="inlineStr">
        <is>
          <t>Louis Inman</t>
        </is>
      </c>
      <c r="C44" t="inlineStr">
        <is>
          <t>Ashfield RC</t>
        </is>
      </c>
      <c r="D44" t="inlineStr">
        <is>
          <t>126</t>
        </is>
      </c>
      <c r="E44">
        <f>HYPERLINK("https://www.britishcycling.org.uk/points?person_id=454912&amp;year=2022&amp;type=national&amp;d=6","Results")</f>
        <v/>
      </c>
    </row>
    <row r="45">
      <c r="A45" t="inlineStr">
        <is>
          <t>44</t>
        </is>
      </c>
      <c r="B45" t="inlineStr">
        <is>
          <t>George Collins</t>
        </is>
      </c>
      <c r="C45" t="inlineStr">
        <is>
          <t>Velo Schils - Interbike RT</t>
        </is>
      </c>
      <c r="D45" t="inlineStr">
        <is>
          <t>123</t>
        </is>
      </c>
      <c r="E45">
        <f>HYPERLINK("https://www.britishcycling.org.uk/points?person_id=589527&amp;year=2022&amp;type=national&amp;d=6","Results")</f>
        <v/>
      </c>
    </row>
    <row r="46">
      <c r="A46" t="inlineStr">
        <is>
          <t>45</t>
        </is>
      </c>
      <c r="B46" t="inlineStr">
        <is>
          <t>Lucas Lillistone</t>
        </is>
      </c>
      <c r="C46" t="inlineStr">
        <is>
          <t>Avid Sport</t>
        </is>
      </c>
      <c r="D46" t="inlineStr">
        <is>
          <t>122</t>
        </is>
      </c>
      <c r="E46">
        <f>HYPERLINK("https://www.britishcycling.org.uk/points?person_id=1028483&amp;year=2022&amp;type=national&amp;d=6","Results")</f>
        <v/>
      </c>
    </row>
    <row r="47">
      <c r="A47" t="inlineStr">
        <is>
          <t>46</t>
        </is>
      </c>
      <c r="B47" t="inlineStr">
        <is>
          <t>Ben Allen</t>
        </is>
      </c>
      <c r="C47" t="inlineStr">
        <is>
          <t>Stafford Road Club</t>
        </is>
      </c>
      <c r="D47" t="inlineStr">
        <is>
          <t>116</t>
        </is>
      </c>
      <c r="E47">
        <f>HYPERLINK("https://www.britishcycling.org.uk/points?person_id=834858&amp;year=2022&amp;type=national&amp;d=6","Results")</f>
        <v/>
      </c>
    </row>
    <row r="48">
      <c r="A48" t="inlineStr">
        <is>
          <t>47</t>
        </is>
      </c>
      <c r="B48" t="inlineStr">
        <is>
          <t>Sammy Baker</t>
        </is>
      </c>
      <c r="C48" t="inlineStr">
        <is>
          <t>Palmer Park Velo RT</t>
        </is>
      </c>
      <c r="D48" t="inlineStr">
        <is>
          <t>113</t>
        </is>
      </c>
      <c r="E48">
        <f>HYPERLINK("https://www.britishcycling.org.uk/points?person_id=631992&amp;year=2022&amp;type=national&amp;d=6","Results")</f>
        <v/>
      </c>
    </row>
    <row r="49">
      <c r="A49" t="inlineStr">
        <is>
          <t>48</t>
        </is>
      </c>
      <c r="B49" t="inlineStr">
        <is>
          <t>James Calvert</t>
        </is>
      </c>
      <c r="C49" t="inlineStr">
        <is>
          <t>Clifton CC</t>
        </is>
      </c>
      <c r="D49" t="inlineStr">
        <is>
          <t>113</t>
        </is>
      </c>
      <c r="E49">
        <f>HYPERLINK("https://www.britishcycling.org.uk/points?person_id=645762&amp;year=2022&amp;type=national&amp;d=6","Results")</f>
        <v/>
      </c>
    </row>
    <row r="50">
      <c r="A50" t="inlineStr">
        <is>
          <t>49</t>
        </is>
      </c>
      <c r="B50" t="inlineStr">
        <is>
          <t>Joel Gibbon</t>
        </is>
      </c>
      <c r="C50" t="inlineStr">
        <is>
          <t>Hetton Hawks Cycling Club</t>
        </is>
      </c>
      <c r="D50" t="inlineStr">
        <is>
          <t>113</t>
        </is>
      </c>
      <c r="E50">
        <f>HYPERLINK("https://www.britishcycling.org.uk/points?person_id=753217&amp;year=2022&amp;type=national&amp;d=6","Results")</f>
        <v/>
      </c>
    </row>
    <row r="51">
      <c r="A51" t="inlineStr">
        <is>
          <t>50</t>
        </is>
      </c>
      <c r="B51" t="inlineStr">
        <is>
          <t>Oliver Turnbull</t>
        </is>
      </c>
      <c r="C51" t="inlineStr">
        <is>
          <t>Velo Club Lincoln</t>
        </is>
      </c>
      <c r="D51" t="inlineStr">
        <is>
          <t>113</t>
        </is>
      </c>
      <c r="E51">
        <f>HYPERLINK("https://www.britishcycling.org.uk/points?person_id=623904&amp;year=2022&amp;type=national&amp;d=6","Results")</f>
        <v/>
      </c>
    </row>
    <row r="52">
      <c r="A52" t="inlineStr">
        <is>
          <t>51</t>
        </is>
      </c>
      <c r="B52" t="inlineStr">
        <is>
          <t>Bayley Woodger</t>
        </is>
      </c>
      <c r="C52" t="inlineStr">
        <is>
          <t>Mid Devon CC</t>
        </is>
      </c>
      <c r="D52" t="inlineStr">
        <is>
          <t>110</t>
        </is>
      </c>
      <c r="E52">
        <f>HYPERLINK("https://www.britishcycling.org.uk/points?person_id=570896&amp;year=2022&amp;type=national&amp;d=6","Results")</f>
        <v/>
      </c>
    </row>
    <row r="53">
      <c r="A53" t="inlineStr">
        <is>
          <t>52</t>
        </is>
      </c>
      <c r="B53" t="inlineStr">
        <is>
          <t>Samuel Freeman</t>
        </is>
      </c>
      <c r="C53" t="inlineStr">
        <is>
          <t>Leicester Forest CC</t>
        </is>
      </c>
      <c r="D53" t="inlineStr">
        <is>
          <t>105</t>
        </is>
      </c>
      <c r="E53">
        <f>HYPERLINK("https://www.britishcycling.org.uk/points?person_id=1011851&amp;year=2022&amp;type=national&amp;d=6","Results")</f>
        <v/>
      </c>
    </row>
    <row r="54">
      <c r="A54" t="inlineStr">
        <is>
          <t>53</t>
        </is>
      </c>
      <c r="B54" t="inlineStr">
        <is>
          <t>Josh Buchan</t>
        </is>
      </c>
      <c r="C54" t="inlineStr">
        <is>
          <t>Pentland Racers</t>
        </is>
      </c>
      <c r="D54" t="inlineStr">
        <is>
          <t>104</t>
        </is>
      </c>
      <c r="E54">
        <f>HYPERLINK("https://www.britishcycling.org.uk/points?person_id=751394&amp;year=2022&amp;type=national&amp;d=6","Results")</f>
        <v/>
      </c>
    </row>
    <row r="55">
      <c r="A55" t="inlineStr">
        <is>
          <t>54</t>
        </is>
      </c>
      <c r="B55" t="inlineStr">
        <is>
          <t>Oliver Glass</t>
        </is>
      </c>
      <c r="C55" t="inlineStr">
        <is>
          <t>Hetton Hawks Cycling Club</t>
        </is>
      </c>
      <c r="D55" t="inlineStr">
        <is>
          <t>102</t>
        </is>
      </c>
      <c r="E55">
        <f>HYPERLINK("https://www.britishcycling.org.uk/points?person_id=672659&amp;year=2022&amp;type=national&amp;d=6","Results")</f>
        <v/>
      </c>
    </row>
    <row r="56">
      <c r="A56" t="inlineStr">
        <is>
          <t>55</t>
        </is>
      </c>
      <c r="B56" t="inlineStr">
        <is>
          <t>Daniel Elliott</t>
        </is>
      </c>
      <c r="C56" t="inlineStr">
        <is>
          <t>Welwyn Wheelers CC</t>
        </is>
      </c>
      <c r="D56" t="inlineStr">
        <is>
          <t>96</t>
        </is>
      </c>
      <c r="E56">
        <f>HYPERLINK("https://www.britishcycling.org.uk/points?person_id=624756&amp;year=2022&amp;type=national&amp;d=6","Results")</f>
        <v/>
      </c>
    </row>
    <row r="57">
      <c r="A57" t="inlineStr">
        <is>
          <t>56</t>
        </is>
      </c>
      <c r="B57" t="inlineStr">
        <is>
          <t>Cameron Reeves</t>
        </is>
      </c>
      <c r="C57" t="inlineStr">
        <is>
          <t>Abergavenny Road Club</t>
        </is>
      </c>
      <c r="D57" t="inlineStr">
        <is>
          <t>95</t>
        </is>
      </c>
      <c r="E57">
        <f>HYPERLINK("https://www.britishcycling.org.uk/points?person_id=694583&amp;year=2022&amp;type=national&amp;d=6","Results")</f>
        <v/>
      </c>
    </row>
    <row r="58">
      <c r="A58" t="inlineStr">
        <is>
          <t>57</t>
        </is>
      </c>
      <c r="B58" t="inlineStr">
        <is>
          <t>Matthew Mather</t>
        </is>
      </c>
      <c r="C58" t="inlineStr">
        <is>
          <t>Derwentside CC</t>
        </is>
      </c>
      <c r="D58" t="inlineStr">
        <is>
          <t>93</t>
        </is>
      </c>
      <c r="E58">
        <f>HYPERLINK("https://www.britishcycling.org.uk/points?person_id=605672&amp;year=2022&amp;type=national&amp;d=6","Results")</f>
        <v/>
      </c>
    </row>
    <row r="59">
      <c r="A59" t="inlineStr">
        <is>
          <t>58</t>
        </is>
      </c>
      <c r="B59" t="inlineStr">
        <is>
          <t>Reuben McLardie</t>
        </is>
      </c>
      <c r="C59" t="inlineStr">
        <is>
          <t>Johnstone Wheelers Cycling Club</t>
        </is>
      </c>
      <c r="D59" t="inlineStr">
        <is>
          <t>93</t>
        </is>
      </c>
      <c r="E59">
        <f>HYPERLINK("https://www.britishcycling.org.uk/points?person_id=1012962&amp;year=2022&amp;type=national&amp;d=6","Results")</f>
        <v/>
      </c>
    </row>
    <row r="60">
      <c r="A60" t="inlineStr">
        <is>
          <t>59</t>
        </is>
      </c>
      <c r="B60" t="inlineStr">
        <is>
          <t>Arthur Oliver</t>
        </is>
      </c>
      <c r="C60" t="inlineStr">
        <is>
          <t>Matlock CC</t>
        </is>
      </c>
      <c r="D60" t="inlineStr">
        <is>
          <t>92</t>
        </is>
      </c>
      <c r="E60">
        <f>HYPERLINK("https://www.britishcycling.org.uk/points?person_id=839208&amp;year=2022&amp;type=national&amp;d=6","Results")</f>
        <v/>
      </c>
    </row>
    <row r="61">
      <c r="A61" t="inlineStr">
        <is>
          <t>60</t>
        </is>
      </c>
      <c r="B61" t="inlineStr">
        <is>
          <t>Andrew Field</t>
        </is>
      </c>
      <c r="C61" t="inlineStr">
        <is>
          <t>Beeston RC</t>
        </is>
      </c>
      <c r="D61" t="inlineStr">
        <is>
          <t>90</t>
        </is>
      </c>
      <c r="E61">
        <f>HYPERLINK("https://www.britishcycling.org.uk/points?person_id=735183&amp;year=2022&amp;type=national&amp;d=6","Results")</f>
        <v/>
      </c>
    </row>
    <row r="62">
      <c r="A62" t="inlineStr">
        <is>
          <t>61</t>
        </is>
      </c>
      <c r="B62" t="inlineStr">
        <is>
          <t>William Coles</t>
        </is>
      </c>
      <c r="C62" t="inlineStr">
        <is>
          <t>Velo Myrddin CC powered by Y Beic</t>
        </is>
      </c>
      <c r="D62" t="inlineStr">
        <is>
          <t>87</t>
        </is>
      </c>
      <c r="E62">
        <f>HYPERLINK("https://www.britishcycling.org.uk/points?person_id=842593&amp;year=2022&amp;type=national&amp;d=6","Results")</f>
        <v/>
      </c>
    </row>
    <row r="63">
      <c r="A63" t="inlineStr">
        <is>
          <t>62</t>
        </is>
      </c>
      <c r="B63" t="inlineStr">
        <is>
          <t>Casey Jackson</t>
        </is>
      </c>
      <c r="C63" t="inlineStr">
        <is>
          <t>Shibden Cycling Club</t>
        </is>
      </c>
      <c r="D63" t="inlineStr">
        <is>
          <t>87</t>
        </is>
      </c>
      <c r="E63">
        <f>HYPERLINK("https://www.britishcycling.org.uk/points?person_id=663281&amp;year=2022&amp;type=national&amp;d=6","Results")</f>
        <v/>
      </c>
    </row>
    <row r="64">
      <c r="A64" t="inlineStr">
        <is>
          <t>63</t>
        </is>
      </c>
      <c r="B64" t="inlineStr">
        <is>
          <t>Lewis Anderson</t>
        </is>
      </c>
      <c r="C64" t="inlineStr">
        <is>
          <t>Manilla Cycling</t>
        </is>
      </c>
      <c r="D64" t="inlineStr">
        <is>
          <t>84</t>
        </is>
      </c>
      <c r="E64">
        <f>HYPERLINK("https://www.britishcycling.org.uk/points?person_id=683378&amp;year=2022&amp;type=national&amp;d=6","Results")</f>
        <v/>
      </c>
    </row>
    <row r="65">
      <c r="A65" t="inlineStr">
        <is>
          <t>64</t>
        </is>
      </c>
      <c r="B65" t="inlineStr">
        <is>
          <t>Isaac Holwell</t>
        </is>
      </c>
      <c r="C65" t="inlineStr">
        <is>
          <t>Matlock CC</t>
        </is>
      </c>
      <c r="D65" t="inlineStr">
        <is>
          <t>84</t>
        </is>
      </c>
      <c r="E65">
        <f>HYPERLINK("https://www.britishcycling.org.uk/points?person_id=868481&amp;year=2022&amp;type=national&amp;d=6","Results")</f>
        <v/>
      </c>
    </row>
    <row r="66">
      <c r="A66" t="inlineStr">
        <is>
          <t>65</t>
        </is>
      </c>
      <c r="B66" t="inlineStr">
        <is>
          <t>Matthew Sanderson</t>
        </is>
      </c>
      <c r="C66" t="inlineStr">
        <is>
          <t>VC Azzurri</t>
        </is>
      </c>
      <c r="D66" t="inlineStr">
        <is>
          <t>79</t>
        </is>
      </c>
      <c r="E66">
        <f>HYPERLINK("https://www.britishcycling.org.uk/points?person_id=1020101&amp;year=2022&amp;type=national&amp;d=6","Results")</f>
        <v/>
      </c>
    </row>
    <row r="67">
      <c r="A67" t="inlineStr">
        <is>
          <t>66</t>
        </is>
      </c>
      <c r="B67" t="inlineStr">
        <is>
          <t>Theo Wan</t>
        </is>
      </c>
      <c r="C67" t="inlineStr">
        <is>
          <t>Fenland Clarion CC</t>
        </is>
      </c>
      <c r="D67" t="inlineStr">
        <is>
          <t>77</t>
        </is>
      </c>
      <c r="E67">
        <f>HYPERLINK("https://www.britishcycling.org.uk/points?person_id=825652&amp;year=2022&amp;type=national&amp;d=6","Results")</f>
        <v/>
      </c>
    </row>
    <row r="68">
      <c r="A68" t="inlineStr">
        <is>
          <t>67</t>
        </is>
      </c>
      <c r="B68" t="inlineStr">
        <is>
          <t>Tiger Gloag</t>
        </is>
      </c>
      <c r="C68" t="inlineStr">
        <is>
          <t>VC Londres</t>
        </is>
      </c>
      <c r="D68" t="inlineStr">
        <is>
          <t>76</t>
        </is>
      </c>
      <c r="E68">
        <f>HYPERLINK("https://www.britishcycling.org.uk/points?person_id=548663&amp;year=2022&amp;type=national&amp;d=6","Results")</f>
        <v/>
      </c>
    </row>
    <row r="69">
      <c r="A69" t="inlineStr">
        <is>
          <t>68</t>
        </is>
      </c>
      <c r="B69" t="inlineStr">
        <is>
          <t>Innes Long</t>
        </is>
      </c>
      <c r="C69" t="inlineStr">
        <is>
          <t>Deeside Thistle CC</t>
        </is>
      </c>
      <c r="D69" t="inlineStr">
        <is>
          <t>75</t>
        </is>
      </c>
      <c r="E69">
        <f>HYPERLINK("https://www.britishcycling.org.uk/points?person_id=408029&amp;year=2022&amp;type=national&amp;d=6","Results")</f>
        <v/>
      </c>
    </row>
    <row r="70">
      <c r="A70" t="inlineStr">
        <is>
          <t>69</t>
        </is>
      </c>
      <c r="B70" t="inlineStr">
        <is>
          <t>Zachary Hutchinson</t>
        </is>
      </c>
      <c r="C70" t="inlineStr">
        <is>
          <t>Clifton CC</t>
        </is>
      </c>
      <c r="D70" t="inlineStr">
        <is>
          <t>74</t>
        </is>
      </c>
      <c r="E70">
        <f>HYPERLINK("https://www.britishcycling.org.uk/points?person_id=514162&amp;year=2022&amp;type=national&amp;d=6","Results")</f>
        <v/>
      </c>
    </row>
    <row r="71">
      <c r="A71" t="inlineStr">
        <is>
          <t>70</t>
        </is>
      </c>
      <c r="B71" t="inlineStr">
        <is>
          <t>Ethan Geall</t>
        </is>
      </c>
      <c r="C71" t="inlineStr">
        <is>
          <t>Shibden Cycling Club</t>
        </is>
      </c>
      <c r="D71" t="inlineStr">
        <is>
          <t>73</t>
        </is>
      </c>
      <c r="E71">
        <f>HYPERLINK("https://www.britishcycling.org.uk/points?person_id=558948&amp;year=2022&amp;type=national&amp;d=6","Results")</f>
        <v/>
      </c>
    </row>
    <row r="72">
      <c r="A72" t="inlineStr">
        <is>
          <t>71</t>
        </is>
      </c>
      <c r="B72" t="inlineStr">
        <is>
          <t>Colin Benezet Minns</t>
        </is>
      </c>
      <c r="C72" t="inlineStr">
        <is>
          <t>Penge Cycle Club</t>
        </is>
      </c>
      <c r="D72" t="inlineStr">
        <is>
          <t>71</t>
        </is>
      </c>
      <c r="E72">
        <f>HYPERLINK("https://www.britishcycling.org.uk/points?person_id=936624&amp;year=2022&amp;type=national&amp;d=6","Results")</f>
        <v/>
      </c>
    </row>
    <row r="73">
      <c r="A73" t="inlineStr">
        <is>
          <t>72</t>
        </is>
      </c>
      <c r="B73" t="inlineStr">
        <is>
          <t>Xander Brandon-Higgs</t>
        </is>
      </c>
      <c r="C73" t="inlineStr">
        <is>
          <t>Hafren CC</t>
        </is>
      </c>
      <c r="D73" t="inlineStr">
        <is>
          <t>71</t>
        </is>
      </c>
      <c r="E73">
        <f>HYPERLINK("https://www.britishcycling.org.uk/points?person_id=775750&amp;year=2022&amp;type=national&amp;d=6","Results")</f>
        <v/>
      </c>
    </row>
    <row r="74">
      <c r="A74" t="inlineStr">
        <is>
          <t>73</t>
        </is>
      </c>
      <c r="B74" t="inlineStr">
        <is>
          <t>Arthur Steer</t>
        </is>
      </c>
      <c r="C74" t="inlineStr">
        <is>
          <t>Cycling Club Hackney</t>
        </is>
      </c>
      <c r="D74" t="inlineStr">
        <is>
          <t>71</t>
        </is>
      </c>
      <c r="E74">
        <f>HYPERLINK("https://www.britishcycling.org.uk/points?person_id=675049&amp;year=2022&amp;type=national&amp;d=6","Results")</f>
        <v/>
      </c>
    </row>
    <row r="75">
      <c r="A75" t="inlineStr">
        <is>
          <t>74</t>
        </is>
      </c>
      <c r="B75" t="inlineStr">
        <is>
          <t>Finlay Burns</t>
        </is>
      </c>
      <c r="C75" t="inlineStr">
        <is>
          <t>Maindy Flyers CC</t>
        </is>
      </c>
      <c r="D75" t="inlineStr">
        <is>
          <t>69</t>
        </is>
      </c>
      <c r="E75">
        <f>HYPERLINK("https://www.britishcycling.org.uk/points?person_id=561059&amp;year=2022&amp;type=national&amp;d=6","Results")</f>
        <v/>
      </c>
    </row>
    <row r="76">
      <c r="A76" t="inlineStr">
        <is>
          <t>75</t>
        </is>
      </c>
      <c r="B76" t="inlineStr">
        <is>
          <t>Ruben Stringfellow</t>
        </is>
      </c>
      <c r="C76" t="inlineStr">
        <is>
          <t>Stratford CC</t>
        </is>
      </c>
      <c r="D76" t="inlineStr">
        <is>
          <t>68</t>
        </is>
      </c>
      <c r="E76">
        <f>HYPERLINK("https://www.britishcycling.org.uk/points?person_id=422361&amp;year=2022&amp;type=national&amp;d=6","Results")</f>
        <v/>
      </c>
    </row>
    <row r="77">
      <c r="A77" t="inlineStr">
        <is>
          <t>76</t>
        </is>
      </c>
      <c r="B77" t="inlineStr">
        <is>
          <t>Henry Barker</t>
        </is>
      </c>
      <c r="C77" t="inlineStr">
        <is>
          <t>Welwyn Wheelers CC</t>
        </is>
      </c>
      <c r="D77" t="inlineStr">
        <is>
          <t>65</t>
        </is>
      </c>
      <c r="E77">
        <f>HYPERLINK("https://www.britishcycling.org.uk/points?person_id=300083&amp;year=2022&amp;type=national&amp;d=6","Results")</f>
        <v/>
      </c>
    </row>
    <row r="78">
      <c r="A78" t="inlineStr">
        <is>
          <t>77</t>
        </is>
      </c>
      <c r="B78" t="inlineStr">
        <is>
          <t>Joseph Brown</t>
        </is>
      </c>
      <c r="C78" t="inlineStr">
        <is>
          <t>Derwentside CC</t>
        </is>
      </c>
      <c r="D78" t="inlineStr">
        <is>
          <t>62</t>
        </is>
      </c>
      <c r="E78">
        <f>HYPERLINK("https://www.britishcycling.org.uk/points?person_id=771165&amp;year=2022&amp;type=national&amp;d=6","Results")</f>
        <v/>
      </c>
    </row>
    <row r="79">
      <c r="A79" t="inlineStr">
        <is>
          <t>78</t>
        </is>
      </c>
      <c r="B79" t="inlineStr">
        <is>
          <t>Osian Rowe</t>
        </is>
      </c>
      <c r="C79" t="inlineStr">
        <is>
          <t>Maindy Flyers CC</t>
        </is>
      </c>
      <c r="D79" t="inlineStr">
        <is>
          <t>61</t>
        </is>
      </c>
      <c r="E79">
        <f>HYPERLINK("https://www.britishcycling.org.uk/points?person_id=902985&amp;year=2022&amp;type=national&amp;d=6","Results")</f>
        <v/>
      </c>
    </row>
    <row r="80">
      <c r="A80" t="inlineStr">
        <is>
          <t>79</t>
        </is>
      </c>
      <c r="B80" t="inlineStr">
        <is>
          <t>Malakhi Bailey</t>
        </is>
      </c>
      <c r="C80" t="inlineStr">
        <is>
          <t>Halesowen A &amp; CC</t>
        </is>
      </c>
      <c r="D80" t="inlineStr">
        <is>
          <t>59</t>
        </is>
      </c>
      <c r="E80">
        <f>HYPERLINK("https://www.britishcycling.org.uk/points?person_id=897149&amp;year=2022&amp;type=national&amp;d=6","Results")</f>
        <v/>
      </c>
    </row>
    <row r="81">
      <c r="A81" t="inlineStr">
        <is>
          <t>80</t>
        </is>
      </c>
      <c r="B81" t="inlineStr">
        <is>
          <t>Harry Cooper</t>
        </is>
      </c>
      <c r="C81" t="inlineStr">
        <is>
          <t>Palmer Park Velo RT</t>
        </is>
      </c>
      <c r="D81" t="inlineStr">
        <is>
          <t>58</t>
        </is>
      </c>
      <c r="E81">
        <f>HYPERLINK("https://www.britishcycling.org.uk/points?person_id=824636&amp;year=2022&amp;type=national&amp;d=6","Results")</f>
        <v/>
      </c>
    </row>
    <row r="82">
      <c r="A82" t="inlineStr">
        <is>
          <t>81</t>
        </is>
      </c>
      <c r="B82" t="inlineStr">
        <is>
          <t>Daniel Branford</t>
        </is>
      </c>
      <c r="C82" t="inlineStr">
        <is>
          <t>Poole Wheelers CC</t>
        </is>
      </c>
      <c r="D82" t="inlineStr">
        <is>
          <t>57</t>
        </is>
      </c>
      <c r="E82">
        <f>HYPERLINK("https://www.britishcycling.org.uk/points?person_id=684859&amp;year=2022&amp;type=national&amp;d=6","Results")</f>
        <v/>
      </c>
    </row>
    <row r="83">
      <c r="A83" t="inlineStr">
        <is>
          <t>82</t>
        </is>
      </c>
      <c r="B83" t="inlineStr">
        <is>
          <t>Edward Graves</t>
        </is>
      </c>
      <c r="C83" t="inlineStr">
        <is>
          <t>Club Cyclopark</t>
        </is>
      </c>
      <c r="D83" t="inlineStr">
        <is>
          <t>56</t>
        </is>
      </c>
      <c r="E83">
        <f>HYPERLINK("https://www.britishcycling.org.uk/points?person_id=862226&amp;year=2022&amp;type=national&amp;d=6","Results")</f>
        <v/>
      </c>
    </row>
    <row r="84">
      <c r="A84" t="inlineStr">
        <is>
          <t>83</t>
        </is>
      </c>
      <c r="B84" t="inlineStr">
        <is>
          <t>Finley Staunton</t>
        </is>
      </c>
      <c r="C84" t="inlineStr">
        <is>
          <t>Sprockets Cycle Club</t>
        </is>
      </c>
      <c r="D84" t="inlineStr">
        <is>
          <t>56</t>
        </is>
      </c>
      <c r="E84">
        <f>HYPERLINK("https://www.britishcycling.org.uk/points?person_id=883750&amp;year=2022&amp;type=national&amp;d=6","Results")</f>
        <v/>
      </c>
    </row>
    <row r="85">
      <c r="A85" t="inlineStr">
        <is>
          <t>84</t>
        </is>
      </c>
      <c r="B85" t="inlineStr">
        <is>
          <t>Harvey Woodroffe</t>
        </is>
      </c>
      <c r="C85" t="inlineStr">
        <is>
          <t>Ely &amp; District CC</t>
        </is>
      </c>
      <c r="D85" t="inlineStr">
        <is>
          <t>56</t>
        </is>
      </c>
      <c r="E85">
        <f>HYPERLINK("https://www.britishcycling.org.uk/points?person_id=956719&amp;year=2022&amp;type=national&amp;d=6","Results")</f>
        <v/>
      </c>
    </row>
    <row r="86">
      <c r="A86" t="inlineStr">
        <is>
          <t>85</t>
        </is>
      </c>
      <c r="B86" t="inlineStr">
        <is>
          <t>Ellis Geall</t>
        </is>
      </c>
      <c r="C86" t="inlineStr">
        <is>
          <t>Shibden Cycling Club</t>
        </is>
      </c>
      <c r="D86" t="inlineStr">
        <is>
          <t>55</t>
        </is>
      </c>
      <c r="E86">
        <f>HYPERLINK("https://www.britishcycling.org.uk/points?person_id=558956&amp;year=2022&amp;type=national&amp;d=6","Results")</f>
        <v/>
      </c>
    </row>
    <row r="87">
      <c r="A87" t="inlineStr">
        <is>
          <t>86</t>
        </is>
      </c>
      <c r="B87" t="inlineStr">
        <is>
          <t>Joseph Taylor</t>
        </is>
      </c>
      <c r="C87" t="inlineStr">
        <is>
          <t>Derby Mercury RC</t>
        </is>
      </c>
      <c r="D87" t="inlineStr">
        <is>
          <t>53</t>
        </is>
      </c>
      <c r="E87">
        <f>HYPERLINK("https://www.britishcycling.org.uk/points?person_id=838959&amp;year=2022&amp;type=national&amp;d=6","Results")</f>
        <v/>
      </c>
    </row>
    <row r="88">
      <c r="A88" t="inlineStr">
        <is>
          <t>87</t>
        </is>
      </c>
      <c r="B88" t="inlineStr">
        <is>
          <t>Joel Gillan</t>
        </is>
      </c>
      <c r="C88" t="inlineStr"/>
      <c r="D88" t="inlineStr">
        <is>
          <t>52</t>
        </is>
      </c>
      <c r="E88">
        <f>HYPERLINK("https://www.britishcycling.org.uk/points?person_id=1030066&amp;year=2022&amp;type=national&amp;d=6","Results")</f>
        <v/>
      </c>
    </row>
    <row r="89">
      <c r="A89" t="inlineStr">
        <is>
          <t>88</t>
        </is>
      </c>
      <c r="B89" t="inlineStr">
        <is>
          <t>Oliver Stenhouse</t>
        </is>
      </c>
      <c r="C89" t="inlineStr">
        <is>
          <t>Charnwood Cycling Club</t>
        </is>
      </c>
      <c r="D89" t="inlineStr">
        <is>
          <t>52</t>
        </is>
      </c>
      <c r="E89">
        <f>HYPERLINK("https://www.britishcycling.org.uk/points?person_id=672843&amp;year=2022&amp;type=national&amp;d=6","Results")</f>
        <v/>
      </c>
    </row>
    <row r="90">
      <c r="A90" t="inlineStr">
        <is>
          <t>89</t>
        </is>
      </c>
      <c r="B90" t="inlineStr">
        <is>
          <t>Ethan Lulham</t>
        </is>
      </c>
      <c r="C90" t="inlineStr"/>
      <c r="D90" t="inlineStr">
        <is>
          <t>51</t>
        </is>
      </c>
      <c r="E90">
        <f>HYPERLINK("https://www.britishcycling.org.uk/points?person_id=996033&amp;year=2022&amp;type=national&amp;d=6","Results")</f>
        <v/>
      </c>
    </row>
    <row r="91">
      <c r="A91" t="inlineStr">
        <is>
          <t>90</t>
        </is>
      </c>
      <c r="B91" t="inlineStr">
        <is>
          <t>Timothée Gay</t>
        </is>
      </c>
      <c r="C91" t="inlineStr"/>
      <c r="D91" t="inlineStr">
        <is>
          <t>50</t>
        </is>
      </c>
      <c r="E91">
        <f>HYPERLINK("https://www.britishcycling.org.uk/points?person_id=1086685&amp;year=2022&amp;type=national&amp;d=6","Results")</f>
        <v/>
      </c>
    </row>
    <row r="92">
      <c r="A92" t="inlineStr">
        <is>
          <t>91</t>
        </is>
      </c>
      <c r="B92" t="inlineStr">
        <is>
          <t>Freddie Day</t>
        </is>
      </c>
      <c r="C92" t="inlineStr">
        <is>
          <t>Dartmoor Velo</t>
        </is>
      </c>
      <c r="D92" t="inlineStr">
        <is>
          <t>49</t>
        </is>
      </c>
      <c r="E92">
        <f>HYPERLINK("https://www.britishcycling.org.uk/points?person_id=842231&amp;year=2022&amp;type=national&amp;d=6","Results")</f>
        <v/>
      </c>
    </row>
    <row r="93">
      <c r="A93" t="inlineStr">
        <is>
          <t>92</t>
        </is>
      </c>
      <c r="B93" t="inlineStr">
        <is>
          <t>Finley Cummins</t>
        </is>
      </c>
      <c r="C93" t="inlineStr">
        <is>
          <t>Sulis Scorpions Youth CC</t>
        </is>
      </c>
      <c r="D93" t="inlineStr">
        <is>
          <t>48</t>
        </is>
      </c>
      <c r="E93">
        <f>HYPERLINK("https://www.britishcycling.org.uk/points?person_id=939263&amp;year=2022&amp;type=national&amp;d=6","Results")</f>
        <v/>
      </c>
    </row>
    <row r="94">
      <c r="A94" t="inlineStr">
        <is>
          <t>93</t>
        </is>
      </c>
      <c r="B94" t="inlineStr">
        <is>
          <t>Sam Oldham</t>
        </is>
      </c>
      <c r="C94" t="inlineStr">
        <is>
          <t>Salt Ayre Cog Set</t>
        </is>
      </c>
      <c r="D94" t="inlineStr">
        <is>
          <t>45</t>
        </is>
      </c>
      <c r="E94">
        <f>HYPERLINK("https://www.britishcycling.org.uk/points?person_id=578721&amp;year=2022&amp;type=national&amp;d=6","Results")</f>
        <v/>
      </c>
    </row>
    <row r="95">
      <c r="A95" t="inlineStr">
        <is>
          <t>94</t>
        </is>
      </c>
      <c r="B95" t="inlineStr">
        <is>
          <t>Olly Smith</t>
        </is>
      </c>
      <c r="C95" t="inlineStr">
        <is>
          <t>ROTOR Race Team</t>
        </is>
      </c>
      <c r="D95" t="inlineStr">
        <is>
          <t>45</t>
        </is>
      </c>
      <c r="E95">
        <f>HYPERLINK("https://www.britishcycling.org.uk/points?person_id=1037961&amp;year=2022&amp;type=national&amp;d=6","Results")</f>
        <v/>
      </c>
    </row>
    <row r="96">
      <c r="A96" t="inlineStr">
        <is>
          <t>95</t>
        </is>
      </c>
      <c r="B96" t="inlineStr">
        <is>
          <t>Corin Bradley</t>
        </is>
      </c>
      <c r="C96" t="inlineStr">
        <is>
          <t>Lichfield City CC</t>
        </is>
      </c>
      <c r="D96" t="inlineStr">
        <is>
          <t>44</t>
        </is>
      </c>
      <c r="E96">
        <f>HYPERLINK("https://www.britishcycling.org.uk/points?person_id=294192&amp;year=2022&amp;type=national&amp;d=6","Results")</f>
        <v/>
      </c>
    </row>
    <row r="97">
      <c r="A97" t="inlineStr">
        <is>
          <t>96</t>
        </is>
      </c>
      <c r="B97" t="inlineStr">
        <is>
          <t>Arran Drackford</t>
        </is>
      </c>
      <c r="C97" t="inlineStr">
        <is>
          <t>Falkirk Junior Bike Club</t>
        </is>
      </c>
      <c r="D97" t="inlineStr">
        <is>
          <t>44</t>
        </is>
      </c>
      <c r="E97">
        <f>HYPERLINK("https://www.britishcycling.org.uk/points?person_id=837780&amp;year=2022&amp;type=national&amp;d=6","Results")</f>
        <v/>
      </c>
    </row>
    <row r="98">
      <c r="A98" t="inlineStr">
        <is>
          <t>97</t>
        </is>
      </c>
      <c r="B98" t="inlineStr">
        <is>
          <t>Lewis McAusland</t>
        </is>
      </c>
      <c r="C98" t="inlineStr">
        <is>
          <t>Falkirk Junior Bike Club</t>
        </is>
      </c>
      <c r="D98" t="inlineStr">
        <is>
          <t>44</t>
        </is>
      </c>
      <c r="E98">
        <f>HYPERLINK("https://www.britishcycling.org.uk/points?person_id=772390&amp;year=2022&amp;type=national&amp;d=6","Results")</f>
        <v/>
      </c>
    </row>
    <row r="99">
      <c r="A99" t="inlineStr">
        <is>
          <t>98</t>
        </is>
      </c>
      <c r="B99" t="inlineStr">
        <is>
          <t>Pasco Reynolds</t>
        </is>
      </c>
      <c r="C99" t="inlineStr">
        <is>
          <t>Matlock CC</t>
        </is>
      </c>
      <c r="D99" t="inlineStr">
        <is>
          <t>44</t>
        </is>
      </c>
      <c r="E99">
        <f>HYPERLINK("https://www.britishcycling.org.uk/points?person_id=630957&amp;year=2022&amp;type=national&amp;d=6","Results")</f>
        <v/>
      </c>
    </row>
    <row r="100">
      <c r="A100" t="inlineStr">
        <is>
          <t>99</t>
        </is>
      </c>
      <c r="B100" t="inlineStr">
        <is>
          <t>Charles Forrester</t>
        </is>
      </c>
      <c r="C100" t="inlineStr">
        <is>
          <t>www.Zepnat.com RT - Lazer helmets</t>
        </is>
      </c>
      <c r="D100" t="inlineStr">
        <is>
          <t>43</t>
        </is>
      </c>
      <c r="E100">
        <f>HYPERLINK("https://www.britishcycling.org.uk/points?person_id=176492&amp;year=2022&amp;type=national&amp;d=6","Results")</f>
        <v/>
      </c>
    </row>
    <row r="101">
      <c r="A101" t="inlineStr">
        <is>
          <t>100</t>
        </is>
      </c>
      <c r="B101" t="inlineStr">
        <is>
          <t>Ben Pollard</t>
        </is>
      </c>
      <c r="C101" t="inlineStr">
        <is>
          <t>Welwyn Wheelers CC</t>
        </is>
      </c>
      <c r="D101" t="inlineStr">
        <is>
          <t>42</t>
        </is>
      </c>
      <c r="E101">
        <f>HYPERLINK("https://www.britishcycling.org.uk/points?person_id=1033040&amp;year=2022&amp;type=national&amp;d=6","Results")</f>
        <v/>
      </c>
    </row>
    <row r="102">
      <c r="A102" t="inlineStr">
        <is>
          <t>101</t>
        </is>
      </c>
      <c r="B102" t="inlineStr">
        <is>
          <t>Jack Barden-Beatty</t>
        </is>
      </c>
      <c r="C102" t="inlineStr">
        <is>
          <t>Lee Valley Youth Cycling Club</t>
        </is>
      </c>
      <c r="D102" t="inlineStr">
        <is>
          <t>41</t>
        </is>
      </c>
      <c r="E102">
        <f>HYPERLINK("https://www.britishcycling.org.uk/points?person_id=561318&amp;year=2022&amp;type=national&amp;d=6","Results")</f>
        <v/>
      </c>
    </row>
    <row r="103">
      <c r="A103" t="inlineStr">
        <is>
          <t>102</t>
        </is>
      </c>
      <c r="B103" t="inlineStr">
        <is>
          <t>James Earl</t>
        </is>
      </c>
      <c r="C103" t="inlineStr">
        <is>
          <t>Hillingdon Slipstreamers</t>
        </is>
      </c>
      <c r="D103" t="inlineStr">
        <is>
          <t>41</t>
        </is>
      </c>
      <c r="E103">
        <f>HYPERLINK("https://www.britishcycling.org.uk/points?person_id=899559&amp;year=2022&amp;type=national&amp;d=6","Results")</f>
        <v/>
      </c>
    </row>
    <row r="104">
      <c r="A104" t="inlineStr">
        <is>
          <t>103</t>
        </is>
      </c>
      <c r="B104" t="inlineStr">
        <is>
          <t>Ezra Bateman</t>
        </is>
      </c>
      <c r="C104" t="inlineStr">
        <is>
          <t>Clifton CC</t>
        </is>
      </c>
      <c r="D104" t="inlineStr">
        <is>
          <t>40</t>
        </is>
      </c>
      <c r="E104">
        <f>HYPERLINK("https://www.britishcycling.org.uk/points?person_id=374883&amp;year=2022&amp;type=national&amp;d=6","Results")</f>
        <v/>
      </c>
    </row>
    <row r="105">
      <c r="A105" t="inlineStr">
        <is>
          <t>104</t>
        </is>
      </c>
      <c r="B105" t="inlineStr">
        <is>
          <t>Oliver Goodman</t>
        </is>
      </c>
      <c r="C105" t="inlineStr">
        <is>
          <t>Southborough &amp; District Whls</t>
        </is>
      </c>
      <c r="D105" t="inlineStr">
        <is>
          <t>37</t>
        </is>
      </c>
      <c r="E105">
        <f>HYPERLINK("https://www.britishcycling.org.uk/points?person_id=860908&amp;year=2022&amp;type=national&amp;d=6","Results")</f>
        <v/>
      </c>
    </row>
    <row r="106">
      <c r="A106" t="inlineStr">
        <is>
          <t>105</t>
        </is>
      </c>
      <c r="B106" t="inlineStr">
        <is>
          <t>Freddie Farr</t>
        </is>
      </c>
      <c r="C106" t="inlineStr">
        <is>
          <t>Matlock CC</t>
        </is>
      </c>
      <c r="D106" t="inlineStr">
        <is>
          <t>36</t>
        </is>
      </c>
      <c r="E106">
        <f>HYPERLINK("https://www.britishcycling.org.uk/points?person_id=732041&amp;year=2022&amp;type=national&amp;d=6","Results")</f>
        <v/>
      </c>
    </row>
    <row r="107">
      <c r="A107" t="inlineStr">
        <is>
          <t>106</t>
        </is>
      </c>
      <c r="B107" t="inlineStr">
        <is>
          <t>Aidan Plail</t>
        </is>
      </c>
      <c r="C107" t="inlineStr">
        <is>
          <t>Bigfoot Youth Cycle Club Ltd</t>
        </is>
      </c>
      <c r="D107" t="inlineStr">
        <is>
          <t>36</t>
        </is>
      </c>
      <c r="E107">
        <f>HYPERLINK("https://www.britishcycling.org.uk/points?person_id=568295&amp;year=2022&amp;type=national&amp;d=6","Results")</f>
        <v/>
      </c>
    </row>
    <row r="108">
      <c r="A108" t="inlineStr">
        <is>
          <t>107</t>
        </is>
      </c>
      <c r="B108" t="inlineStr">
        <is>
          <t>Oliver Riches</t>
        </is>
      </c>
      <c r="C108" t="inlineStr"/>
      <c r="D108" t="inlineStr">
        <is>
          <t>36</t>
        </is>
      </c>
      <c r="E108">
        <f>HYPERLINK("https://www.britishcycling.org.uk/points?person_id=969735&amp;year=2022&amp;type=national&amp;d=6","Results")</f>
        <v/>
      </c>
    </row>
    <row r="109">
      <c r="A109" t="inlineStr">
        <is>
          <t>108</t>
        </is>
      </c>
      <c r="B109" t="inlineStr">
        <is>
          <t>Toby Gaul</t>
        </is>
      </c>
      <c r="C109" t="inlineStr"/>
      <c r="D109" t="inlineStr">
        <is>
          <t>35</t>
        </is>
      </c>
      <c r="E109">
        <f>HYPERLINK("https://www.britishcycling.org.uk/points?person_id=330145&amp;year=2022&amp;type=national&amp;d=6","Results")</f>
        <v/>
      </c>
    </row>
    <row r="110">
      <c r="A110" t="inlineStr">
        <is>
          <t>109</t>
        </is>
      </c>
      <c r="B110" t="inlineStr">
        <is>
          <t>Sebastian Blackburn</t>
        </is>
      </c>
      <c r="C110" t="inlineStr">
        <is>
          <t>Deeside Thistle CC</t>
        </is>
      </c>
      <c r="D110" t="inlineStr">
        <is>
          <t>34</t>
        </is>
      </c>
      <c r="E110">
        <f>HYPERLINK("https://www.britishcycling.org.uk/points?person_id=690855&amp;year=2022&amp;type=national&amp;d=6","Results")</f>
        <v/>
      </c>
    </row>
    <row r="111">
      <c r="A111" t="inlineStr">
        <is>
          <t>110</t>
        </is>
      </c>
      <c r="B111" t="inlineStr">
        <is>
          <t>Meuryn Rees</t>
        </is>
      </c>
      <c r="C111" t="inlineStr">
        <is>
          <t>The Bulls</t>
        </is>
      </c>
      <c r="D111" t="inlineStr">
        <is>
          <t>34</t>
        </is>
      </c>
      <c r="E111">
        <f>HYPERLINK("https://www.britishcycling.org.uk/points?person_id=563529&amp;year=2022&amp;type=national&amp;d=6","Results")</f>
        <v/>
      </c>
    </row>
    <row r="112">
      <c r="A112" t="inlineStr">
        <is>
          <t>111</t>
        </is>
      </c>
      <c r="B112" t="inlineStr">
        <is>
          <t>Zavier Cleathero</t>
        </is>
      </c>
      <c r="C112" t="inlineStr">
        <is>
          <t>Derwentside CC</t>
        </is>
      </c>
      <c r="D112" t="inlineStr">
        <is>
          <t>33</t>
        </is>
      </c>
      <c r="E112">
        <f>HYPERLINK("https://www.britishcycling.org.uk/points?person_id=265371&amp;year=2022&amp;type=national&amp;d=6","Results")</f>
        <v/>
      </c>
    </row>
    <row r="113">
      <c r="A113" t="inlineStr">
        <is>
          <t>112</t>
        </is>
      </c>
      <c r="B113" t="inlineStr">
        <is>
          <t>Brodie Johnson</t>
        </is>
      </c>
      <c r="C113" t="inlineStr">
        <is>
          <t>Beeston RC</t>
        </is>
      </c>
      <c r="D113" t="inlineStr">
        <is>
          <t>32</t>
        </is>
      </c>
      <c r="E113">
        <f>HYPERLINK("https://www.britishcycling.org.uk/points?person_id=1017715&amp;year=2022&amp;type=national&amp;d=6","Results")</f>
        <v/>
      </c>
    </row>
    <row r="114">
      <c r="A114" t="inlineStr">
        <is>
          <t>113</t>
        </is>
      </c>
      <c r="B114" t="inlineStr">
        <is>
          <t>Benjamin Taylor</t>
        </is>
      </c>
      <c r="C114" t="inlineStr">
        <is>
          <t>Sheffield Youth Cycling Club</t>
        </is>
      </c>
      <c r="D114" t="inlineStr">
        <is>
          <t>32</t>
        </is>
      </c>
      <c r="E114">
        <f>HYPERLINK("https://www.britishcycling.org.uk/points?person_id=581724&amp;year=2022&amp;type=national&amp;d=6","Results")</f>
        <v/>
      </c>
    </row>
    <row r="115">
      <c r="A115" t="inlineStr">
        <is>
          <t>114</t>
        </is>
      </c>
      <c r="B115" t="inlineStr">
        <is>
          <t>Oliver Paterson</t>
        </is>
      </c>
      <c r="C115" t="inlineStr">
        <is>
          <t>West Lothian Clarion CC</t>
        </is>
      </c>
      <c r="D115" t="inlineStr">
        <is>
          <t>31</t>
        </is>
      </c>
      <c r="E115">
        <f>HYPERLINK("https://www.britishcycling.org.uk/points?person_id=1035635&amp;year=2022&amp;type=national&amp;d=6","Results")</f>
        <v/>
      </c>
    </row>
    <row r="116">
      <c r="A116" t="inlineStr">
        <is>
          <t>115</t>
        </is>
      </c>
      <c r="B116" t="inlineStr">
        <is>
          <t>Nathaniel Lemanski</t>
        </is>
      </c>
      <c r="C116" t="inlineStr">
        <is>
          <t>Lee Valley Youth Cycling Club</t>
        </is>
      </c>
      <c r="D116" t="inlineStr">
        <is>
          <t>30</t>
        </is>
      </c>
      <c r="E116">
        <f>HYPERLINK("https://www.britishcycling.org.uk/points?person_id=617189&amp;year=2022&amp;type=national&amp;d=6","Results")</f>
        <v/>
      </c>
    </row>
    <row r="117">
      <c r="A117" t="inlineStr">
        <is>
          <t>116</t>
        </is>
      </c>
      <c r="B117" t="inlineStr">
        <is>
          <t>Ben Bramford-Hale</t>
        </is>
      </c>
      <c r="C117" t="inlineStr">
        <is>
          <t>Newport Shropshire CC</t>
        </is>
      </c>
      <c r="D117" t="inlineStr">
        <is>
          <t>29</t>
        </is>
      </c>
      <c r="E117">
        <f>HYPERLINK("https://www.britishcycling.org.uk/points?person_id=383153&amp;year=2022&amp;type=national&amp;d=6","Results")</f>
        <v/>
      </c>
    </row>
    <row r="118">
      <c r="A118" t="inlineStr">
        <is>
          <t>117</t>
        </is>
      </c>
      <c r="B118" t="inlineStr">
        <is>
          <t>Luke Fletcher</t>
        </is>
      </c>
      <c r="C118" t="inlineStr">
        <is>
          <t>4T+ Cyclopark</t>
        </is>
      </c>
      <c r="D118" t="inlineStr">
        <is>
          <t>29</t>
        </is>
      </c>
      <c r="E118">
        <f>HYPERLINK("https://www.britishcycling.org.uk/points?person_id=1014847&amp;year=2022&amp;type=national&amp;d=6","Results")</f>
        <v/>
      </c>
    </row>
    <row r="119">
      <c r="A119" t="inlineStr">
        <is>
          <t>118</t>
        </is>
      </c>
      <c r="B119" t="inlineStr">
        <is>
          <t>Gregory Read</t>
        </is>
      </c>
      <c r="C119" t="inlineStr">
        <is>
          <t>Nottingham Clarion CC</t>
        </is>
      </c>
      <c r="D119" t="inlineStr">
        <is>
          <t>28</t>
        </is>
      </c>
      <c r="E119">
        <f>HYPERLINK("https://www.britishcycling.org.uk/points?person_id=812964&amp;year=2022&amp;type=national&amp;d=6","Results")</f>
        <v/>
      </c>
    </row>
    <row r="120">
      <c r="A120" t="inlineStr">
        <is>
          <t>119</t>
        </is>
      </c>
      <c r="B120" t="inlineStr">
        <is>
          <t>Talan Jones</t>
        </is>
      </c>
      <c r="C120" t="inlineStr">
        <is>
          <t>Maindy Flyers CC</t>
        </is>
      </c>
      <c r="D120" t="inlineStr">
        <is>
          <t>26</t>
        </is>
      </c>
      <c r="E120">
        <f>HYPERLINK("https://www.britishcycling.org.uk/points?person_id=555128&amp;year=2022&amp;type=national&amp;d=6","Results")</f>
        <v/>
      </c>
    </row>
    <row r="121">
      <c r="A121" t="inlineStr">
        <is>
          <t>120</t>
        </is>
      </c>
      <c r="B121" t="inlineStr">
        <is>
          <t>Thomas Nabb</t>
        </is>
      </c>
      <c r="C121" t="inlineStr">
        <is>
          <t>Ilkley Cycling Club</t>
        </is>
      </c>
      <c r="D121" t="inlineStr">
        <is>
          <t>26</t>
        </is>
      </c>
      <c r="E121">
        <f>HYPERLINK("https://www.britishcycling.org.uk/points?person_id=565317&amp;year=2022&amp;type=national&amp;d=6","Results")</f>
        <v/>
      </c>
    </row>
    <row r="122">
      <c r="A122" t="inlineStr">
        <is>
          <t>121</t>
        </is>
      </c>
      <c r="B122" t="inlineStr">
        <is>
          <t>Aaron Pittson</t>
        </is>
      </c>
      <c r="C122" t="inlineStr">
        <is>
          <t>Hadleigh Cycling Club</t>
        </is>
      </c>
      <c r="D122" t="inlineStr">
        <is>
          <t>26</t>
        </is>
      </c>
      <c r="E122">
        <f>HYPERLINK("https://www.britishcycling.org.uk/points?person_id=861764&amp;year=2022&amp;type=national&amp;d=6","Results")</f>
        <v/>
      </c>
    </row>
    <row r="123">
      <c r="A123" t="inlineStr">
        <is>
          <t>122</t>
        </is>
      </c>
      <c r="B123" t="inlineStr">
        <is>
          <t>Stanley Russell</t>
        </is>
      </c>
      <c r="C123" t="inlineStr">
        <is>
          <t>Newark Castle CC</t>
        </is>
      </c>
      <c r="D123" t="inlineStr">
        <is>
          <t>25</t>
        </is>
      </c>
      <c r="E123">
        <f>HYPERLINK("https://www.britishcycling.org.uk/points?person_id=1027791&amp;year=2022&amp;type=national&amp;d=6","Results")</f>
        <v/>
      </c>
    </row>
    <row r="124">
      <c r="A124" t="inlineStr">
        <is>
          <t>123</t>
        </is>
      </c>
      <c r="B124" t="inlineStr">
        <is>
          <t>Steffan King</t>
        </is>
      </c>
      <c r="C124" t="inlineStr">
        <is>
          <t>Maindy Flyers CC</t>
        </is>
      </c>
      <c r="D124" t="inlineStr">
        <is>
          <t>24</t>
        </is>
      </c>
      <c r="E124">
        <f>HYPERLINK("https://www.britishcycling.org.uk/points?person_id=540166&amp;year=2022&amp;type=national&amp;d=6","Results")</f>
        <v/>
      </c>
    </row>
    <row r="125">
      <c r="A125" t="inlineStr">
        <is>
          <t>124</t>
        </is>
      </c>
      <c r="B125" t="inlineStr">
        <is>
          <t>Stanley  Phillips</t>
        </is>
      </c>
      <c r="C125" t="inlineStr">
        <is>
          <t>Sotonia CC</t>
        </is>
      </c>
      <c r="D125" t="inlineStr">
        <is>
          <t>24</t>
        </is>
      </c>
      <c r="E125">
        <f>HYPERLINK("https://www.britishcycling.org.uk/points?person_id=774820&amp;year=2022&amp;type=national&amp;d=6","Results")</f>
        <v/>
      </c>
    </row>
    <row r="126">
      <c r="A126" t="inlineStr">
        <is>
          <t>125</t>
        </is>
      </c>
      <c r="B126" t="inlineStr">
        <is>
          <t>Logan Anderson</t>
        </is>
      </c>
      <c r="C126" t="inlineStr">
        <is>
          <t>Ross-Shire RCC</t>
        </is>
      </c>
      <c r="D126" t="inlineStr">
        <is>
          <t>23</t>
        </is>
      </c>
      <c r="E126">
        <f>HYPERLINK("https://www.britishcycling.org.uk/points?person_id=1027310&amp;year=2022&amp;type=national&amp;d=6","Results")</f>
        <v/>
      </c>
    </row>
    <row r="127">
      <c r="A127" t="inlineStr">
        <is>
          <t>126</t>
        </is>
      </c>
      <c r="B127" t="inlineStr">
        <is>
          <t>Christopher Campos</t>
        </is>
      </c>
      <c r="C127" t="inlineStr">
        <is>
          <t>VC Londres</t>
        </is>
      </c>
      <c r="D127" t="inlineStr">
        <is>
          <t>23</t>
        </is>
      </c>
      <c r="E127">
        <f>HYPERLINK("https://www.britishcycling.org.uk/points?person_id=745707&amp;year=2022&amp;type=national&amp;d=6","Results")</f>
        <v/>
      </c>
    </row>
    <row r="128">
      <c r="A128" t="inlineStr">
        <is>
          <t>127</t>
        </is>
      </c>
      <c r="B128" t="inlineStr">
        <is>
          <t>Samuel Gray</t>
        </is>
      </c>
      <c r="C128" t="inlineStr">
        <is>
          <t>Mid Devon CC</t>
        </is>
      </c>
      <c r="D128" t="inlineStr">
        <is>
          <t>23</t>
        </is>
      </c>
      <c r="E128">
        <f>HYPERLINK("https://www.britishcycling.org.uk/points?person_id=1033423&amp;year=2022&amp;type=national&amp;d=6","Results")</f>
        <v/>
      </c>
    </row>
    <row r="129">
      <c r="A129" t="inlineStr">
        <is>
          <t>128</t>
        </is>
      </c>
      <c r="B129" t="inlineStr">
        <is>
          <t>William McEwan</t>
        </is>
      </c>
      <c r="C129" t="inlineStr">
        <is>
          <t>NSP Cycling Team</t>
        </is>
      </c>
      <c r="D129" t="inlineStr">
        <is>
          <t>23</t>
        </is>
      </c>
      <c r="E129">
        <f>HYPERLINK("https://www.britishcycling.org.uk/points?person_id=946978&amp;year=2022&amp;type=national&amp;d=6","Results")</f>
        <v/>
      </c>
    </row>
    <row r="130">
      <c r="A130" t="inlineStr">
        <is>
          <t>129</t>
        </is>
      </c>
      <c r="B130" t="inlineStr">
        <is>
          <t>Theo Mcfadden</t>
        </is>
      </c>
      <c r="C130" t="inlineStr">
        <is>
          <t>East Bradford CC</t>
        </is>
      </c>
      <c r="D130" t="inlineStr">
        <is>
          <t>23</t>
        </is>
      </c>
      <c r="E130">
        <f>HYPERLINK("https://www.britishcycling.org.uk/points?person_id=600125&amp;year=2022&amp;type=national&amp;d=6","Results")</f>
        <v/>
      </c>
    </row>
    <row r="131">
      <c r="A131" t="inlineStr">
        <is>
          <t>130</t>
        </is>
      </c>
      <c r="B131" t="inlineStr">
        <is>
          <t>Thomas Smith</t>
        </is>
      </c>
      <c r="C131" t="inlineStr">
        <is>
          <t>Clifton CC</t>
        </is>
      </c>
      <c r="D131" t="inlineStr">
        <is>
          <t>23</t>
        </is>
      </c>
      <c r="E131">
        <f>HYPERLINK("https://www.britishcycling.org.uk/points?person_id=651939&amp;year=2022&amp;type=national&amp;d=6","Results")</f>
        <v/>
      </c>
    </row>
    <row r="132">
      <c r="A132" t="inlineStr">
        <is>
          <t>131</t>
        </is>
      </c>
      <c r="B132" t="inlineStr">
        <is>
          <t>Tom Oxley</t>
        </is>
      </c>
      <c r="C132" t="inlineStr">
        <is>
          <t>Mid Shropshire Wheelers</t>
        </is>
      </c>
      <c r="D132" t="inlineStr">
        <is>
          <t>22</t>
        </is>
      </c>
      <c r="E132">
        <f>HYPERLINK("https://www.britishcycling.org.uk/points?person_id=910505&amp;year=2022&amp;type=national&amp;d=6","Results")</f>
        <v/>
      </c>
    </row>
    <row r="133">
      <c r="A133" t="inlineStr">
        <is>
          <t>132</t>
        </is>
      </c>
      <c r="B133" t="inlineStr">
        <is>
          <t>Reuben Baker</t>
        </is>
      </c>
      <c r="C133" t="inlineStr">
        <is>
          <t>Banbury Star CC</t>
        </is>
      </c>
      <c r="D133" t="inlineStr">
        <is>
          <t>21</t>
        </is>
      </c>
      <c r="E133">
        <f>HYPERLINK("https://www.britishcycling.org.uk/points?person_id=1043349&amp;year=2022&amp;type=national&amp;d=6","Results")</f>
        <v/>
      </c>
    </row>
    <row r="134">
      <c r="A134" t="inlineStr">
        <is>
          <t>133</t>
        </is>
      </c>
      <c r="B134" t="inlineStr">
        <is>
          <t>Meryn Kitching</t>
        </is>
      </c>
      <c r="C134" t="inlineStr">
        <is>
          <t>Taunton Bike Club</t>
        </is>
      </c>
      <c r="D134" t="inlineStr">
        <is>
          <t>21</t>
        </is>
      </c>
      <c r="E134">
        <f>HYPERLINK("https://www.britishcycling.org.uk/points?person_id=642844&amp;year=2022&amp;type=national&amp;d=6","Results")</f>
        <v/>
      </c>
    </row>
    <row r="135">
      <c r="A135" t="inlineStr">
        <is>
          <t>134</t>
        </is>
      </c>
      <c r="B135" t="inlineStr">
        <is>
          <t>Joshua Lane</t>
        </is>
      </c>
      <c r="C135" t="inlineStr">
        <is>
          <t>Nottingham Clarion CC</t>
        </is>
      </c>
      <c r="D135" t="inlineStr">
        <is>
          <t>21</t>
        </is>
      </c>
      <c r="E135">
        <f>HYPERLINK("https://www.britishcycling.org.uk/points?person_id=735828&amp;year=2022&amp;type=national&amp;d=6","Results")</f>
        <v/>
      </c>
    </row>
    <row r="136">
      <c r="A136" t="inlineStr">
        <is>
          <t>135</t>
        </is>
      </c>
      <c r="B136" t="inlineStr">
        <is>
          <t>Will Hocking</t>
        </is>
      </c>
      <c r="C136" t="inlineStr">
        <is>
          <t>North Cheshire Clarion</t>
        </is>
      </c>
      <c r="D136" t="inlineStr">
        <is>
          <t>20</t>
        </is>
      </c>
      <c r="E136">
        <f>HYPERLINK("https://www.britishcycling.org.uk/points?person_id=937609&amp;year=2022&amp;type=national&amp;d=6","Results")</f>
        <v/>
      </c>
    </row>
    <row r="137">
      <c r="A137" t="inlineStr">
        <is>
          <t>136</t>
        </is>
      </c>
      <c r="B137" t="inlineStr">
        <is>
          <t>Ted Carey</t>
        </is>
      </c>
      <c r="C137" t="inlineStr">
        <is>
          <t>Harrogate Nova CC</t>
        </is>
      </c>
      <c r="D137" t="inlineStr">
        <is>
          <t>19</t>
        </is>
      </c>
      <c r="E137">
        <f>HYPERLINK("https://www.britishcycling.org.uk/points?person_id=951018&amp;year=2022&amp;type=national&amp;d=6","Results")</f>
        <v/>
      </c>
    </row>
    <row r="138">
      <c r="A138" t="inlineStr">
        <is>
          <t>137</t>
        </is>
      </c>
      <c r="B138" t="inlineStr">
        <is>
          <t>George Izzard</t>
        </is>
      </c>
      <c r="C138" t="inlineStr">
        <is>
          <t>Ilkeston Cycle Club</t>
        </is>
      </c>
      <c r="D138" t="inlineStr">
        <is>
          <t>19</t>
        </is>
      </c>
      <c r="E138">
        <f>HYPERLINK("https://www.britishcycling.org.uk/points?person_id=997361&amp;year=2022&amp;type=national&amp;d=6","Results")</f>
        <v/>
      </c>
    </row>
    <row r="139">
      <c r="A139" t="inlineStr">
        <is>
          <t>138</t>
        </is>
      </c>
      <c r="B139" t="inlineStr">
        <is>
          <t>Matthew Meadows</t>
        </is>
      </c>
      <c r="C139" t="inlineStr">
        <is>
          <t>Colchester Rovers CC</t>
        </is>
      </c>
      <c r="D139" t="inlineStr">
        <is>
          <t>19</t>
        </is>
      </c>
      <c r="E139">
        <f>HYPERLINK("https://www.britishcycling.org.uk/points?person_id=547423&amp;year=2022&amp;type=national&amp;d=6","Results")</f>
        <v/>
      </c>
    </row>
    <row r="140">
      <c r="A140" t="inlineStr">
        <is>
          <t>139</t>
        </is>
      </c>
      <c r="B140" t="inlineStr">
        <is>
          <t>Kasper Thomsen</t>
        </is>
      </c>
      <c r="C140" t="inlineStr"/>
      <c r="D140" t="inlineStr">
        <is>
          <t>19</t>
        </is>
      </c>
      <c r="E140">
        <f>HYPERLINK("https://www.britishcycling.org.uk/points?person_id=851585&amp;year=2022&amp;type=national&amp;d=6","Results")</f>
        <v/>
      </c>
    </row>
    <row r="141">
      <c r="A141" t="inlineStr">
        <is>
          <t>140</t>
        </is>
      </c>
      <c r="B141" t="inlineStr">
        <is>
          <t>Jake Jardine</t>
        </is>
      </c>
      <c r="C141" t="inlineStr">
        <is>
          <t>Falkirk Junior Bike Club</t>
        </is>
      </c>
      <c r="D141" t="inlineStr">
        <is>
          <t>18</t>
        </is>
      </c>
      <c r="E141">
        <f>HYPERLINK("https://www.britishcycling.org.uk/points?person_id=944313&amp;year=2022&amp;type=national&amp;d=6","Results")</f>
        <v/>
      </c>
    </row>
    <row r="142">
      <c r="A142" t="inlineStr">
        <is>
          <t>141</t>
        </is>
      </c>
      <c r="B142" t="inlineStr">
        <is>
          <t>Joel Kaye</t>
        </is>
      </c>
      <c r="C142" t="inlineStr">
        <is>
          <t>Welwyn Wheelers CC</t>
        </is>
      </c>
      <c r="D142" t="inlineStr">
        <is>
          <t>18</t>
        </is>
      </c>
      <c r="E142">
        <f>HYPERLINK("https://www.britishcycling.org.uk/points?person_id=847774&amp;year=2022&amp;type=national&amp;d=6","Results")</f>
        <v/>
      </c>
    </row>
    <row r="143">
      <c r="A143" t="inlineStr">
        <is>
          <t>142</t>
        </is>
      </c>
      <c r="B143" t="inlineStr">
        <is>
          <t>Sacha Morland</t>
        </is>
      </c>
      <c r="C143" t="inlineStr">
        <is>
          <t>Welwyn Wheelers CC</t>
        </is>
      </c>
      <c r="D143" t="inlineStr">
        <is>
          <t>18</t>
        </is>
      </c>
      <c r="E143">
        <f>HYPERLINK("https://www.britishcycling.org.uk/points?person_id=1030821&amp;year=2022&amp;type=national&amp;d=6","Results")</f>
        <v/>
      </c>
    </row>
    <row r="144">
      <c r="A144" t="inlineStr">
        <is>
          <t>143</t>
        </is>
      </c>
      <c r="B144" t="inlineStr">
        <is>
          <t>Franklin Morris</t>
        </is>
      </c>
      <c r="C144" t="inlineStr">
        <is>
          <t>Southborough &amp; District Whls</t>
        </is>
      </c>
      <c r="D144" t="inlineStr">
        <is>
          <t>18</t>
        </is>
      </c>
      <c r="E144">
        <f>HYPERLINK("https://www.britishcycling.org.uk/points?person_id=466971&amp;year=2022&amp;type=national&amp;d=6","Results")</f>
        <v/>
      </c>
    </row>
    <row r="145">
      <c r="A145" t="inlineStr">
        <is>
          <t>144</t>
        </is>
      </c>
      <c r="B145" t="inlineStr">
        <is>
          <t>William Phillips</t>
        </is>
      </c>
      <c r="C145" t="inlineStr">
        <is>
          <t>Sulis Scorpions Youth CC</t>
        </is>
      </c>
      <c r="D145" t="inlineStr">
        <is>
          <t>18</t>
        </is>
      </c>
      <c r="E145">
        <f>HYPERLINK("https://www.britishcycling.org.uk/points?person_id=729549&amp;year=2022&amp;type=national&amp;d=6","Results")</f>
        <v/>
      </c>
    </row>
    <row r="146">
      <c r="A146" t="inlineStr">
        <is>
          <t>145</t>
        </is>
      </c>
      <c r="B146" t="inlineStr">
        <is>
          <t>Wilfred Pugh</t>
        </is>
      </c>
      <c r="C146" t="inlineStr">
        <is>
          <t>Allen Valley Velo</t>
        </is>
      </c>
      <c r="D146" t="inlineStr">
        <is>
          <t>18</t>
        </is>
      </c>
      <c r="E146">
        <f>HYPERLINK("https://www.britishcycling.org.uk/points?person_id=1088675&amp;year=2022&amp;type=national&amp;d=6","Results")</f>
        <v/>
      </c>
    </row>
    <row r="147">
      <c r="A147" t="inlineStr">
        <is>
          <t>146</t>
        </is>
      </c>
      <c r="B147" t="inlineStr">
        <is>
          <t>Charlie Taylor</t>
        </is>
      </c>
      <c r="C147" t="inlineStr">
        <is>
          <t>Velo Club Lincoln</t>
        </is>
      </c>
      <c r="D147" t="inlineStr">
        <is>
          <t>18</t>
        </is>
      </c>
      <c r="E147">
        <f>HYPERLINK("https://www.britishcycling.org.uk/points?person_id=1083000&amp;year=2022&amp;type=national&amp;d=6","Results")</f>
        <v/>
      </c>
    </row>
    <row r="148">
      <c r="A148" t="inlineStr">
        <is>
          <t>147</t>
        </is>
      </c>
      <c r="B148" t="inlineStr">
        <is>
          <t>Myles Aston</t>
        </is>
      </c>
      <c r="C148" t="inlineStr">
        <is>
          <t>Solent Pirates</t>
        </is>
      </c>
      <c r="D148" t="inlineStr">
        <is>
          <t>17</t>
        </is>
      </c>
      <c r="E148">
        <f>HYPERLINK("https://www.britishcycling.org.uk/points?person_id=579373&amp;year=2022&amp;type=national&amp;d=6","Results")</f>
        <v/>
      </c>
    </row>
    <row r="149">
      <c r="A149" t="inlineStr">
        <is>
          <t>148</t>
        </is>
      </c>
      <c r="B149" t="inlineStr">
        <is>
          <t>Jake Davidson</t>
        </is>
      </c>
      <c r="C149" t="inlineStr">
        <is>
          <t>Manilla Cycling</t>
        </is>
      </c>
      <c r="D149" t="inlineStr">
        <is>
          <t>17</t>
        </is>
      </c>
      <c r="E149">
        <f>HYPERLINK("https://www.britishcycling.org.uk/points?person_id=823082&amp;year=2022&amp;type=national&amp;d=6","Results")</f>
        <v/>
      </c>
    </row>
    <row r="150">
      <c r="A150" t="inlineStr">
        <is>
          <t>149</t>
        </is>
      </c>
      <c r="B150" t="inlineStr">
        <is>
          <t>Ciaran Ho</t>
        </is>
      </c>
      <c r="C150" t="inlineStr">
        <is>
          <t>Hadleigh Cycling Club</t>
        </is>
      </c>
      <c r="D150" t="inlineStr">
        <is>
          <t>17</t>
        </is>
      </c>
      <c r="E150">
        <f>HYPERLINK("https://www.britishcycling.org.uk/points?person_id=1012823&amp;year=2022&amp;type=national&amp;d=6","Results")</f>
        <v/>
      </c>
    </row>
    <row r="151">
      <c r="A151" t="inlineStr">
        <is>
          <t>150</t>
        </is>
      </c>
      <c r="B151" t="inlineStr">
        <is>
          <t>Andrew Levinson</t>
        </is>
      </c>
      <c r="C151" t="inlineStr">
        <is>
          <t>Edinburgh RC</t>
        </is>
      </c>
      <c r="D151" t="inlineStr">
        <is>
          <t>17</t>
        </is>
      </c>
      <c r="E151">
        <f>HYPERLINK("https://www.britishcycling.org.uk/points?person_id=823791&amp;year=2022&amp;type=national&amp;d=6","Results")</f>
        <v/>
      </c>
    </row>
    <row r="152">
      <c r="A152" t="inlineStr">
        <is>
          <t>151</t>
        </is>
      </c>
      <c r="B152" t="inlineStr">
        <is>
          <t>Joshua Page</t>
        </is>
      </c>
      <c r="C152" t="inlineStr">
        <is>
          <t>Dyffryn Conwy</t>
        </is>
      </c>
      <c r="D152" t="inlineStr">
        <is>
          <t>17</t>
        </is>
      </c>
      <c r="E152">
        <f>HYPERLINK("https://www.britishcycling.org.uk/points?person_id=440529&amp;year=2022&amp;type=national&amp;d=6","Results")</f>
        <v/>
      </c>
    </row>
    <row r="153">
      <c r="A153" t="inlineStr">
        <is>
          <t>152</t>
        </is>
      </c>
      <c r="B153" t="inlineStr">
        <is>
          <t>Jos Robson</t>
        </is>
      </c>
      <c r="C153" t="inlineStr">
        <is>
          <t>Sotonia CC</t>
        </is>
      </c>
      <c r="D153" t="inlineStr">
        <is>
          <t>17</t>
        </is>
      </c>
      <c r="E153">
        <f>HYPERLINK("https://www.britishcycling.org.uk/points?person_id=1041792&amp;year=2022&amp;type=national&amp;d=6","Results")</f>
        <v/>
      </c>
    </row>
    <row r="154">
      <c r="A154" t="inlineStr">
        <is>
          <t>153</t>
        </is>
      </c>
      <c r="B154" t="inlineStr">
        <is>
          <t>Zack Stobbs</t>
        </is>
      </c>
      <c r="C154" t="inlineStr">
        <is>
          <t>Tyneside Vagabonds CC</t>
        </is>
      </c>
      <c r="D154" t="inlineStr">
        <is>
          <t>17</t>
        </is>
      </c>
      <c r="E154">
        <f>HYPERLINK("https://www.britishcycling.org.uk/points?person_id=436753&amp;year=2022&amp;type=national&amp;d=6","Results")</f>
        <v/>
      </c>
    </row>
    <row r="155">
      <c r="A155" t="inlineStr">
        <is>
          <t>154</t>
        </is>
      </c>
      <c r="B155" t="inlineStr">
        <is>
          <t>Matt Baker</t>
        </is>
      </c>
      <c r="C155" t="inlineStr">
        <is>
          <t>Hetton Hawks Cycling Club</t>
        </is>
      </c>
      <c r="D155" t="inlineStr">
        <is>
          <t>16</t>
        </is>
      </c>
      <c r="E155">
        <f>HYPERLINK("https://www.britishcycling.org.uk/points?person_id=750418&amp;year=2022&amp;type=national&amp;d=6","Results")</f>
        <v/>
      </c>
    </row>
    <row r="156">
      <c r="A156" t="inlineStr">
        <is>
          <t>155</t>
        </is>
      </c>
      <c r="B156" t="inlineStr">
        <is>
          <t>Lucas Burdon</t>
        </is>
      </c>
      <c r="C156" t="inlineStr">
        <is>
          <t>Southborough &amp; District Whls</t>
        </is>
      </c>
      <c r="D156" t="inlineStr">
        <is>
          <t>16</t>
        </is>
      </c>
      <c r="E156">
        <f>HYPERLINK("https://www.britishcycling.org.uk/points?person_id=1029212&amp;year=2022&amp;type=national&amp;d=6","Results")</f>
        <v/>
      </c>
    </row>
    <row r="157">
      <c r="A157" t="inlineStr">
        <is>
          <t>156</t>
        </is>
      </c>
      <c r="B157" t="inlineStr">
        <is>
          <t>Benjamin Cousins</t>
        </is>
      </c>
      <c r="C157" t="inlineStr">
        <is>
          <t>Hemel Hempstead CC</t>
        </is>
      </c>
      <c r="D157" t="inlineStr">
        <is>
          <t>16</t>
        </is>
      </c>
      <c r="E157">
        <f>HYPERLINK("https://www.britishcycling.org.uk/points?person_id=632152&amp;year=2022&amp;type=national&amp;d=6","Results")</f>
        <v/>
      </c>
    </row>
    <row r="158">
      <c r="A158" t="inlineStr">
        <is>
          <t>157</t>
        </is>
      </c>
      <c r="B158" t="inlineStr">
        <is>
          <t>Finn Crowther</t>
        </is>
      </c>
      <c r="C158" t="inlineStr">
        <is>
          <t>Team Andrew Allan Architecture</t>
        </is>
      </c>
      <c r="D158" t="inlineStr">
        <is>
          <t>16</t>
        </is>
      </c>
      <c r="E158">
        <f>HYPERLINK("https://www.britishcycling.org.uk/points?person_id=404067&amp;year=2022&amp;type=national&amp;d=6","Results")</f>
        <v/>
      </c>
    </row>
    <row r="159">
      <c r="A159" t="inlineStr">
        <is>
          <t>158</t>
        </is>
      </c>
      <c r="B159" t="inlineStr">
        <is>
          <t>Toby Diggins</t>
        </is>
      </c>
      <c r="C159" t="inlineStr">
        <is>
          <t>360cycling</t>
        </is>
      </c>
      <c r="D159" t="inlineStr">
        <is>
          <t>16</t>
        </is>
      </c>
      <c r="E159">
        <f>HYPERLINK("https://www.britishcycling.org.uk/points?person_id=541348&amp;year=2022&amp;type=national&amp;d=6","Results")</f>
        <v/>
      </c>
    </row>
    <row r="160">
      <c r="A160" t="inlineStr">
        <is>
          <t>159</t>
        </is>
      </c>
      <c r="B160" t="inlineStr">
        <is>
          <t>Theo Hoath</t>
        </is>
      </c>
      <c r="C160" t="inlineStr">
        <is>
          <t>Velo Club Venta</t>
        </is>
      </c>
      <c r="D160" t="inlineStr">
        <is>
          <t>16</t>
        </is>
      </c>
      <c r="E160">
        <f>HYPERLINK("https://www.britishcycling.org.uk/points?person_id=1003720&amp;year=2022&amp;type=national&amp;d=6","Results")</f>
        <v/>
      </c>
    </row>
    <row r="161">
      <c r="A161" t="inlineStr">
        <is>
          <t>160</t>
        </is>
      </c>
      <c r="B161" t="inlineStr">
        <is>
          <t>Simon Morley</t>
        </is>
      </c>
      <c r="C161" t="inlineStr">
        <is>
          <t>Velo Club Lincoln</t>
        </is>
      </c>
      <c r="D161" t="inlineStr">
        <is>
          <t>16</t>
        </is>
      </c>
      <c r="E161">
        <f>HYPERLINK("https://www.britishcycling.org.uk/points?person_id=644746&amp;year=2022&amp;type=national&amp;d=6","Results")</f>
        <v/>
      </c>
    </row>
    <row r="162">
      <c r="A162" t="inlineStr">
        <is>
          <t>161</t>
        </is>
      </c>
      <c r="B162" t="inlineStr">
        <is>
          <t>Luke Spencer</t>
        </is>
      </c>
      <c r="C162" t="inlineStr">
        <is>
          <t>North Cheshire Clarion</t>
        </is>
      </c>
      <c r="D162" t="inlineStr">
        <is>
          <t>16</t>
        </is>
      </c>
      <c r="E162">
        <f>HYPERLINK("https://www.britishcycling.org.uk/points?person_id=1018584&amp;year=2022&amp;type=national&amp;d=6","Results")</f>
        <v/>
      </c>
    </row>
    <row r="163">
      <c r="A163" t="inlineStr">
        <is>
          <t>162</t>
        </is>
      </c>
      <c r="B163" t="inlineStr">
        <is>
          <t>Omar Wilson</t>
        </is>
      </c>
      <c r="C163" t="inlineStr">
        <is>
          <t>Mid Devon CC</t>
        </is>
      </c>
      <c r="D163" t="inlineStr">
        <is>
          <t>16</t>
        </is>
      </c>
      <c r="E163">
        <f>HYPERLINK("https://www.britishcycling.org.uk/points?person_id=984089&amp;year=2022&amp;type=national&amp;d=6","Results")</f>
        <v/>
      </c>
    </row>
    <row r="164">
      <c r="A164" t="inlineStr">
        <is>
          <t>163</t>
        </is>
      </c>
      <c r="B164" t="inlineStr">
        <is>
          <t>Jude Alcock</t>
        </is>
      </c>
      <c r="C164" t="inlineStr">
        <is>
          <t>Sheffield Youth Cycling Club</t>
        </is>
      </c>
      <c r="D164" t="inlineStr">
        <is>
          <t>15</t>
        </is>
      </c>
      <c r="E164">
        <f>HYPERLINK("https://www.britishcycling.org.uk/points?person_id=1027711&amp;year=2022&amp;type=national&amp;d=6","Results")</f>
        <v/>
      </c>
    </row>
    <row r="165">
      <c r="A165" t="inlineStr">
        <is>
          <t>164</t>
        </is>
      </c>
      <c r="B165" t="inlineStr">
        <is>
          <t>Felix Boyle</t>
        </is>
      </c>
      <c r="C165" t="inlineStr">
        <is>
          <t>Preston Park Youth CC (PPYCC)</t>
        </is>
      </c>
      <c r="D165" t="inlineStr">
        <is>
          <t>15</t>
        </is>
      </c>
      <c r="E165">
        <f>HYPERLINK("https://www.britishcycling.org.uk/points?person_id=794221&amp;year=2022&amp;type=national&amp;d=6","Results")</f>
        <v/>
      </c>
    </row>
    <row r="166">
      <c r="A166" t="inlineStr">
        <is>
          <t>165</t>
        </is>
      </c>
      <c r="B166" t="inlineStr">
        <is>
          <t>Daniel Charton</t>
        </is>
      </c>
      <c r="C166" t="inlineStr">
        <is>
          <t>Solihull CC</t>
        </is>
      </c>
      <c r="D166" t="inlineStr">
        <is>
          <t>15</t>
        </is>
      </c>
      <c r="E166">
        <f>HYPERLINK("https://www.britishcycling.org.uk/points?person_id=768516&amp;year=2022&amp;type=national&amp;d=6","Results")</f>
        <v/>
      </c>
    </row>
    <row r="167">
      <c r="A167" t="inlineStr">
        <is>
          <t>166</t>
        </is>
      </c>
      <c r="B167" t="inlineStr">
        <is>
          <t>Jowan Roberts</t>
        </is>
      </c>
      <c r="C167" t="inlineStr">
        <is>
          <t>Wheal Velocity</t>
        </is>
      </c>
      <c r="D167" t="inlineStr">
        <is>
          <t>15</t>
        </is>
      </c>
      <c r="E167">
        <f>HYPERLINK("https://www.britishcycling.org.uk/points?person_id=735356&amp;year=2022&amp;type=national&amp;d=6","Results")</f>
        <v/>
      </c>
    </row>
    <row r="168">
      <c r="A168" t="inlineStr">
        <is>
          <t>167</t>
        </is>
      </c>
      <c r="B168" t="inlineStr">
        <is>
          <t>Otto Balaam</t>
        </is>
      </c>
      <c r="C168" t="inlineStr">
        <is>
          <t>Herne Hill Youth CC</t>
        </is>
      </c>
      <c r="D168" t="inlineStr">
        <is>
          <t>14</t>
        </is>
      </c>
      <c r="E168">
        <f>HYPERLINK("https://www.britishcycling.org.uk/points?person_id=1073709&amp;year=2022&amp;type=national&amp;d=6","Results")</f>
        <v/>
      </c>
    </row>
    <row r="169">
      <c r="A169" t="inlineStr">
        <is>
          <t>168</t>
        </is>
      </c>
      <c r="B169" t="inlineStr">
        <is>
          <t>Thomas Harvey</t>
        </is>
      </c>
      <c r="C169" t="inlineStr"/>
      <c r="D169" t="inlineStr">
        <is>
          <t>14</t>
        </is>
      </c>
      <c r="E169">
        <f>HYPERLINK("https://www.britishcycling.org.uk/points?person_id=1080579&amp;year=2022&amp;type=national&amp;d=6","Results")</f>
        <v/>
      </c>
    </row>
    <row r="170">
      <c r="A170" t="inlineStr">
        <is>
          <t>169</t>
        </is>
      </c>
      <c r="B170" t="inlineStr">
        <is>
          <t>Tom Cragg</t>
        </is>
      </c>
      <c r="C170" t="inlineStr">
        <is>
          <t>Sleaford Wheelers Cycling Club</t>
        </is>
      </c>
      <c r="D170" t="inlineStr">
        <is>
          <t>13</t>
        </is>
      </c>
      <c r="E170">
        <f>HYPERLINK("https://www.britishcycling.org.uk/points?person_id=523008&amp;year=2022&amp;type=national&amp;d=6","Results")</f>
        <v/>
      </c>
    </row>
    <row r="171">
      <c r="A171" t="inlineStr">
        <is>
          <t>170</t>
        </is>
      </c>
      <c r="B171" t="inlineStr">
        <is>
          <t>Johnny Darling</t>
        </is>
      </c>
      <c r="C171" t="inlineStr">
        <is>
          <t>West Lothian Clarion CC</t>
        </is>
      </c>
      <c r="D171" t="inlineStr">
        <is>
          <t>13</t>
        </is>
      </c>
      <c r="E171">
        <f>HYPERLINK("https://www.britishcycling.org.uk/points?person_id=654830&amp;year=2022&amp;type=national&amp;d=6","Results")</f>
        <v/>
      </c>
    </row>
    <row r="172">
      <c r="A172" t="inlineStr">
        <is>
          <t>171</t>
        </is>
      </c>
      <c r="B172" t="inlineStr">
        <is>
          <t>Micah Myles</t>
        </is>
      </c>
      <c r="C172" t="inlineStr">
        <is>
          <t>Edinburgh RC</t>
        </is>
      </c>
      <c r="D172" t="inlineStr">
        <is>
          <t>13</t>
        </is>
      </c>
      <c r="E172">
        <f>HYPERLINK("https://www.britishcycling.org.uk/points?person_id=868354&amp;year=2022&amp;type=national&amp;d=6","Results")</f>
        <v/>
      </c>
    </row>
    <row r="173">
      <c r="A173" t="inlineStr">
        <is>
          <t>172</t>
        </is>
      </c>
      <c r="B173" t="inlineStr">
        <is>
          <t>Xavier Railton</t>
        </is>
      </c>
      <c r="C173" t="inlineStr"/>
      <c r="D173" t="inlineStr">
        <is>
          <t>13</t>
        </is>
      </c>
      <c r="E173">
        <f>HYPERLINK("https://www.britishcycling.org.uk/points?person_id=995778&amp;year=2022&amp;type=national&amp;d=6","Results")</f>
        <v/>
      </c>
    </row>
    <row r="174">
      <c r="A174" t="inlineStr">
        <is>
          <t>173</t>
        </is>
      </c>
      <c r="B174" t="inlineStr">
        <is>
          <t>Douglas Thistlethwaite</t>
        </is>
      </c>
      <c r="C174" t="inlineStr">
        <is>
          <t>Ilkley Cycling Club</t>
        </is>
      </c>
      <c r="D174" t="inlineStr">
        <is>
          <t>13</t>
        </is>
      </c>
      <c r="E174">
        <f>HYPERLINK("https://www.britishcycling.org.uk/points?person_id=1019441&amp;year=2022&amp;type=national&amp;d=6","Results")</f>
        <v/>
      </c>
    </row>
    <row r="175">
      <c r="A175" t="inlineStr">
        <is>
          <t>174</t>
        </is>
      </c>
      <c r="B175" t="inlineStr">
        <is>
          <t>Michael Hosty</t>
        </is>
      </c>
      <c r="C175" t="inlineStr"/>
      <c r="D175" t="inlineStr">
        <is>
          <t>12</t>
        </is>
      </c>
      <c r="E175">
        <f>HYPERLINK("https://www.britishcycling.org.uk/points?person_id=1085245&amp;year=2022&amp;type=national&amp;d=6","Results")</f>
        <v/>
      </c>
    </row>
    <row r="176">
      <c r="A176" t="inlineStr">
        <is>
          <t>175</t>
        </is>
      </c>
      <c r="B176" t="inlineStr">
        <is>
          <t>Charlie Priest</t>
        </is>
      </c>
      <c r="C176" t="inlineStr">
        <is>
          <t>Clancy Briggs Cycling Academy</t>
        </is>
      </c>
      <c r="D176" t="inlineStr">
        <is>
          <t>12</t>
        </is>
      </c>
      <c r="E176">
        <f>HYPERLINK("https://www.britishcycling.org.uk/points?person_id=830335&amp;year=2022&amp;type=national&amp;d=6","Results")</f>
        <v/>
      </c>
    </row>
    <row r="177">
      <c r="A177" t="inlineStr">
        <is>
          <t>176</t>
        </is>
      </c>
      <c r="B177" t="inlineStr">
        <is>
          <t>Austin Riley</t>
        </is>
      </c>
      <c r="C177" t="inlineStr">
        <is>
          <t>Shibden Cycling Club</t>
        </is>
      </c>
      <c r="D177" t="inlineStr">
        <is>
          <t>12</t>
        </is>
      </c>
      <c r="E177">
        <f>HYPERLINK("https://www.britishcycling.org.uk/points?person_id=550636&amp;year=2022&amp;type=national&amp;d=6","Results")</f>
        <v/>
      </c>
    </row>
    <row r="178">
      <c r="A178" t="inlineStr">
        <is>
          <t>177</t>
        </is>
      </c>
      <c r="B178" t="inlineStr">
        <is>
          <t>Charles van Adrichem</t>
        </is>
      </c>
      <c r="C178" t="inlineStr">
        <is>
          <t>Matlock CC</t>
        </is>
      </c>
      <c r="D178" t="inlineStr">
        <is>
          <t>12</t>
        </is>
      </c>
      <c r="E178">
        <f>HYPERLINK("https://www.britishcycling.org.uk/points?person_id=734494&amp;year=2022&amp;type=national&amp;d=6","Results")</f>
        <v/>
      </c>
    </row>
    <row r="179">
      <c r="A179" t="inlineStr">
        <is>
          <t>178</t>
        </is>
      </c>
      <c r="B179" t="inlineStr">
        <is>
          <t>Dylan Barnett</t>
        </is>
      </c>
      <c r="C179" t="inlineStr">
        <is>
          <t>Cycle Derby CC</t>
        </is>
      </c>
      <c r="D179" t="inlineStr">
        <is>
          <t>11</t>
        </is>
      </c>
      <c r="E179">
        <f>HYPERLINK("https://www.britishcycling.org.uk/points?person_id=837723&amp;year=2022&amp;type=national&amp;d=6","Results")</f>
        <v/>
      </c>
    </row>
    <row r="180">
      <c r="A180" t="inlineStr">
        <is>
          <t>179</t>
        </is>
      </c>
      <c r="B180" t="inlineStr">
        <is>
          <t>Olly Bowen</t>
        </is>
      </c>
      <c r="C180" t="inlineStr">
        <is>
          <t>Abergavenny Road Club</t>
        </is>
      </c>
      <c r="D180" t="inlineStr">
        <is>
          <t>11</t>
        </is>
      </c>
      <c r="E180">
        <f>HYPERLINK("https://www.britishcycling.org.uk/points?person_id=310591&amp;year=2022&amp;type=national&amp;d=6","Results")</f>
        <v/>
      </c>
    </row>
    <row r="181">
      <c r="A181" t="inlineStr">
        <is>
          <t>180</t>
        </is>
      </c>
      <c r="B181" t="inlineStr">
        <is>
          <t>William Harvey</t>
        </is>
      </c>
      <c r="C181" t="inlineStr">
        <is>
          <t>Sportcity Velo</t>
        </is>
      </c>
      <c r="D181" t="inlineStr">
        <is>
          <t>11</t>
        </is>
      </c>
      <c r="E181">
        <f>HYPERLINK("https://www.britishcycling.org.uk/points?person_id=930950&amp;year=2022&amp;type=national&amp;d=6","Results")</f>
        <v/>
      </c>
    </row>
    <row r="182">
      <c r="A182" t="inlineStr">
        <is>
          <t>181</t>
        </is>
      </c>
      <c r="B182" t="inlineStr">
        <is>
          <t>Leo Hughes</t>
        </is>
      </c>
      <c r="C182" t="inlineStr">
        <is>
          <t>Southborough &amp; District Whls</t>
        </is>
      </c>
      <c r="D182" t="inlineStr">
        <is>
          <t>11</t>
        </is>
      </c>
      <c r="E182">
        <f>HYPERLINK("https://www.britishcycling.org.uk/points?person_id=1010187&amp;year=2022&amp;type=national&amp;d=6","Results")</f>
        <v/>
      </c>
    </row>
    <row r="183">
      <c r="A183" t="inlineStr">
        <is>
          <t>182</t>
        </is>
      </c>
      <c r="B183" t="inlineStr">
        <is>
          <t>Alex MacInnes</t>
        </is>
      </c>
      <c r="C183" t="inlineStr">
        <is>
          <t>Lee Valley Youth Cycling Club</t>
        </is>
      </c>
      <c r="D183" t="inlineStr">
        <is>
          <t>11</t>
        </is>
      </c>
      <c r="E183">
        <f>HYPERLINK("https://www.britishcycling.org.uk/points?person_id=839715&amp;year=2022&amp;type=national&amp;d=6","Results")</f>
        <v/>
      </c>
    </row>
    <row r="184">
      <c r="A184" t="inlineStr">
        <is>
          <t>183</t>
        </is>
      </c>
      <c r="B184" t="inlineStr">
        <is>
          <t>Harry Moran</t>
        </is>
      </c>
      <c r="C184" t="inlineStr">
        <is>
          <t>Palmer Park Velo RT</t>
        </is>
      </c>
      <c r="D184" t="inlineStr">
        <is>
          <t>11</t>
        </is>
      </c>
      <c r="E184">
        <f>HYPERLINK("https://www.britishcycling.org.uk/points?person_id=629821&amp;year=2022&amp;type=national&amp;d=6","Results")</f>
        <v/>
      </c>
    </row>
    <row r="185">
      <c r="A185" t="inlineStr">
        <is>
          <t>184</t>
        </is>
      </c>
      <c r="B185" t="inlineStr">
        <is>
          <t>Benji Pike</t>
        </is>
      </c>
      <c r="C185" t="inlineStr">
        <is>
          <t>Sotonia CC</t>
        </is>
      </c>
      <c r="D185" t="inlineStr">
        <is>
          <t>11</t>
        </is>
      </c>
      <c r="E185">
        <f>HYPERLINK("https://www.britishcycling.org.uk/points?person_id=851599&amp;year=2022&amp;type=national&amp;d=6","Results")</f>
        <v/>
      </c>
    </row>
    <row r="186">
      <c r="A186" t="inlineStr">
        <is>
          <t>185</t>
        </is>
      </c>
      <c r="B186" t="inlineStr">
        <is>
          <t>Henry Rand</t>
        </is>
      </c>
      <c r="C186" t="inlineStr"/>
      <c r="D186" t="inlineStr">
        <is>
          <t>11</t>
        </is>
      </c>
      <c r="E186">
        <f>HYPERLINK("https://www.britishcycling.org.uk/points?person_id=1045932&amp;year=2022&amp;type=national&amp;d=6","Results")</f>
        <v/>
      </c>
    </row>
    <row r="187">
      <c r="A187" t="inlineStr">
        <is>
          <t>186</t>
        </is>
      </c>
      <c r="B187" t="inlineStr">
        <is>
          <t>Luke Rivis</t>
        </is>
      </c>
      <c r="C187" t="inlineStr">
        <is>
          <t>Matlock CC</t>
        </is>
      </c>
      <c r="D187" t="inlineStr">
        <is>
          <t>11</t>
        </is>
      </c>
      <c r="E187">
        <f>HYPERLINK("https://www.britishcycling.org.uk/points?person_id=819994&amp;year=2022&amp;type=national&amp;d=6","Results")</f>
        <v/>
      </c>
    </row>
    <row r="188">
      <c r="A188" t="inlineStr">
        <is>
          <t>187</t>
        </is>
      </c>
      <c r="B188" t="inlineStr">
        <is>
          <t>James Blankley</t>
        </is>
      </c>
      <c r="C188" t="inlineStr">
        <is>
          <t>Sotonia CC</t>
        </is>
      </c>
      <c r="D188" t="inlineStr">
        <is>
          <t>10</t>
        </is>
      </c>
      <c r="E188">
        <f>HYPERLINK("https://www.britishcycling.org.uk/points?person_id=874855&amp;year=2022&amp;type=national&amp;d=6","Results")</f>
        <v/>
      </c>
    </row>
    <row r="189">
      <c r="A189" t="inlineStr">
        <is>
          <t>188</t>
        </is>
      </c>
      <c r="B189" t="inlineStr">
        <is>
          <t>Jamie Brough</t>
        </is>
      </c>
      <c r="C189" t="inlineStr">
        <is>
          <t>Matlock CC</t>
        </is>
      </c>
      <c r="D189" t="inlineStr">
        <is>
          <t>10</t>
        </is>
      </c>
      <c r="E189">
        <f>HYPERLINK("https://www.britishcycling.org.uk/points?person_id=735796&amp;year=2022&amp;type=national&amp;d=6","Results")</f>
        <v/>
      </c>
    </row>
    <row r="190">
      <c r="A190" t="inlineStr">
        <is>
          <t>189</t>
        </is>
      </c>
      <c r="B190" t="inlineStr">
        <is>
          <t>Seb Riggott</t>
        </is>
      </c>
      <c r="C190" t="inlineStr">
        <is>
          <t>Nottingham Clarion CC</t>
        </is>
      </c>
      <c r="D190" t="inlineStr">
        <is>
          <t>10</t>
        </is>
      </c>
      <c r="E190">
        <f>HYPERLINK("https://www.britishcycling.org.uk/points?person_id=1033970&amp;year=2022&amp;type=national&amp;d=6","Results")</f>
        <v/>
      </c>
    </row>
    <row r="191">
      <c r="A191" t="inlineStr">
        <is>
          <t>190</t>
        </is>
      </c>
      <c r="B191" t="inlineStr">
        <is>
          <t>William Tate</t>
        </is>
      </c>
      <c r="C191" t="inlineStr">
        <is>
          <t>Team Milton Keynes</t>
        </is>
      </c>
      <c r="D191" t="inlineStr">
        <is>
          <t>10</t>
        </is>
      </c>
      <c r="E191">
        <f>HYPERLINK("https://www.britishcycling.org.uk/points?person_id=872104&amp;year=2022&amp;type=national&amp;d=6","Results")</f>
        <v/>
      </c>
    </row>
    <row r="192">
      <c r="A192" t="inlineStr">
        <is>
          <t>191</t>
        </is>
      </c>
      <c r="B192" t="inlineStr">
        <is>
          <t>Oliver Williams</t>
        </is>
      </c>
      <c r="C192" t="inlineStr">
        <is>
          <t>Sleaford Wheelers Cycling Club</t>
        </is>
      </c>
      <c r="D192" t="inlineStr">
        <is>
          <t>10</t>
        </is>
      </c>
      <c r="E192">
        <f>HYPERLINK("https://www.britishcycling.org.uk/points?person_id=1092117&amp;year=2022&amp;type=national&amp;d=6","Results")</f>
        <v/>
      </c>
    </row>
    <row r="193">
      <c r="A193" t="inlineStr">
        <is>
          <t>192</t>
        </is>
      </c>
      <c r="B193" t="inlineStr">
        <is>
          <t>Jack Wright</t>
        </is>
      </c>
      <c r="C193" t="inlineStr">
        <is>
          <t>Hillingdon Slipstreamers</t>
        </is>
      </c>
      <c r="D193" t="inlineStr">
        <is>
          <t>10</t>
        </is>
      </c>
      <c r="E193">
        <f>HYPERLINK("https://www.britishcycling.org.uk/points?person_id=1086483&amp;year=2022&amp;type=national&amp;d=6","Results")</f>
        <v/>
      </c>
    </row>
    <row r="194">
      <c r="A194" t="inlineStr">
        <is>
          <t>193</t>
        </is>
      </c>
      <c r="B194" t="inlineStr">
        <is>
          <t>Zac Crozier</t>
        </is>
      </c>
      <c r="C194" t="inlineStr">
        <is>
          <t>Malvern Cycle Sport</t>
        </is>
      </c>
      <c r="D194" t="inlineStr">
        <is>
          <t>9</t>
        </is>
      </c>
      <c r="E194">
        <f>HYPERLINK("https://www.britishcycling.org.uk/points?person_id=865977&amp;year=2022&amp;type=national&amp;d=6","Results")</f>
        <v/>
      </c>
    </row>
    <row r="195">
      <c r="A195" t="inlineStr">
        <is>
          <t>194</t>
        </is>
      </c>
      <c r="B195" t="inlineStr">
        <is>
          <t>Hedd Griffiths</t>
        </is>
      </c>
      <c r="C195" t="inlineStr">
        <is>
          <t>Maindy Flyers CC</t>
        </is>
      </c>
      <c r="D195" t="inlineStr">
        <is>
          <t>9</t>
        </is>
      </c>
      <c r="E195">
        <f>HYPERLINK("https://www.britishcycling.org.uk/points?person_id=617876&amp;year=2022&amp;type=national&amp;d=6","Results")</f>
        <v/>
      </c>
    </row>
    <row r="196">
      <c r="A196" t="inlineStr">
        <is>
          <t>195</t>
        </is>
      </c>
      <c r="B196" t="inlineStr">
        <is>
          <t>Rupert Hext</t>
        </is>
      </c>
      <c r="C196" t="inlineStr">
        <is>
          <t>Oneplanet Adventure</t>
        </is>
      </c>
      <c r="D196" t="inlineStr">
        <is>
          <t>9</t>
        </is>
      </c>
      <c r="E196">
        <f>HYPERLINK("https://www.britishcycling.org.uk/points?person_id=517107&amp;year=2022&amp;type=national&amp;d=6","Results")</f>
        <v/>
      </c>
    </row>
    <row r="197">
      <c r="A197" t="inlineStr">
        <is>
          <t>196</t>
        </is>
      </c>
      <c r="B197" t="inlineStr">
        <is>
          <t>Thomas Jones</t>
        </is>
      </c>
      <c r="C197" t="inlineStr"/>
      <c r="D197" t="inlineStr">
        <is>
          <t>9</t>
        </is>
      </c>
      <c r="E197">
        <f>HYPERLINK("https://www.britishcycling.org.uk/points?person_id=1086205&amp;year=2022&amp;type=national&amp;d=6","Results")</f>
        <v/>
      </c>
    </row>
    <row r="198">
      <c r="A198" t="inlineStr">
        <is>
          <t>197</t>
        </is>
      </c>
      <c r="B198" t="inlineStr">
        <is>
          <t>Flynn Lambley</t>
        </is>
      </c>
      <c r="C198" t="inlineStr">
        <is>
          <t>Huddersfield Star Wheelers</t>
        </is>
      </c>
      <c r="D198" t="inlineStr">
        <is>
          <t>9</t>
        </is>
      </c>
      <c r="E198">
        <f>HYPERLINK("https://www.britishcycling.org.uk/points?person_id=758124&amp;year=2022&amp;type=national&amp;d=6","Results")</f>
        <v/>
      </c>
    </row>
    <row r="199">
      <c r="A199" t="inlineStr">
        <is>
          <t>198</t>
        </is>
      </c>
      <c r="B199" t="inlineStr">
        <is>
          <t>Xavier Lee</t>
        </is>
      </c>
      <c r="C199" t="inlineStr">
        <is>
          <t>Palmer Park Velo RT</t>
        </is>
      </c>
      <c r="D199" t="inlineStr">
        <is>
          <t>9</t>
        </is>
      </c>
      <c r="E199">
        <f>HYPERLINK("https://www.britishcycling.org.uk/points?person_id=618444&amp;year=2022&amp;type=national&amp;d=6","Results")</f>
        <v/>
      </c>
    </row>
    <row r="200">
      <c r="A200" t="inlineStr">
        <is>
          <t>199</t>
        </is>
      </c>
      <c r="B200" t="inlineStr">
        <is>
          <t>George Nuttall</t>
        </is>
      </c>
      <c r="C200" t="inlineStr">
        <is>
          <t>Welwyn Wheelers CC</t>
        </is>
      </c>
      <c r="D200" t="inlineStr">
        <is>
          <t>9</t>
        </is>
      </c>
      <c r="E200">
        <f>HYPERLINK("https://www.britishcycling.org.uk/points?person_id=705316&amp;year=2022&amp;type=national&amp;d=6","Results")</f>
        <v/>
      </c>
    </row>
    <row r="201">
      <c r="A201" t="inlineStr">
        <is>
          <t>200</t>
        </is>
      </c>
      <c r="B201" t="inlineStr">
        <is>
          <t>Samuel Thomas</t>
        </is>
      </c>
      <c r="C201" t="inlineStr">
        <is>
          <t>Solihull CC</t>
        </is>
      </c>
      <c r="D201" t="inlineStr">
        <is>
          <t>9</t>
        </is>
      </c>
      <c r="E201">
        <f>HYPERLINK("https://www.britishcycling.org.uk/points?person_id=745784&amp;year=2022&amp;type=national&amp;d=6","Results")</f>
        <v/>
      </c>
    </row>
    <row r="202">
      <c r="A202" t="inlineStr">
        <is>
          <t>201</t>
        </is>
      </c>
      <c r="B202" t="inlineStr">
        <is>
          <t>Yousef Hardaker</t>
        </is>
      </c>
      <c r="C202" t="inlineStr">
        <is>
          <t>East Bradford CC</t>
        </is>
      </c>
      <c r="D202" t="inlineStr">
        <is>
          <t>8</t>
        </is>
      </c>
      <c r="E202">
        <f>HYPERLINK("https://www.britishcycling.org.uk/points?person_id=1050450&amp;year=2022&amp;type=national&amp;d=6","Results")</f>
        <v/>
      </c>
    </row>
    <row r="203">
      <c r="A203" t="inlineStr">
        <is>
          <t>202</t>
        </is>
      </c>
      <c r="B203" t="inlineStr">
        <is>
          <t>Frederic Moorhouse-Smith</t>
        </is>
      </c>
      <c r="C203" t="inlineStr">
        <is>
          <t>Shibden Cycling Club</t>
        </is>
      </c>
      <c r="D203" t="inlineStr">
        <is>
          <t>8</t>
        </is>
      </c>
      <c r="E203">
        <f>HYPERLINK("https://www.britishcycling.org.uk/points?person_id=946694&amp;year=2022&amp;type=national&amp;d=6","Results")</f>
        <v/>
      </c>
    </row>
    <row r="204">
      <c r="A204" t="inlineStr">
        <is>
          <t>203</t>
        </is>
      </c>
      <c r="B204" t="inlineStr">
        <is>
          <t>Llywelyn Roberts</t>
        </is>
      </c>
      <c r="C204" t="inlineStr">
        <is>
          <t>Maindy Flyers CC</t>
        </is>
      </c>
      <c r="D204" t="inlineStr">
        <is>
          <t>8</t>
        </is>
      </c>
      <c r="E204">
        <f>HYPERLINK("https://www.britishcycling.org.uk/points?person_id=1021111&amp;year=2022&amp;type=national&amp;d=6","Results")</f>
        <v/>
      </c>
    </row>
    <row r="205">
      <c r="A205" t="inlineStr">
        <is>
          <t>204</t>
        </is>
      </c>
      <c r="B205" t="inlineStr">
        <is>
          <t>Isaac Snell</t>
        </is>
      </c>
      <c r="C205" t="inlineStr">
        <is>
          <t>NSP Cycling Team</t>
        </is>
      </c>
      <c r="D205" t="inlineStr">
        <is>
          <t>8</t>
        </is>
      </c>
      <c r="E205">
        <f>HYPERLINK("https://www.britishcycling.org.uk/points?person_id=1031910&amp;year=2022&amp;type=national&amp;d=6","Results")</f>
        <v/>
      </c>
    </row>
    <row r="206">
      <c r="A206" t="inlineStr">
        <is>
          <t>205</t>
        </is>
      </c>
      <c r="B206" t="inlineStr">
        <is>
          <t>Thomas Watkins</t>
        </is>
      </c>
      <c r="C206" t="inlineStr">
        <is>
          <t>Bigfoot Youth Cycle Club Ltd</t>
        </is>
      </c>
      <c r="D206" t="inlineStr">
        <is>
          <t>8</t>
        </is>
      </c>
      <c r="E206">
        <f>HYPERLINK("https://www.britishcycling.org.uk/points?person_id=654014&amp;year=2022&amp;type=national&amp;d=6","Results")</f>
        <v/>
      </c>
    </row>
    <row r="207">
      <c r="A207" t="inlineStr">
        <is>
          <t>206</t>
        </is>
      </c>
      <c r="B207" t="inlineStr">
        <is>
          <t>Ben Cleave</t>
        </is>
      </c>
      <c r="C207" t="inlineStr">
        <is>
          <t>Velo Myrddin CC powered by Y Beic</t>
        </is>
      </c>
      <c r="D207" t="inlineStr">
        <is>
          <t>7</t>
        </is>
      </c>
      <c r="E207">
        <f>HYPERLINK("https://www.britishcycling.org.uk/points?person_id=1001121&amp;year=2022&amp;type=national&amp;d=6","Results")</f>
        <v/>
      </c>
    </row>
    <row r="208">
      <c r="A208" t="inlineStr">
        <is>
          <t>207</t>
        </is>
      </c>
      <c r="B208" t="inlineStr">
        <is>
          <t>Gruff Davies</t>
        </is>
      </c>
      <c r="C208" t="inlineStr">
        <is>
          <t>Maindy Flyers CC</t>
        </is>
      </c>
      <c r="D208" t="inlineStr">
        <is>
          <t>7</t>
        </is>
      </c>
      <c r="E208">
        <f>HYPERLINK("https://www.britishcycling.org.uk/points?person_id=893725&amp;year=2022&amp;type=national&amp;d=6","Results")</f>
        <v/>
      </c>
    </row>
    <row r="209">
      <c r="A209" t="inlineStr">
        <is>
          <t>208</t>
        </is>
      </c>
      <c r="B209" t="inlineStr">
        <is>
          <t>Monty Melville</t>
        </is>
      </c>
      <c r="C209" t="inlineStr">
        <is>
          <t>Lee Valley Youth Cycling Club</t>
        </is>
      </c>
      <c r="D209" t="inlineStr">
        <is>
          <t>7</t>
        </is>
      </c>
      <c r="E209">
        <f>HYPERLINK("https://www.britishcycling.org.uk/points?person_id=859989&amp;year=2022&amp;type=national&amp;d=6","Results")</f>
        <v/>
      </c>
    </row>
    <row r="210">
      <c r="A210" t="inlineStr">
        <is>
          <t>209</t>
        </is>
      </c>
      <c r="B210" t="inlineStr">
        <is>
          <t>Felix Oliver</t>
        </is>
      </c>
      <c r="C210" t="inlineStr">
        <is>
          <t>Sheffield Youth Cycling Club</t>
        </is>
      </c>
      <c r="D210" t="inlineStr">
        <is>
          <t>7</t>
        </is>
      </c>
      <c r="E210">
        <f>HYPERLINK("https://www.britishcycling.org.uk/points?person_id=1007386&amp;year=2022&amp;type=national&amp;d=6","Results")</f>
        <v/>
      </c>
    </row>
    <row r="211">
      <c r="A211" t="inlineStr">
        <is>
          <t>210</t>
        </is>
      </c>
      <c r="B211" t="inlineStr">
        <is>
          <t>Ewan Whiting</t>
        </is>
      </c>
      <c r="C211" t="inlineStr">
        <is>
          <t>Manilla Cycling</t>
        </is>
      </c>
      <c r="D211" t="inlineStr">
        <is>
          <t>7</t>
        </is>
      </c>
      <c r="E211">
        <f>HYPERLINK("https://www.britishcycling.org.uk/points?person_id=651108&amp;year=2022&amp;type=national&amp;d=6","Results")</f>
        <v/>
      </c>
    </row>
    <row r="212">
      <c r="A212" t="inlineStr">
        <is>
          <t>211</t>
        </is>
      </c>
      <c r="B212" t="inlineStr">
        <is>
          <t>George Wood</t>
        </is>
      </c>
      <c r="C212" t="inlineStr">
        <is>
          <t>Cheltenham Town Wheelers</t>
        </is>
      </c>
      <c r="D212" t="inlineStr">
        <is>
          <t>7</t>
        </is>
      </c>
      <c r="E212">
        <f>HYPERLINK("https://www.britishcycling.org.uk/points?person_id=1003864&amp;year=2022&amp;type=national&amp;d=6","Results")</f>
        <v/>
      </c>
    </row>
    <row r="213">
      <c r="A213" t="inlineStr">
        <is>
          <t>212</t>
        </is>
      </c>
      <c r="B213" t="inlineStr">
        <is>
          <t>Lucas Brook</t>
        </is>
      </c>
      <c r="C213" t="inlineStr"/>
      <c r="D213" t="inlineStr">
        <is>
          <t>6</t>
        </is>
      </c>
      <c r="E213">
        <f>HYPERLINK("https://www.britishcycling.org.uk/points?person_id=681494&amp;year=2022&amp;type=national&amp;d=6","Results")</f>
        <v/>
      </c>
    </row>
    <row r="214">
      <c r="A214" t="inlineStr">
        <is>
          <t>213</t>
        </is>
      </c>
      <c r="B214" t="inlineStr">
        <is>
          <t>Fred Carr</t>
        </is>
      </c>
      <c r="C214" t="inlineStr">
        <is>
          <t>Tyneside Vagabonds CC</t>
        </is>
      </c>
      <c r="D214" t="inlineStr">
        <is>
          <t>6</t>
        </is>
      </c>
      <c r="E214">
        <f>HYPERLINK("https://www.britishcycling.org.uk/points?person_id=406409&amp;year=2022&amp;type=national&amp;d=6","Results")</f>
        <v/>
      </c>
    </row>
    <row r="215">
      <c r="A215" t="inlineStr">
        <is>
          <t>214</t>
        </is>
      </c>
      <c r="B215" t="inlineStr">
        <is>
          <t>Freddie Collier</t>
        </is>
      </c>
      <c r="C215" t="inlineStr">
        <is>
          <t>Lee Valley Youth Cycling Club</t>
        </is>
      </c>
      <c r="D215" t="inlineStr">
        <is>
          <t>6</t>
        </is>
      </c>
      <c r="E215">
        <f>HYPERLINK("https://www.britishcycling.org.uk/points?person_id=967144&amp;year=2022&amp;type=national&amp;d=6","Results")</f>
        <v/>
      </c>
    </row>
    <row r="216">
      <c r="A216" t="inlineStr">
        <is>
          <t>215</t>
        </is>
      </c>
      <c r="B216" t="inlineStr">
        <is>
          <t>Joshua Maguire</t>
        </is>
      </c>
      <c r="C216" t="inlineStr">
        <is>
          <t>Taunton Bike Club</t>
        </is>
      </c>
      <c r="D216" t="inlineStr">
        <is>
          <t>6</t>
        </is>
      </c>
      <c r="E216">
        <f>HYPERLINK("https://www.britishcycling.org.uk/points?person_id=923800&amp;year=2022&amp;type=national&amp;d=6","Results")</f>
        <v/>
      </c>
    </row>
    <row r="217">
      <c r="A217" t="inlineStr">
        <is>
          <t>216</t>
        </is>
      </c>
      <c r="B217" t="inlineStr">
        <is>
          <t>George Scholes</t>
        </is>
      </c>
      <c r="C217" t="inlineStr">
        <is>
          <t>Shibden Cycling Club</t>
        </is>
      </c>
      <c r="D217" t="inlineStr">
        <is>
          <t>6</t>
        </is>
      </c>
      <c r="E217">
        <f>HYPERLINK("https://www.britishcycling.org.uk/points?person_id=559451&amp;year=2022&amp;type=national&amp;d=6","Results")</f>
        <v/>
      </c>
    </row>
    <row r="218">
      <c r="A218" t="inlineStr">
        <is>
          <t>217</t>
        </is>
      </c>
      <c r="B218" t="inlineStr">
        <is>
          <t>Barnaby Smith</t>
        </is>
      </c>
      <c r="C218" t="inlineStr">
        <is>
          <t>Malvern Cycle Sport</t>
        </is>
      </c>
      <c r="D218" t="inlineStr">
        <is>
          <t>6</t>
        </is>
      </c>
      <c r="E218">
        <f>HYPERLINK("https://www.britishcycling.org.uk/points?person_id=466355&amp;year=2022&amp;type=national&amp;d=6","Results")</f>
        <v/>
      </c>
    </row>
    <row r="219">
      <c r="A219" t="inlineStr">
        <is>
          <t>218</t>
        </is>
      </c>
      <c r="B219" t="inlineStr">
        <is>
          <t>Heath Thomas</t>
        </is>
      </c>
      <c r="C219" t="inlineStr">
        <is>
          <t>Braintree BMX Racing Club</t>
        </is>
      </c>
      <c r="D219" t="inlineStr">
        <is>
          <t>6</t>
        </is>
      </c>
      <c r="E219">
        <f>HYPERLINK("https://www.britishcycling.org.uk/points?person_id=536415&amp;year=2022&amp;type=national&amp;d=6","Results")</f>
        <v/>
      </c>
    </row>
    <row r="220">
      <c r="A220" t="inlineStr">
        <is>
          <t>219</t>
        </is>
      </c>
      <c r="B220" t="inlineStr">
        <is>
          <t>Casper Wilson</t>
        </is>
      </c>
      <c r="C220" t="inlineStr">
        <is>
          <t>Sotonia CC</t>
        </is>
      </c>
      <c r="D220" t="inlineStr">
        <is>
          <t>6</t>
        </is>
      </c>
      <c r="E220">
        <f>HYPERLINK("https://www.britishcycling.org.uk/points?person_id=1033164&amp;year=2022&amp;type=national&amp;d=6","Results")</f>
        <v/>
      </c>
    </row>
    <row r="221">
      <c r="A221" t="inlineStr">
        <is>
          <t>220</t>
        </is>
      </c>
      <c r="B221" t="inlineStr">
        <is>
          <t>Henry Hopson</t>
        </is>
      </c>
      <c r="C221" t="inlineStr">
        <is>
          <t>VC Londres</t>
        </is>
      </c>
      <c r="D221" t="inlineStr">
        <is>
          <t>5</t>
        </is>
      </c>
      <c r="E221">
        <f>HYPERLINK("https://www.britishcycling.org.uk/points?person_id=1003774&amp;year=2022&amp;type=national&amp;d=6","Results")</f>
        <v/>
      </c>
    </row>
    <row r="222">
      <c r="A222" t="inlineStr">
        <is>
          <t>221</t>
        </is>
      </c>
      <c r="B222" t="inlineStr">
        <is>
          <t>Ben Justham</t>
        </is>
      </c>
      <c r="C222" t="inlineStr">
        <is>
          <t>Derby Mercury RC</t>
        </is>
      </c>
      <c r="D222" t="inlineStr">
        <is>
          <t>5</t>
        </is>
      </c>
      <c r="E222">
        <f>HYPERLINK("https://www.britishcycling.org.uk/points?person_id=947012&amp;year=2022&amp;type=national&amp;d=6","Results")</f>
        <v/>
      </c>
    </row>
    <row r="223">
      <c r="A223" t="inlineStr">
        <is>
          <t>222</t>
        </is>
      </c>
      <c r="B223" t="inlineStr">
        <is>
          <t>Cameron Thompson</t>
        </is>
      </c>
      <c r="C223" t="inlineStr">
        <is>
          <t>NSP Cycling Team</t>
        </is>
      </c>
      <c r="D223" t="inlineStr">
        <is>
          <t>5</t>
        </is>
      </c>
      <c r="E223">
        <f>HYPERLINK("https://www.britishcycling.org.uk/points?person_id=1054492&amp;year=2022&amp;type=national&amp;d=6","Results")</f>
        <v/>
      </c>
    </row>
    <row r="224">
      <c r="A224" t="inlineStr">
        <is>
          <t>223</t>
        </is>
      </c>
      <c r="B224" t="inlineStr">
        <is>
          <t>Rowan Coulthard</t>
        </is>
      </c>
      <c r="C224" t="inlineStr">
        <is>
          <t>Cycle Stars</t>
        </is>
      </c>
      <c r="D224" t="inlineStr">
        <is>
          <t>4</t>
        </is>
      </c>
      <c r="E224">
        <f>HYPERLINK("https://www.britishcycling.org.uk/points?person_id=1018052&amp;year=2022&amp;type=national&amp;d=6","Results")</f>
        <v/>
      </c>
    </row>
    <row r="225">
      <c r="A225" t="inlineStr">
        <is>
          <t>224</t>
        </is>
      </c>
      <c r="B225" t="inlineStr">
        <is>
          <t>Ronan Finlinson</t>
        </is>
      </c>
      <c r="C225" t="inlineStr">
        <is>
          <t>Redditch Road &amp; Path CC</t>
        </is>
      </c>
      <c r="D225" t="inlineStr">
        <is>
          <t>4</t>
        </is>
      </c>
      <c r="E225">
        <f>HYPERLINK("https://www.britishcycling.org.uk/points?person_id=509944&amp;year=2022&amp;type=national&amp;d=6","Results")</f>
        <v/>
      </c>
    </row>
    <row r="226">
      <c r="A226" t="inlineStr">
        <is>
          <t>225</t>
        </is>
      </c>
      <c r="B226" t="inlineStr">
        <is>
          <t>Tom Hulse</t>
        </is>
      </c>
      <c r="C226" t="inlineStr">
        <is>
          <t>Black Isle Mountain Bike Club</t>
        </is>
      </c>
      <c r="D226" t="inlineStr">
        <is>
          <t>4</t>
        </is>
      </c>
      <c r="E226">
        <f>HYPERLINK("https://www.britishcycling.org.uk/points?person_id=848211&amp;year=2022&amp;type=national&amp;d=6","Results")</f>
        <v/>
      </c>
    </row>
    <row r="227">
      <c r="A227" t="inlineStr">
        <is>
          <t>226</t>
        </is>
      </c>
      <c r="B227" t="inlineStr">
        <is>
          <t>Joshie Pennington</t>
        </is>
      </c>
      <c r="C227" t="inlineStr">
        <is>
          <t>Kingston Junior Cycle Club</t>
        </is>
      </c>
      <c r="D227" t="inlineStr">
        <is>
          <t>4</t>
        </is>
      </c>
      <c r="E227">
        <f>HYPERLINK("https://www.britishcycling.org.uk/points?person_id=472945&amp;year=2022&amp;type=national&amp;d=6","Results")</f>
        <v/>
      </c>
    </row>
    <row r="228">
      <c r="A228" t="inlineStr">
        <is>
          <t>227</t>
        </is>
      </c>
      <c r="B228" t="inlineStr">
        <is>
          <t>Harry Read</t>
        </is>
      </c>
      <c r="C228" t="inlineStr">
        <is>
          <t>Cleveland Wheelers CC</t>
        </is>
      </c>
      <c r="D228" t="inlineStr">
        <is>
          <t>4</t>
        </is>
      </c>
      <c r="E228">
        <f>HYPERLINK("https://www.britishcycling.org.uk/points?person_id=929935&amp;year=2022&amp;type=national&amp;d=6","Results")</f>
        <v/>
      </c>
    </row>
    <row r="229">
      <c r="A229" t="inlineStr">
        <is>
          <t>228</t>
        </is>
      </c>
      <c r="B229" t="inlineStr">
        <is>
          <t>Lucas  Stenton</t>
        </is>
      </c>
      <c r="C229" t="inlineStr">
        <is>
          <t>Edinburgh RC</t>
        </is>
      </c>
      <c r="D229" t="inlineStr">
        <is>
          <t>4</t>
        </is>
      </c>
      <c r="E229">
        <f>HYPERLINK("https://www.britishcycling.org.uk/points?person_id=772460&amp;year=2022&amp;type=national&amp;d=6","Results")</f>
        <v/>
      </c>
    </row>
    <row r="230">
      <c r="A230" t="inlineStr">
        <is>
          <t>229</t>
        </is>
      </c>
      <c r="B230" t="inlineStr">
        <is>
          <t>Daniel Taylor</t>
        </is>
      </c>
      <c r="C230" t="inlineStr">
        <is>
          <t>Bury Clarion Cycling Club</t>
        </is>
      </c>
      <c r="D230" t="inlineStr">
        <is>
          <t>4</t>
        </is>
      </c>
      <c r="E230">
        <f>HYPERLINK("https://www.britishcycling.org.uk/points?person_id=1041395&amp;year=2022&amp;type=national&amp;d=6","Results")</f>
        <v/>
      </c>
    </row>
    <row r="231">
      <c r="A231" t="inlineStr">
        <is>
          <t>230</t>
        </is>
      </c>
      <c r="B231" t="inlineStr">
        <is>
          <t>Brodie Wilkinson</t>
        </is>
      </c>
      <c r="C231" t="inlineStr">
        <is>
          <t>Bigfoot Youth Cycle Club Ltd</t>
        </is>
      </c>
      <c r="D231" t="inlineStr">
        <is>
          <t>4</t>
        </is>
      </c>
      <c r="E231">
        <f>HYPERLINK("https://www.britishcycling.org.uk/points?person_id=687616&amp;year=2022&amp;type=national&amp;d=6","Results")</f>
        <v/>
      </c>
    </row>
    <row r="232">
      <c r="A232" t="inlineStr">
        <is>
          <t>231</t>
        </is>
      </c>
      <c r="B232" t="inlineStr">
        <is>
          <t>Ross Cherruault</t>
        </is>
      </c>
      <c r="C232" t="inlineStr">
        <is>
          <t>Sulis Scorpions Youth CC</t>
        </is>
      </c>
      <c r="D232" t="inlineStr">
        <is>
          <t>3</t>
        </is>
      </c>
      <c r="E232">
        <f>HYPERLINK("https://www.britishcycling.org.uk/points?person_id=673055&amp;year=2022&amp;type=national&amp;d=6","Results")</f>
        <v/>
      </c>
    </row>
    <row r="233">
      <c r="A233" t="inlineStr">
        <is>
          <t>232</t>
        </is>
      </c>
      <c r="B233" t="inlineStr">
        <is>
          <t>Daniel Holton</t>
        </is>
      </c>
      <c r="C233" t="inlineStr">
        <is>
          <t>Welland Valley CC</t>
        </is>
      </c>
      <c r="D233" t="inlineStr">
        <is>
          <t>3</t>
        </is>
      </c>
      <c r="E233">
        <f>HYPERLINK("https://www.britishcycling.org.uk/points?person_id=737287&amp;year=2022&amp;type=national&amp;d=6","Results")</f>
        <v/>
      </c>
    </row>
    <row r="234">
      <c r="A234" t="inlineStr">
        <is>
          <t>233</t>
        </is>
      </c>
      <c r="B234" t="inlineStr">
        <is>
          <t>Michael Jarratt</t>
        </is>
      </c>
      <c r="C234" t="inlineStr">
        <is>
          <t>Hemel Hempstead CC</t>
        </is>
      </c>
      <c r="D234" t="inlineStr">
        <is>
          <t>3</t>
        </is>
      </c>
      <c r="E234">
        <f>HYPERLINK("https://www.britishcycling.org.uk/points?person_id=736421&amp;year=2022&amp;type=national&amp;d=6","Results")</f>
        <v/>
      </c>
    </row>
    <row r="235">
      <c r="A235" t="inlineStr">
        <is>
          <t>234</t>
        </is>
      </c>
      <c r="B235" t="inlineStr">
        <is>
          <t>Loui Mayne</t>
        </is>
      </c>
      <c r="C235" t="inlineStr">
        <is>
          <t>Nottingham Clarion CC</t>
        </is>
      </c>
      <c r="D235" t="inlineStr">
        <is>
          <t>3</t>
        </is>
      </c>
      <c r="E235">
        <f>HYPERLINK("https://www.britishcycling.org.uk/points?person_id=1026120&amp;year=2022&amp;type=national&amp;d=6","Results")</f>
        <v/>
      </c>
    </row>
    <row r="236">
      <c r="A236" t="inlineStr">
        <is>
          <t>235</t>
        </is>
      </c>
      <c r="B236" t="inlineStr">
        <is>
          <t>Conor Walby</t>
        </is>
      </c>
      <c r="C236" t="inlineStr">
        <is>
          <t>The Bulls</t>
        </is>
      </c>
      <c r="D236" t="inlineStr">
        <is>
          <t>3</t>
        </is>
      </c>
      <c r="E236">
        <f>HYPERLINK("https://www.britishcycling.org.uk/points?person_id=538943&amp;year=2022&amp;type=national&amp;d=6","Results")</f>
        <v/>
      </c>
    </row>
    <row r="237">
      <c r="A237" t="inlineStr">
        <is>
          <t>236</t>
        </is>
      </c>
      <c r="B237" t="inlineStr">
        <is>
          <t>Harley Walker</t>
        </is>
      </c>
      <c r="C237" t="inlineStr">
        <is>
          <t>WestSide Coaching</t>
        </is>
      </c>
      <c r="D237" t="inlineStr">
        <is>
          <t>3</t>
        </is>
      </c>
      <c r="E237">
        <f>HYPERLINK("https://www.britishcycling.org.uk/points?person_id=1085621&amp;year=2022&amp;type=national&amp;d=6","Results")</f>
        <v/>
      </c>
    </row>
    <row r="238">
      <c r="A238" t="inlineStr">
        <is>
          <t>237</t>
        </is>
      </c>
      <c r="B238" t="inlineStr">
        <is>
          <t>Rubens Allet</t>
        </is>
      </c>
      <c r="C238" t="inlineStr">
        <is>
          <t>Barking &amp; Dagenham CC</t>
        </is>
      </c>
      <c r="D238" t="inlineStr">
        <is>
          <t>2</t>
        </is>
      </c>
      <c r="E238">
        <f>HYPERLINK("https://www.britishcycling.org.uk/points?person_id=1011990&amp;year=2022&amp;type=national&amp;d=6","Results")</f>
        <v/>
      </c>
    </row>
    <row r="239">
      <c r="A239" t="inlineStr">
        <is>
          <t>238</t>
        </is>
      </c>
      <c r="B239" t="inlineStr">
        <is>
          <t>Otto Allison</t>
        </is>
      </c>
      <c r="C239" t="inlineStr">
        <is>
          <t>Charlotteville CC</t>
        </is>
      </c>
      <c r="D239" t="inlineStr">
        <is>
          <t>2</t>
        </is>
      </c>
      <c r="E239">
        <f>HYPERLINK("https://www.britishcycling.org.uk/points?person_id=740601&amp;year=2022&amp;type=national&amp;d=6","Results")</f>
        <v/>
      </c>
    </row>
    <row r="240">
      <c r="A240" t="inlineStr">
        <is>
          <t>239</t>
        </is>
      </c>
      <c r="B240" t="inlineStr">
        <is>
          <t>William Drake</t>
        </is>
      </c>
      <c r="C240" t="inlineStr">
        <is>
          <t>Bigfoot Youth Cycle Club Ltd</t>
        </is>
      </c>
      <c r="D240" t="inlineStr">
        <is>
          <t>2</t>
        </is>
      </c>
      <c r="E240">
        <f>HYPERLINK("https://www.britishcycling.org.uk/points?person_id=783192&amp;year=2022&amp;type=national&amp;d=6","Results")</f>
        <v/>
      </c>
    </row>
    <row r="241">
      <c r="A241" t="inlineStr">
        <is>
          <t>240</t>
        </is>
      </c>
      <c r="B241" t="inlineStr">
        <is>
          <t>Finley Freeman</t>
        </is>
      </c>
      <c r="C241" t="inlineStr">
        <is>
          <t>Palmer Park Velo RT</t>
        </is>
      </c>
      <c r="D241" t="inlineStr">
        <is>
          <t>2</t>
        </is>
      </c>
      <c r="E241">
        <f>HYPERLINK("https://www.britishcycling.org.uk/points?person_id=1015844&amp;year=2022&amp;type=national&amp;d=6","Results")</f>
        <v/>
      </c>
    </row>
    <row r="242">
      <c r="A242" t="inlineStr">
        <is>
          <t>241</t>
        </is>
      </c>
      <c r="B242" t="inlineStr">
        <is>
          <t>Joshua Hall</t>
        </is>
      </c>
      <c r="C242" t="inlineStr">
        <is>
          <t>Team Milton Keynes</t>
        </is>
      </c>
      <c r="D242" t="inlineStr">
        <is>
          <t>2</t>
        </is>
      </c>
      <c r="E242">
        <f>HYPERLINK("https://www.britishcycling.org.uk/points?person_id=821258&amp;year=2022&amp;type=national&amp;d=6","Results")</f>
        <v/>
      </c>
    </row>
    <row r="243">
      <c r="A243" t="inlineStr">
        <is>
          <t>242</t>
        </is>
      </c>
      <c r="B243" t="inlineStr">
        <is>
          <t>Tristan Lyness</t>
        </is>
      </c>
      <c r="C243" t="inlineStr">
        <is>
          <t>Taunton Bike Club</t>
        </is>
      </c>
      <c r="D243" t="inlineStr">
        <is>
          <t>2</t>
        </is>
      </c>
      <c r="E243">
        <f>HYPERLINK("https://www.britishcycling.org.uk/points?person_id=772923&amp;year=2022&amp;type=national&amp;d=6","Results")</f>
        <v/>
      </c>
    </row>
    <row r="244">
      <c r="A244" t="inlineStr">
        <is>
          <t>243</t>
        </is>
      </c>
      <c r="B244" t="inlineStr">
        <is>
          <t>Charlie Barrett</t>
        </is>
      </c>
      <c r="C244" t="inlineStr">
        <is>
          <t>Hadleigh Cycling Club</t>
        </is>
      </c>
      <c r="D244" t="inlineStr">
        <is>
          <t>1</t>
        </is>
      </c>
      <c r="E244">
        <f>HYPERLINK("https://www.britishcycling.org.uk/points?person_id=1000099&amp;year=2022&amp;type=national&amp;d=6","Results")</f>
        <v/>
      </c>
    </row>
    <row r="245">
      <c r="A245" t="inlineStr">
        <is>
          <t>244</t>
        </is>
      </c>
      <c r="B245" t="inlineStr">
        <is>
          <t>Oliver Liptrot</t>
        </is>
      </c>
      <c r="C245" t="inlineStr">
        <is>
          <t>Graham Weigh Racing</t>
        </is>
      </c>
      <c r="D245" t="inlineStr">
        <is>
          <t>1</t>
        </is>
      </c>
      <c r="E245">
        <f>HYPERLINK("https://www.britishcycling.org.uk/points?person_id=750166&amp;year=2022&amp;type=national&amp;d=6","Results")</f>
        <v/>
      </c>
    </row>
    <row r="246">
      <c r="A246" t="inlineStr">
        <is>
          <t>245</t>
        </is>
      </c>
      <c r="B246" t="inlineStr">
        <is>
          <t>Antoni Malyszka</t>
        </is>
      </c>
      <c r="C246" t="inlineStr">
        <is>
          <t>Velouse Flyers</t>
        </is>
      </c>
      <c r="D246" t="inlineStr">
        <is>
          <t>1</t>
        </is>
      </c>
      <c r="E246">
        <f>HYPERLINK("https://www.britishcycling.org.uk/points?person_id=547804&amp;year=2022&amp;type=national&amp;d=6","Results")</f>
        <v/>
      </c>
    </row>
    <row r="247">
      <c r="A247" t="inlineStr">
        <is>
          <t>246</t>
        </is>
      </c>
      <c r="B247" t="inlineStr">
        <is>
          <t>Evan Mitchell</t>
        </is>
      </c>
      <c r="C247" t="inlineStr">
        <is>
          <t>Portsmouth North End CC</t>
        </is>
      </c>
      <c r="D247" t="inlineStr">
        <is>
          <t>1</t>
        </is>
      </c>
      <c r="E247">
        <f>HYPERLINK("https://www.britishcycling.org.uk/points?person_id=1072867&amp;year=2022&amp;type=national&amp;d=6","Results")</f>
        <v/>
      </c>
    </row>
    <row r="248">
      <c r="A248" t="inlineStr">
        <is>
          <t>247</t>
        </is>
      </c>
      <c r="B248" t="inlineStr">
        <is>
          <t>Alfie Punter</t>
        </is>
      </c>
      <c r="C248" t="inlineStr"/>
      <c r="D248" t="inlineStr">
        <is>
          <t>1</t>
        </is>
      </c>
      <c r="E248">
        <f>HYPERLINK("https://www.britishcycling.org.uk/points?person_id=991916&amp;year=2022&amp;type=national&amp;d=6","Results")</f>
        <v/>
      </c>
    </row>
    <row r="249">
      <c r="A249" t="inlineStr">
        <is>
          <t>248</t>
        </is>
      </c>
      <c r="B249" t="inlineStr">
        <is>
          <t>Dylan Shepherd</t>
        </is>
      </c>
      <c r="C249" t="inlineStr">
        <is>
          <t>Stratford CC</t>
        </is>
      </c>
      <c r="D249" t="inlineStr">
        <is>
          <t>1</t>
        </is>
      </c>
      <c r="E249">
        <f>HYPERLINK("https://www.britishcycling.org.uk/points?person_id=990874&amp;year=2022&amp;type=national&amp;d=6","Results")</f>
        <v/>
      </c>
    </row>
    <row r="250">
      <c r="A250" t="inlineStr">
        <is>
          <t>249</t>
        </is>
      </c>
      <c r="B250" t="inlineStr">
        <is>
          <t>Oliver Winstanley</t>
        </is>
      </c>
      <c r="C250" t="inlineStr">
        <is>
          <t>Maindy Flyers CC</t>
        </is>
      </c>
      <c r="D250" t="inlineStr">
        <is>
          <t>1</t>
        </is>
      </c>
      <c r="E250">
        <f>HYPERLINK("https://www.britishcycling.org.uk/points?person_id=561690&amp;year=2022&amp;type=national&amp;d=6","Results")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Cat Ferguson</t>
        </is>
      </c>
      <c r="C2" t="inlineStr">
        <is>
          <t>Hope Factory Racing</t>
        </is>
      </c>
      <c r="D2" t="inlineStr">
        <is>
          <t>346</t>
        </is>
      </c>
      <c r="E2">
        <f>HYPERLINK("https://www.britishcycling.org.uk/points?person_id=390279&amp;year=2022&amp;type=national&amp;d=6","Results")</f>
        <v/>
      </c>
    </row>
    <row r="3">
      <c r="A3" t="inlineStr">
        <is>
          <t>2</t>
        </is>
      </c>
      <c r="B3" t="inlineStr">
        <is>
          <t>Hope Inglis</t>
        </is>
      </c>
      <c r="C3" t="inlineStr">
        <is>
          <t>Brother UK-Orientation Marketing</t>
        </is>
      </c>
      <c r="D3" t="inlineStr">
        <is>
          <t>322</t>
        </is>
      </c>
      <c r="E3">
        <f>HYPERLINK("https://www.britishcycling.org.uk/points?person_id=265182&amp;year=2022&amp;type=national&amp;d=6","Results")</f>
        <v/>
      </c>
    </row>
    <row r="4">
      <c r="A4" t="inlineStr">
        <is>
          <t>3</t>
        </is>
      </c>
      <c r="B4" t="inlineStr">
        <is>
          <t>Niamh Murphy</t>
        </is>
      </c>
      <c r="C4" t="inlineStr">
        <is>
          <t>Montezuma's Race Team</t>
        </is>
      </c>
      <c r="D4" t="inlineStr">
        <is>
          <t>260</t>
        </is>
      </c>
      <c r="E4">
        <f>HYPERLINK("https://www.britishcycling.org.uk/points?person_id=343409&amp;year=2022&amp;type=national&amp;d=6","Results")</f>
        <v/>
      </c>
    </row>
    <row r="5">
      <c r="A5" t="inlineStr">
        <is>
          <t>4</t>
        </is>
      </c>
      <c r="B5" t="inlineStr">
        <is>
          <t>Alice Colling</t>
        </is>
      </c>
      <c r="C5" t="inlineStr">
        <is>
          <t>Shibden Cycling Club</t>
        </is>
      </c>
      <c r="D5" t="inlineStr">
        <is>
          <t>251</t>
        </is>
      </c>
      <c r="E5">
        <f>HYPERLINK("https://www.britishcycling.org.uk/points?person_id=232664&amp;year=2022&amp;type=national&amp;d=6","Results")</f>
        <v/>
      </c>
    </row>
    <row r="6">
      <c r="A6" t="inlineStr">
        <is>
          <t>5</t>
        </is>
      </c>
      <c r="B6" t="inlineStr">
        <is>
          <t>Elizabeth McKinnon</t>
        </is>
      </c>
      <c r="C6" t="inlineStr">
        <is>
          <t>Montezuma's Race Team</t>
        </is>
      </c>
      <c r="D6" t="inlineStr">
        <is>
          <t>201</t>
        </is>
      </c>
      <c r="E6">
        <f>HYPERLINK("https://www.britishcycling.org.uk/points?person_id=388144&amp;year=2022&amp;type=national&amp;d=6","Results")</f>
        <v/>
      </c>
    </row>
    <row r="7">
      <c r="A7" t="inlineStr">
        <is>
          <t>6</t>
        </is>
      </c>
      <c r="B7" t="inlineStr">
        <is>
          <t>Imogen Wolff</t>
        </is>
      </c>
      <c r="C7" t="inlineStr">
        <is>
          <t>Shibden Cycling Club</t>
        </is>
      </c>
      <c r="D7" t="inlineStr">
        <is>
          <t>185</t>
        </is>
      </c>
      <c r="E7">
        <f>HYPERLINK("https://www.britishcycling.org.uk/points?person_id=757738&amp;year=2022&amp;type=national&amp;d=6","Results")</f>
        <v/>
      </c>
    </row>
    <row r="8">
      <c r="A8" t="inlineStr">
        <is>
          <t>7</t>
        </is>
      </c>
      <c r="B8" t="inlineStr">
        <is>
          <t>Rebecca Woodvine</t>
        </is>
      </c>
      <c r="C8" t="inlineStr">
        <is>
          <t>RR23</t>
        </is>
      </c>
      <c r="D8" t="inlineStr">
        <is>
          <t>159</t>
        </is>
      </c>
      <c r="E8">
        <f>HYPERLINK("https://www.britishcycling.org.uk/points?person_id=308215&amp;year=2022&amp;type=national&amp;d=6","Results")</f>
        <v/>
      </c>
    </row>
    <row r="9">
      <c r="A9" t="inlineStr">
        <is>
          <t>8</t>
        </is>
      </c>
      <c r="B9" t="inlineStr">
        <is>
          <t>Carys Lloyd</t>
        </is>
      </c>
      <c r="C9" t="inlineStr">
        <is>
          <t>VC Londres</t>
        </is>
      </c>
      <c r="D9" t="inlineStr">
        <is>
          <t>147</t>
        </is>
      </c>
      <c r="E9">
        <f>HYPERLINK("https://www.britishcycling.org.uk/points?person_id=261152&amp;year=2022&amp;type=national&amp;d=6","Results")</f>
        <v/>
      </c>
    </row>
    <row r="10">
      <c r="A10" t="inlineStr">
        <is>
          <t>9</t>
        </is>
      </c>
      <c r="B10" t="inlineStr">
        <is>
          <t>Emily Carrick-Anderson</t>
        </is>
      </c>
      <c r="C10" t="inlineStr">
        <is>
          <t>T-Mo Racing</t>
        </is>
      </c>
      <c r="D10" t="inlineStr">
        <is>
          <t>145</t>
        </is>
      </c>
      <c r="E10">
        <f>HYPERLINK("https://www.britishcycling.org.uk/points?person_id=254522&amp;year=2022&amp;type=national&amp;d=6","Results")</f>
        <v/>
      </c>
    </row>
    <row r="11">
      <c r="A11" t="inlineStr">
        <is>
          <t>10</t>
        </is>
      </c>
      <c r="B11" t="inlineStr">
        <is>
          <t>Freya Whiteside</t>
        </is>
      </c>
      <c r="C11" t="inlineStr">
        <is>
          <t>Shibden Cycling Club</t>
        </is>
      </c>
      <c r="D11" t="inlineStr">
        <is>
          <t>134</t>
        </is>
      </c>
      <c r="E11">
        <f>HYPERLINK("https://www.britishcycling.org.uk/points?person_id=395535&amp;year=2022&amp;type=national&amp;d=6","Results")</f>
        <v/>
      </c>
    </row>
    <row r="12">
      <c r="A12" t="inlineStr">
        <is>
          <t>11</t>
        </is>
      </c>
      <c r="B12" t="inlineStr">
        <is>
          <t>Daisy Taylor</t>
        </is>
      </c>
      <c r="C12" t="inlineStr">
        <is>
          <t>Royal Albert CC</t>
        </is>
      </c>
      <c r="D12" t="inlineStr">
        <is>
          <t>123</t>
        </is>
      </c>
      <c r="E12">
        <f>HYPERLINK("https://www.britishcycling.org.uk/points?person_id=297674&amp;year=2022&amp;type=national&amp;d=6","Results")</f>
        <v/>
      </c>
    </row>
    <row r="13">
      <c r="A13" t="inlineStr">
        <is>
          <t>12</t>
        </is>
      </c>
      <c r="B13" t="inlineStr">
        <is>
          <t>Libby Bell</t>
        </is>
      </c>
      <c r="C13" t="inlineStr">
        <is>
          <t>Garden Shed UK-Ribble-Verge Sport</t>
        </is>
      </c>
      <c r="D13" t="inlineStr">
        <is>
          <t>110</t>
        </is>
      </c>
      <c r="E13">
        <f>HYPERLINK("https://www.britishcycling.org.uk/points?person_id=441969&amp;year=2022&amp;type=national&amp;d=6","Results")</f>
        <v/>
      </c>
    </row>
    <row r="14">
      <c r="A14" t="inlineStr">
        <is>
          <t>13</t>
        </is>
      </c>
      <c r="B14" t="inlineStr">
        <is>
          <t>Esther Wong</t>
        </is>
      </c>
      <c r="C14" t="inlineStr">
        <is>
          <t>Shibden Hope Tech Apex</t>
        </is>
      </c>
      <c r="D14" t="inlineStr">
        <is>
          <t>102</t>
        </is>
      </c>
      <c r="E14">
        <f>HYPERLINK("https://www.britishcycling.org.uk/points?person_id=190563&amp;year=2022&amp;type=national&amp;d=6","Results")</f>
        <v/>
      </c>
    </row>
    <row r="15">
      <c r="A15" t="inlineStr">
        <is>
          <t>14</t>
        </is>
      </c>
      <c r="B15" t="inlineStr">
        <is>
          <t>Kacey Eyeington</t>
        </is>
      </c>
      <c r="C15" t="inlineStr">
        <is>
          <t>Derwentside CC</t>
        </is>
      </c>
      <c r="D15" t="inlineStr">
        <is>
          <t>98</t>
        </is>
      </c>
      <c r="E15">
        <f>HYPERLINK("https://www.britishcycling.org.uk/points?person_id=190070&amp;year=2022&amp;type=national&amp;d=6","Results")</f>
        <v/>
      </c>
    </row>
    <row r="16">
      <c r="A16" t="inlineStr">
        <is>
          <t>15</t>
        </is>
      </c>
      <c r="B16" t="inlineStr">
        <is>
          <t>Lucy Benezet Minns</t>
        </is>
      </c>
      <c r="C16" t="inlineStr">
        <is>
          <t>VC Londres</t>
        </is>
      </c>
      <c r="D16" t="inlineStr">
        <is>
          <t>93</t>
        </is>
      </c>
      <c r="E16">
        <f>HYPERLINK("https://www.britishcycling.org.uk/points?person_id=708999&amp;year=2022&amp;type=national&amp;d=6","Results")</f>
        <v/>
      </c>
    </row>
    <row r="17">
      <c r="A17" t="inlineStr">
        <is>
          <t>16</t>
        </is>
      </c>
      <c r="B17" t="inlineStr">
        <is>
          <t>Matilda McKibben</t>
        </is>
      </c>
      <c r="C17" t="inlineStr">
        <is>
          <t>Shibden Cycling Club</t>
        </is>
      </c>
      <c r="D17" t="inlineStr">
        <is>
          <t>90</t>
        </is>
      </c>
      <c r="E17">
        <f>HYPERLINK("https://www.britishcycling.org.uk/points?person_id=688319&amp;year=2022&amp;type=national&amp;d=6","Results")</f>
        <v/>
      </c>
    </row>
    <row r="18">
      <c r="A18" t="inlineStr">
        <is>
          <t>17</t>
        </is>
      </c>
      <c r="B18" t="inlineStr">
        <is>
          <t>Hannah McClorey</t>
        </is>
      </c>
      <c r="C18" t="inlineStr">
        <is>
          <t>RFDA</t>
        </is>
      </c>
      <c r="D18" t="inlineStr">
        <is>
          <t>89</t>
        </is>
      </c>
      <c r="E18">
        <f>HYPERLINK("https://www.britishcycling.org.uk/points?person_id=444152&amp;year=2022&amp;type=national&amp;d=6","Results")</f>
        <v/>
      </c>
    </row>
    <row r="19">
      <c r="A19" t="inlineStr">
        <is>
          <t>18</t>
        </is>
      </c>
      <c r="B19" t="inlineStr">
        <is>
          <t>Anwen Nesham</t>
        </is>
      </c>
      <c r="C19" t="inlineStr">
        <is>
          <t>Cardiff JIF</t>
        </is>
      </c>
      <c r="D19" t="inlineStr">
        <is>
          <t>87</t>
        </is>
      </c>
      <c r="E19">
        <f>HYPERLINK("https://www.britishcycling.org.uk/points?person_id=233769&amp;year=2022&amp;type=national&amp;d=6","Results")</f>
        <v/>
      </c>
    </row>
    <row r="20">
      <c r="A20" t="inlineStr">
        <is>
          <t>19</t>
        </is>
      </c>
      <c r="B20" t="inlineStr">
        <is>
          <t>Layla Bradbrook</t>
        </is>
      </c>
      <c r="C20" t="inlineStr">
        <is>
          <t>Marsh Tracks Racing - Trek</t>
        </is>
      </c>
      <c r="D20" t="inlineStr">
        <is>
          <t>73</t>
        </is>
      </c>
      <c r="E20">
        <f>HYPERLINK("https://www.britishcycling.org.uk/points?person_id=447918&amp;year=2022&amp;type=national&amp;d=6","Results")</f>
        <v/>
      </c>
    </row>
    <row r="21">
      <c r="A21" t="inlineStr">
        <is>
          <t>20</t>
        </is>
      </c>
      <c r="B21" t="inlineStr">
        <is>
          <t>Phoebe Roche</t>
        </is>
      </c>
      <c r="C21" t="inlineStr">
        <is>
          <t>WXC World Racing</t>
        </is>
      </c>
      <c r="D21" t="inlineStr">
        <is>
          <t>68</t>
        </is>
      </c>
      <c r="E21">
        <f>HYPERLINK("https://www.britishcycling.org.uk/points?person_id=574071&amp;year=2022&amp;type=national&amp;d=6","Results")</f>
        <v/>
      </c>
    </row>
    <row r="22">
      <c r="A22" t="inlineStr">
        <is>
          <t>21</t>
        </is>
      </c>
      <c r="B22" t="inlineStr">
        <is>
          <t>Rebecca Gascoyne</t>
        </is>
      </c>
      <c r="C22" t="inlineStr">
        <is>
          <t>Sprockets Cycle Club</t>
        </is>
      </c>
      <c r="D22" t="inlineStr">
        <is>
          <t>61</t>
        </is>
      </c>
      <c r="E22">
        <f>HYPERLINK("https://www.britishcycling.org.uk/points?person_id=1024588&amp;year=2022&amp;type=national&amp;d=6","Results")</f>
        <v/>
      </c>
    </row>
    <row r="23">
      <c r="A23" t="inlineStr">
        <is>
          <t>22</t>
        </is>
      </c>
      <c r="B23" t="inlineStr">
        <is>
          <t>Amelia Cebak</t>
        </is>
      </c>
      <c r="C23" t="inlineStr">
        <is>
          <t>Team Milton Keynes</t>
        </is>
      </c>
      <c r="D23" t="inlineStr">
        <is>
          <t>59</t>
        </is>
      </c>
      <c r="E23">
        <f>HYPERLINK("https://www.britishcycling.org.uk/points?person_id=521404&amp;year=2022&amp;type=national&amp;d=6","Results")</f>
        <v/>
      </c>
    </row>
    <row r="24">
      <c r="A24" t="inlineStr">
        <is>
          <t>23</t>
        </is>
      </c>
      <c r="B24" t="inlineStr">
        <is>
          <t>Florence Greenhalgh</t>
        </is>
      </c>
      <c r="C24" t="inlineStr">
        <is>
          <t>Paul Milnes - Bradford Olympic RC</t>
        </is>
      </c>
      <c r="D24" t="inlineStr">
        <is>
          <t>59</t>
        </is>
      </c>
      <c r="E24">
        <f>HYPERLINK("https://www.britishcycling.org.uk/points?person_id=339045&amp;year=2022&amp;type=national&amp;d=6","Results")</f>
        <v/>
      </c>
    </row>
    <row r="25">
      <c r="A25" t="inlineStr">
        <is>
          <t>24</t>
        </is>
      </c>
      <c r="B25" t="inlineStr">
        <is>
          <t>Esme Wiley</t>
        </is>
      </c>
      <c r="C25" t="inlineStr">
        <is>
          <t>VC Londres</t>
        </is>
      </c>
      <c r="D25" t="inlineStr">
        <is>
          <t>59</t>
        </is>
      </c>
      <c r="E25">
        <f>HYPERLINK("https://www.britishcycling.org.uk/points?person_id=226256&amp;year=2022&amp;type=national&amp;d=6","Results")</f>
        <v/>
      </c>
    </row>
    <row r="26">
      <c r="A26" t="inlineStr">
        <is>
          <t>25</t>
        </is>
      </c>
      <c r="B26" t="inlineStr">
        <is>
          <t>Evie Steed</t>
        </is>
      </c>
      <c r="C26" t="inlineStr">
        <is>
          <t>Sherwood Pines Cycles Forme</t>
        </is>
      </c>
      <c r="D26" t="inlineStr">
        <is>
          <t>58</t>
        </is>
      </c>
      <c r="E26">
        <f>HYPERLINK("https://www.britishcycling.org.uk/points?person_id=309238&amp;year=2022&amp;type=national&amp;d=6","Results")</f>
        <v/>
      </c>
    </row>
    <row r="27">
      <c r="A27" t="inlineStr">
        <is>
          <t>26</t>
        </is>
      </c>
      <c r="B27" t="inlineStr">
        <is>
          <t>Bethany-Ann Jackson</t>
        </is>
      </c>
      <c r="C27" t="inlineStr">
        <is>
          <t>WXC World Racing</t>
        </is>
      </c>
      <c r="D27" t="inlineStr">
        <is>
          <t>53</t>
        </is>
      </c>
      <c r="E27">
        <f>HYPERLINK("https://www.britishcycling.org.uk/points?person_id=330995&amp;year=2022&amp;type=national&amp;d=6","Results")</f>
        <v/>
      </c>
    </row>
    <row r="28">
      <c r="A28" t="inlineStr">
        <is>
          <t>27</t>
        </is>
      </c>
      <c r="B28" t="inlineStr">
        <is>
          <t>Florence Lissaman</t>
        </is>
      </c>
      <c r="C28" t="inlineStr">
        <is>
          <t>Newark Castle CC</t>
        </is>
      </c>
      <c r="D28" t="inlineStr">
        <is>
          <t>51</t>
        </is>
      </c>
      <c r="E28">
        <f>HYPERLINK("https://www.britishcycling.org.uk/points?person_id=318895&amp;year=2022&amp;type=national&amp;d=6","Results")</f>
        <v/>
      </c>
    </row>
    <row r="29">
      <c r="A29" t="inlineStr">
        <is>
          <t>28</t>
        </is>
      </c>
      <c r="B29" t="inlineStr">
        <is>
          <t>Isabel Mayes</t>
        </is>
      </c>
      <c r="C29" t="inlineStr">
        <is>
          <t>JRC-INTERFLON Race Team</t>
        </is>
      </c>
      <c r="D29" t="inlineStr">
        <is>
          <t>51</t>
        </is>
      </c>
      <c r="E29">
        <f>HYPERLINK("https://www.britishcycling.org.uk/points?person_id=541628&amp;year=2022&amp;type=national&amp;d=6","Results")</f>
        <v/>
      </c>
    </row>
    <row r="30">
      <c r="A30" t="inlineStr">
        <is>
          <t>29</t>
        </is>
      </c>
      <c r="B30" t="inlineStr">
        <is>
          <t>Greta Carey</t>
        </is>
      </c>
      <c r="C30" t="inlineStr">
        <is>
          <t>Pedalon.co.uk</t>
        </is>
      </c>
      <c r="D30" t="inlineStr">
        <is>
          <t>42</t>
        </is>
      </c>
      <c r="E30">
        <f>HYPERLINK("https://www.britishcycling.org.uk/points?person_id=173176&amp;year=2022&amp;type=national&amp;d=6","Results")</f>
        <v/>
      </c>
    </row>
    <row r="31">
      <c r="A31" t="inlineStr">
        <is>
          <t>30</t>
        </is>
      </c>
      <c r="B31" t="inlineStr">
        <is>
          <t>Harriet Limb</t>
        </is>
      </c>
      <c r="C31" t="inlineStr">
        <is>
          <t>WXC World Racing</t>
        </is>
      </c>
      <c r="D31" t="inlineStr">
        <is>
          <t>38</t>
        </is>
      </c>
      <c r="E31">
        <f>HYPERLINK("https://www.britishcycling.org.uk/points?person_id=234445&amp;year=2022&amp;type=national&amp;d=6","Results")</f>
        <v/>
      </c>
    </row>
    <row r="32">
      <c r="A32" t="inlineStr">
        <is>
          <t>31</t>
        </is>
      </c>
      <c r="B32" t="inlineStr">
        <is>
          <t>Lucy Allsop</t>
        </is>
      </c>
      <c r="C32" t="inlineStr">
        <is>
          <t>ROTOR Race Team</t>
        </is>
      </c>
      <c r="D32" t="inlineStr">
        <is>
          <t>37</t>
        </is>
      </c>
      <c r="E32">
        <f>HYPERLINK("https://www.britishcycling.org.uk/points?person_id=28777&amp;year=2022&amp;type=national&amp;d=6","Results")</f>
        <v/>
      </c>
    </row>
    <row r="33">
      <c r="A33" t="inlineStr">
        <is>
          <t>32</t>
        </is>
      </c>
      <c r="B33" t="inlineStr">
        <is>
          <t>Amy Mourne</t>
        </is>
      </c>
      <c r="C33" t="inlineStr">
        <is>
          <t>Shibden Cycling Club</t>
        </is>
      </c>
      <c r="D33" t="inlineStr">
        <is>
          <t>33</t>
        </is>
      </c>
      <c r="E33">
        <f>HYPERLINK("https://www.britishcycling.org.uk/points?person_id=358925&amp;year=2022&amp;type=national&amp;d=6","Results")</f>
        <v/>
      </c>
    </row>
    <row r="34">
      <c r="A34" t="inlineStr">
        <is>
          <t>33</t>
        </is>
      </c>
      <c r="B34" t="inlineStr">
        <is>
          <t>Lucy Phillips</t>
        </is>
      </c>
      <c r="C34" t="inlineStr">
        <is>
          <t>Sotonia CC</t>
        </is>
      </c>
      <c r="D34" t="inlineStr">
        <is>
          <t>33</t>
        </is>
      </c>
      <c r="E34">
        <f>HYPERLINK("https://www.britishcycling.org.uk/points?person_id=649820&amp;year=2022&amp;type=national&amp;d=6","Results")</f>
        <v/>
      </c>
    </row>
    <row r="35">
      <c r="A35" t="inlineStr">
        <is>
          <t>34</t>
        </is>
      </c>
      <c r="B35" t="inlineStr">
        <is>
          <t>Isabel Wallace</t>
        </is>
      </c>
      <c r="C35" t="inlineStr">
        <is>
          <t>Lee Velo (South East London)</t>
        </is>
      </c>
      <c r="D35" t="inlineStr">
        <is>
          <t>33</t>
        </is>
      </c>
      <c r="E35">
        <f>HYPERLINK("https://www.britishcycling.org.uk/points?person_id=899655&amp;year=2022&amp;type=national&amp;d=6","Results")</f>
        <v/>
      </c>
    </row>
    <row r="36">
      <c r="A36" t="inlineStr">
        <is>
          <t>35</t>
        </is>
      </c>
      <c r="B36" t="inlineStr">
        <is>
          <t>Caitlyn Beardsmore</t>
        </is>
      </c>
      <c r="C36" t="inlineStr">
        <is>
          <t>Team Empella Cyclo-Cross.Com</t>
        </is>
      </c>
      <c r="D36" t="inlineStr">
        <is>
          <t>32</t>
        </is>
      </c>
      <c r="E36">
        <f>HYPERLINK("https://www.britishcycling.org.uk/points?person_id=528370&amp;year=2022&amp;type=national&amp;d=6","Results")</f>
        <v/>
      </c>
    </row>
    <row r="37">
      <c r="A37" t="inlineStr">
        <is>
          <t>36</t>
        </is>
      </c>
      <c r="B37" t="inlineStr">
        <is>
          <t>Lowri Richards</t>
        </is>
      </c>
      <c r="C37" t="inlineStr">
        <is>
          <t>Backstedt Bike Performance RC</t>
        </is>
      </c>
      <c r="D37" t="inlineStr">
        <is>
          <t>28</t>
        </is>
      </c>
      <c r="E37">
        <f>HYPERLINK("https://www.britishcycling.org.uk/points?person_id=249178&amp;year=2022&amp;type=national&amp;d=6","Results")</f>
        <v/>
      </c>
    </row>
    <row r="38">
      <c r="A38" t="inlineStr">
        <is>
          <t>37</t>
        </is>
      </c>
      <c r="B38" t="inlineStr">
        <is>
          <t>Harriette Taylor</t>
        </is>
      </c>
      <c r="C38" t="inlineStr">
        <is>
          <t>Chase Racing</t>
        </is>
      </c>
      <c r="D38" t="inlineStr">
        <is>
          <t>28</t>
        </is>
      </c>
      <c r="E38">
        <f>HYPERLINK("https://www.britishcycling.org.uk/points?person_id=669204&amp;year=2022&amp;type=national&amp;d=6","Results")</f>
        <v/>
      </c>
    </row>
    <row r="39">
      <c r="A39" t="inlineStr">
        <is>
          <t>38</t>
        </is>
      </c>
      <c r="B39" t="inlineStr">
        <is>
          <t>Amy Kolbert</t>
        </is>
      </c>
      <c r="C39" t="inlineStr">
        <is>
          <t>Witham Wheelers Cycling Club</t>
        </is>
      </c>
      <c r="D39" t="inlineStr">
        <is>
          <t>26</t>
        </is>
      </c>
      <c r="E39">
        <f>HYPERLINK("https://www.britishcycling.org.uk/points?person_id=521460&amp;year=2022&amp;type=national&amp;d=6","Results")</f>
        <v/>
      </c>
    </row>
    <row r="40">
      <c r="A40" t="inlineStr">
        <is>
          <t>39</t>
        </is>
      </c>
      <c r="B40" t="inlineStr">
        <is>
          <t>Eleanor Whalley</t>
        </is>
      </c>
      <c r="C40" t="inlineStr">
        <is>
          <t>Magspeed Racing</t>
        </is>
      </c>
      <c r="D40" t="inlineStr">
        <is>
          <t>25</t>
        </is>
      </c>
      <c r="E40">
        <f>HYPERLINK("https://www.britishcycling.org.uk/points?person_id=766472&amp;year=2022&amp;type=national&amp;d=6","Results")</f>
        <v/>
      </c>
    </row>
    <row r="41">
      <c r="A41" t="inlineStr">
        <is>
          <t>40</t>
        </is>
      </c>
      <c r="B41" t="inlineStr">
        <is>
          <t>Amelia Cleathero</t>
        </is>
      </c>
      <c r="C41" t="inlineStr">
        <is>
          <t>Reifen Racing</t>
        </is>
      </c>
      <c r="D41" t="inlineStr">
        <is>
          <t>24</t>
        </is>
      </c>
      <c r="E41">
        <f>HYPERLINK("https://www.britishcycling.org.uk/points?person_id=225648&amp;year=2022&amp;type=national&amp;d=6","Results")</f>
        <v/>
      </c>
    </row>
    <row r="42">
      <c r="A42" t="inlineStr">
        <is>
          <t>41</t>
        </is>
      </c>
      <c r="B42" t="inlineStr">
        <is>
          <t>Freya Eccleston</t>
        </is>
      </c>
      <c r="C42" t="inlineStr">
        <is>
          <t>Brother UK-Orientation Marketing</t>
        </is>
      </c>
      <c r="D42" t="inlineStr">
        <is>
          <t>22</t>
        </is>
      </c>
      <c r="E42">
        <f>HYPERLINK("https://www.britishcycling.org.uk/points?person_id=619987&amp;year=2022&amp;type=national&amp;d=6","Results")</f>
        <v/>
      </c>
    </row>
    <row r="43">
      <c r="A43" t="inlineStr">
        <is>
          <t>42</t>
        </is>
      </c>
      <c r="B43" t="inlineStr">
        <is>
          <t>Heather Robinson</t>
        </is>
      </c>
      <c r="C43" t="inlineStr">
        <is>
          <t>Hetton Hawks Cycling Club</t>
        </is>
      </c>
      <c r="D43" t="inlineStr">
        <is>
          <t>22</t>
        </is>
      </c>
      <c r="E43">
        <f>HYPERLINK("https://www.britishcycling.org.uk/points?person_id=402642&amp;year=2022&amp;type=national&amp;d=6","Results")</f>
        <v/>
      </c>
    </row>
    <row r="44">
      <c r="A44" t="inlineStr">
        <is>
          <t>43</t>
        </is>
      </c>
      <c r="B44" t="inlineStr">
        <is>
          <t>Phoebe Skinner</t>
        </is>
      </c>
      <c r="C44" t="inlineStr">
        <is>
          <t>Derwentside CC</t>
        </is>
      </c>
      <c r="D44" t="inlineStr">
        <is>
          <t>21</t>
        </is>
      </c>
      <c r="E44">
        <f>HYPERLINK("https://www.britishcycling.org.uk/points?person_id=736104&amp;year=2022&amp;type=national&amp;d=6","Results")</f>
        <v/>
      </c>
    </row>
    <row r="45">
      <c r="A45" t="inlineStr">
        <is>
          <t>44</t>
        </is>
      </c>
      <c r="B45" t="inlineStr">
        <is>
          <t>Isla Easto</t>
        </is>
      </c>
      <c r="C45" t="inlineStr">
        <is>
          <t>JRC-INTERFLON Race Team</t>
        </is>
      </c>
      <c r="D45" t="inlineStr">
        <is>
          <t>20</t>
        </is>
      </c>
      <c r="E45">
        <f>HYPERLINK("https://www.britishcycling.org.uk/points?person_id=1030581&amp;year=2022&amp;type=national&amp;d=6","Results")</f>
        <v/>
      </c>
    </row>
    <row r="46">
      <c r="A46" t="inlineStr">
        <is>
          <t>45</t>
        </is>
      </c>
      <c r="B46" t="inlineStr">
        <is>
          <t>Millie Thomson</t>
        </is>
      </c>
      <c r="C46" t="inlineStr">
        <is>
          <t>Deeside Thistle CC</t>
        </is>
      </c>
      <c r="D46" t="inlineStr">
        <is>
          <t>19</t>
        </is>
      </c>
      <c r="E46">
        <f>HYPERLINK("https://www.britishcycling.org.uk/points?person_id=454300&amp;year=2022&amp;type=national&amp;d=6","Results")</f>
        <v/>
      </c>
    </row>
    <row r="47">
      <c r="A47" t="inlineStr">
        <is>
          <t>46</t>
        </is>
      </c>
      <c r="B47" t="inlineStr">
        <is>
          <t>Imogen Cox</t>
        </is>
      </c>
      <c r="C47" t="inlineStr">
        <is>
          <t>Bicester Millennium CC</t>
        </is>
      </c>
      <c r="D47" t="inlineStr">
        <is>
          <t>18</t>
        </is>
      </c>
      <c r="E47">
        <f>HYPERLINK("https://www.britishcycling.org.uk/points?person_id=381051&amp;year=2022&amp;type=national&amp;d=6","Results")</f>
        <v/>
      </c>
    </row>
    <row r="48">
      <c r="A48" t="inlineStr">
        <is>
          <t>47</t>
        </is>
      </c>
      <c r="B48" t="inlineStr">
        <is>
          <t>Lotty Dawson</t>
        </is>
      </c>
      <c r="C48" t="inlineStr">
        <is>
          <t>Backstedt Bike Performance JRT</t>
        </is>
      </c>
      <c r="D48" t="inlineStr">
        <is>
          <t>18</t>
        </is>
      </c>
      <c r="E48">
        <f>HYPERLINK("https://www.britishcycling.org.uk/points?person_id=666529&amp;year=2022&amp;type=national&amp;d=6","Results")</f>
        <v/>
      </c>
    </row>
    <row r="49">
      <c r="A49" t="inlineStr">
        <is>
          <t>48</t>
        </is>
      </c>
      <c r="B49" t="inlineStr">
        <is>
          <t>Abigail Miller</t>
        </is>
      </c>
      <c r="C49" t="inlineStr">
        <is>
          <t>WXC World Racing</t>
        </is>
      </c>
      <c r="D49" t="inlineStr">
        <is>
          <t>18</t>
        </is>
      </c>
      <c r="E49">
        <f>HYPERLINK("https://www.britishcycling.org.uk/points?person_id=532038&amp;year=2022&amp;type=national&amp;d=6","Results")</f>
        <v/>
      </c>
    </row>
    <row r="50">
      <c r="A50" t="inlineStr">
        <is>
          <t>49</t>
        </is>
      </c>
      <c r="B50" t="inlineStr">
        <is>
          <t>Electra Morris</t>
        </is>
      </c>
      <c r="C50" t="inlineStr">
        <is>
          <t>Charlotteville CC</t>
        </is>
      </c>
      <c r="D50" t="inlineStr">
        <is>
          <t>16</t>
        </is>
      </c>
      <c r="E50">
        <f>HYPERLINK("https://www.britishcycling.org.uk/points?person_id=194434&amp;year=2022&amp;type=national&amp;d=6","Results")</f>
        <v/>
      </c>
    </row>
    <row r="51">
      <c r="A51" t="inlineStr">
        <is>
          <t>50</t>
        </is>
      </c>
      <c r="B51" t="inlineStr">
        <is>
          <t>Chloe Shephard</t>
        </is>
      </c>
      <c r="C51" t="inlineStr">
        <is>
          <t>Cheltenham Town Wheelers</t>
        </is>
      </c>
      <c r="D51" t="inlineStr">
        <is>
          <t>15</t>
        </is>
      </c>
      <c r="E51">
        <f>HYPERLINK("https://www.britishcycling.org.uk/points?person_id=766819&amp;year=2022&amp;type=national&amp;d=6","Results")</f>
        <v/>
      </c>
    </row>
    <row r="52">
      <c r="A52" t="inlineStr">
        <is>
          <t>51</t>
        </is>
      </c>
      <c r="B52" t="inlineStr">
        <is>
          <t>Ellen Phillips</t>
        </is>
      </c>
      <c r="C52" t="inlineStr">
        <is>
          <t>Welwyn Wheelers CC</t>
        </is>
      </c>
      <c r="D52" t="inlineStr">
        <is>
          <t>14</t>
        </is>
      </c>
      <c r="E52">
        <f>HYPERLINK("https://www.britishcycling.org.uk/points?person_id=509415&amp;year=2022&amp;type=national&amp;d=6","Results")</f>
        <v/>
      </c>
    </row>
    <row r="53">
      <c r="A53" t="inlineStr">
        <is>
          <t>52</t>
        </is>
      </c>
      <c r="B53" t="inlineStr">
        <is>
          <t>Tabitha Ward</t>
        </is>
      </c>
      <c r="C53" t="inlineStr">
        <is>
          <t>WORX Factory Racing</t>
        </is>
      </c>
      <c r="D53" t="inlineStr">
        <is>
          <t>13</t>
        </is>
      </c>
      <c r="E53">
        <f>HYPERLINK("https://www.britishcycling.org.uk/points?person_id=448790&amp;year=2022&amp;type=national&amp;d=6","Results")</f>
        <v/>
      </c>
    </row>
    <row r="54">
      <c r="A54" t="inlineStr">
        <is>
          <t>53</t>
        </is>
      </c>
      <c r="B54" t="inlineStr">
        <is>
          <t>Aileigh Easton</t>
        </is>
      </c>
      <c r="C54" t="inlineStr">
        <is>
          <t>Discovery Junior Cycling Club</t>
        </is>
      </c>
      <c r="D54" t="inlineStr">
        <is>
          <t>12</t>
        </is>
      </c>
      <c r="E54">
        <f>HYPERLINK("https://www.britishcycling.org.uk/points?person_id=558854&amp;year=2022&amp;type=national&amp;d=6","Results")</f>
        <v/>
      </c>
    </row>
    <row r="55">
      <c r="A55" t="inlineStr">
        <is>
          <t>54</t>
        </is>
      </c>
      <c r="B55" t="inlineStr">
        <is>
          <t>Ellie Harrison</t>
        </is>
      </c>
      <c r="C55" t="inlineStr">
        <is>
          <t>Clifton CC</t>
        </is>
      </c>
      <c r="D55" t="inlineStr">
        <is>
          <t>12</t>
        </is>
      </c>
      <c r="E55">
        <f>HYPERLINK("https://www.britishcycling.org.uk/points?person_id=661953&amp;year=2022&amp;type=national&amp;d=6","Results")</f>
        <v/>
      </c>
    </row>
    <row r="56">
      <c r="A56" t="inlineStr">
        <is>
          <t>55</t>
        </is>
      </c>
      <c r="B56" t="inlineStr">
        <is>
          <t>Evie Moran</t>
        </is>
      </c>
      <c r="C56" t="inlineStr">
        <is>
          <t>Palmer Park Velo RT</t>
        </is>
      </c>
      <c r="D56" t="inlineStr">
        <is>
          <t>12</t>
        </is>
      </c>
      <c r="E56">
        <f>HYPERLINK("https://www.britishcycling.org.uk/points?person_id=629813&amp;year=2022&amp;type=national&amp;d=6","Results")</f>
        <v/>
      </c>
    </row>
    <row r="57">
      <c r="A57" t="inlineStr">
        <is>
          <t>56</t>
        </is>
      </c>
      <c r="B57" t="inlineStr">
        <is>
          <t>Amelia Walton</t>
        </is>
      </c>
      <c r="C57" t="inlineStr">
        <is>
          <t>ESV Manchester</t>
        </is>
      </c>
      <c r="D57" t="inlineStr">
        <is>
          <t>12</t>
        </is>
      </c>
      <c r="E57">
        <f>HYPERLINK("https://www.britishcycling.org.uk/points?person_id=227275&amp;year=2022&amp;type=national&amp;d=6","Results")</f>
        <v/>
      </c>
    </row>
    <row r="58">
      <c r="A58" t="inlineStr">
        <is>
          <t>57</t>
        </is>
      </c>
      <c r="B58" t="inlineStr">
        <is>
          <t>Melissa Cooper</t>
        </is>
      </c>
      <c r="C58" t="inlineStr">
        <is>
          <t>Ignite</t>
        </is>
      </c>
      <c r="D58" t="inlineStr">
        <is>
          <t>11</t>
        </is>
      </c>
      <c r="E58">
        <f>HYPERLINK("https://www.britishcycling.org.uk/points?person_id=255794&amp;year=2022&amp;type=national&amp;d=6","Results")</f>
        <v/>
      </c>
    </row>
    <row r="59">
      <c r="A59" t="inlineStr">
        <is>
          <t>58</t>
        </is>
      </c>
      <c r="B59" t="inlineStr">
        <is>
          <t>Jamie Leigh Lloyd</t>
        </is>
      </c>
      <c r="C59" t="inlineStr">
        <is>
          <t>Liverpool Braveheart Bicycle Club</t>
        </is>
      </c>
      <c r="D59" t="inlineStr">
        <is>
          <t>11</t>
        </is>
      </c>
      <c r="E59">
        <f>HYPERLINK("https://www.britishcycling.org.uk/points?person_id=817227&amp;year=2022&amp;type=national&amp;d=6","Results")</f>
        <v/>
      </c>
    </row>
    <row r="60">
      <c r="A60" t="inlineStr">
        <is>
          <t>59</t>
        </is>
      </c>
      <c r="B60" t="inlineStr">
        <is>
          <t>Kate Coulson</t>
        </is>
      </c>
      <c r="C60" t="inlineStr">
        <is>
          <t>Palmer Park Velo RT</t>
        </is>
      </c>
      <c r="D60" t="inlineStr">
        <is>
          <t>10</t>
        </is>
      </c>
      <c r="E60">
        <f>HYPERLINK("https://www.britishcycling.org.uk/points?person_id=616367&amp;year=2022&amp;type=national&amp;d=6","Results")</f>
        <v/>
      </c>
    </row>
    <row r="61">
      <c r="A61" t="inlineStr">
        <is>
          <t>60</t>
        </is>
      </c>
      <c r="B61" t="inlineStr">
        <is>
          <t>Isla Glossop</t>
        </is>
      </c>
      <c r="C61" t="inlineStr">
        <is>
          <t>Bolton Hot Wheels CC</t>
        </is>
      </c>
      <c r="D61" t="inlineStr">
        <is>
          <t>8</t>
        </is>
      </c>
      <c r="E61">
        <f>HYPERLINK("https://www.britishcycling.org.uk/points?person_id=411793&amp;year=2022&amp;type=national&amp;d=6","Results")</f>
        <v/>
      </c>
    </row>
    <row r="62">
      <c r="A62" t="inlineStr">
        <is>
          <t>61</t>
        </is>
      </c>
      <c r="B62" t="inlineStr">
        <is>
          <t>Evie Bellingall</t>
        </is>
      </c>
      <c r="C62" t="inlineStr">
        <is>
          <t>Matlock CC</t>
        </is>
      </c>
      <c r="D62" t="inlineStr">
        <is>
          <t>7</t>
        </is>
      </c>
      <c r="E62">
        <f>HYPERLINK("https://www.britishcycling.org.uk/points?person_id=854538&amp;year=2022&amp;type=national&amp;d=6","Results")</f>
        <v/>
      </c>
    </row>
    <row r="63">
      <c r="A63" t="inlineStr">
        <is>
          <t>62</t>
        </is>
      </c>
      <c r="B63" t="inlineStr">
        <is>
          <t>Megan Lewis</t>
        </is>
      </c>
      <c r="C63" t="inlineStr">
        <is>
          <t>Ystwyth Cycling Club</t>
        </is>
      </c>
      <c r="D63" t="inlineStr">
        <is>
          <t>6</t>
        </is>
      </c>
      <c r="E63">
        <f>HYPERLINK("https://www.britishcycling.org.uk/points?person_id=616527&amp;year=2022&amp;type=national&amp;d=6","Results")</f>
        <v/>
      </c>
    </row>
    <row r="64">
      <c r="A64" t="inlineStr">
        <is>
          <t>63</t>
        </is>
      </c>
      <c r="B64" t="inlineStr">
        <is>
          <t>Elen Ruck</t>
        </is>
      </c>
      <c r="C64" t="inlineStr">
        <is>
          <t>Avid Sport</t>
        </is>
      </c>
      <c r="D64" t="inlineStr">
        <is>
          <t>6</t>
        </is>
      </c>
      <c r="E64">
        <f>HYPERLINK("https://www.britishcycling.org.uk/points?person_id=532315&amp;year=2022&amp;type=national&amp;d=6","Results")</f>
        <v/>
      </c>
    </row>
    <row r="65">
      <c r="A65" t="inlineStr">
        <is>
          <t>64</t>
        </is>
      </c>
      <c r="B65" t="inlineStr">
        <is>
          <t>Mia Rutterford</t>
        </is>
      </c>
      <c r="C65" t="inlineStr">
        <is>
          <t>Montezuma's Race Team</t>
        </is>
      </c>
      <c r="D65" t="inlineStr">
        <is>
          <t>5</t>
        </is>
      </c>
      <c r="E65">
        <f>HYPERLINK("https://www.britishcycling.org.uk/points?person_id=351824&amp;year=2022&amp;type=national&amp;d=6","Results")</f>
        <v/>
      </c>
    </row>
    <row r="66">
      <c r="A66" t="inlineStr">
        <is>
          <t>65</t>
        </is>
      </c>
      <c r="B66" t="inlineStr">
        <is>
          <t>Molly Thomas</t>
        </is>
      </c>
      <c r="C66" t="inlineStr"/>
      <c r="D66" t="inlineStr">
        <is>
          <t>5</t>
        </is>
      </c>
      <c r="E66">
        <f>HYPERLINK("https://www.britishcycling.org.uk/points?person_id=1032763&amp;year=2022&amp;type=national&amp;d=6","Results")</f>
        <v/>
      </c>
    </row>
    <row r="67">
      <c r="A67" t="inlineStr">
        <is>
          <t>66</t>
        </is>
      </c>
      <c r="B67" t="inlineStr">
        <is>
          <t>Lindsay Toy</t>
        </is>
      </c>
      <c r="C67" t="inlineStr">
        <is>
          <t>Beeston RC</t>
        </is>
      </c>
      <c r="D67" t="inlineStr">
        <is>
          <t>5</t>
        </is>
      </c>
      <c r="E67">
        <f>HYPERLINK("https://www.britishcycling.org.uk/points?person_id=463061&amp;year=2022&amp;type=national&amp;d=6","Results")</f>
        <v/>
      </c>
    </row>
    <row r="68">
      <c r="A68" t="inlineStr">
        <is>
          <t>67</t>
        </is>
      </c>
      <c r="B68" t="inlineStr">
        <is>
          <t>Eleanor Hind</t>
        </is>
      </c>
      <c r="C68" t="inlineStr">
        <is>
          <t>Cycling Club Hackney</t>
        </is>
      </c>
      <c r="D68" t="inlineStr">
        <is>
          <t>4</t>
        </is>
      </c>
      <c r="E68">
        <f>HYPERLINK("https://www.britishcycling.org.uk/points?person_id=952171&amp;year=2022&amp;type=national&amp;d=6","Results")</f>
        <v/>
      </c>
    </row>
    <row r="69">
      <c r="A69" t="inlineStr">
        <is>
          <t>68</t>
        </is>
      </c>
      <c r="B69" t="inlineStr">
        <is>
          <t>Floella Phillips</t>
        </is>
      </c>
      <c r="C69" t="inlineStr">
        <is>
          <t>Clifton CC</t>
        </is>
      </c>
      <c r="D69" t="inlineStr">
        <is>
          <t>4</t>
        </is>
      </c>
      <c r="E69">
        <f>HYPERLINK("https://www.britishcycling.org.uk/points?person_id=883399&amp;year=2022&amp;type=national&amp;d=6","Results")</f>
        <v/>
      </c>
    </row>
    <row r="70">
      <c r="A70" t="inlineStr">
        <is>
          <t>69</t>
        </is>
      </c>
      <c r="B70" t="inlineStr">
        <is>
          <t>Molly Barker</t>
        </is>
      </c>
      <c r="C70" t="inlineStr">
        <is>
          <t>Welwyn Wheelers CC</t>
        </is>
      </c>
      <c r="D70" t="inlineStr">
        <is>
          <t>3</t>
        </is>
      </c>
      <c r="E70">
        <f>HYPERLINK("https://www.britishcycling.org.uk/points?person_id=229495&amp;year=2022&amp;type=national&amp;d=6","Results")</f>
        <v/>
      </c>
    </row>
    <row r="71">
      <c r="A71" t="inlineStr">
        <is>
          <t>70</t>
        </is>
      </c>
      <c r="B71" t="inlineStr">
        <is>
          <t>Katie-Anne Calton</t>
        </is>
      </c>
      <c r="C71" t="inlineStr">
        <is>
          <t>Jadan - Vive le Velo</t>
        </is>
      </c>
      <c r="D71" t="inlineStr">
        <is>
          <t>3</t>
        </is>
      </c>
      <c r="E71">
        <f>HYPERLINK("https://www.britishcycling.org.uk/points?person_id=612433&amp;year=2022&amp;type=national&amp;d=6","Results")</f>
        <v/>
      </c>
    </row>
    <row r="72">
      <c r="A72" t="inlineStr">
        <is>
          <t>71</t>
        </is>
      </c>
      <c r="B72" t="inlineStr">
        <is>
          <t>Lola Ellis</t>
        </is>
      </c>
      <c r="C72" t="inlineStr">
        <is>
          <t>Jadan - Vive le Velo</t>
        </is>
      </c>
      <c r="D72" t="inlineStr">
        <is>
          <t>3</t>
        </is>
      </c>
      <c r="E72">
        <f>HYPERLINK("https://www.britishcycling.org.uk/points?person_id=539187&amp;year=2022&amp;type=national&amp;d=6","Results")</f>
        <v/>
      </c>
    </row>
    <row r="73">
      <c r="A73" t="inlineStr">
        <is>
          <t>72</t>
        </is>
      </c>
      <c r="B73" t="inlineStr">
        <is>
          <t>Lorna Farrar</t>
        </is>
      </c>
      <c r="C73" t="inlineStr"/>
      <c r="D73" t="inlineStr">
        <is>
          <t>3</t>
        </is>
      </c>
      <c r="E73">
        <f>HYPERLINK("https://www.britishcycling.org.uk/points?person_id=198038&amp;year=2022&amp;type=national&amp;d=6","Results")</f>
        <v/>
      </c>
    </row>
    <row r="74">
      <c r="A74" t="inlineStr">
        <is>
          <t>73</t>
        </is>
      </c>
      <c r="B74" t="inlineStr">
        <is>
          <t>Georgia Lancaster</t>
        </is>
      </c>
      <c r="C74" t="inlineStr">
        <is>
          <t>Sleaford Wheelers Cycling Club</t>
        </is>
      </c>
      <c r="D74" t="inlineStr">
        <is>
          <t>3</t>
        </is>
      </c>
      <c r="E74">
        <f>HYPERLINK("https://www.britishcycling.org.uk/points?person_id=449662&amp;year=2022&amp;type=national&amp;d=6","Results")</f>
        <v/>
      </c>
    </row>
    <row r="75">
      <c r="A75" t="inlineStr">
        <is>
          <t>74</t>
        </is>
      </c>
      <c r="B75" t="inlineStr">
        <is>
          <t>Florence Whiteley</t>
        </is>
      </c>
      <c r="C75" t="inlineStr">
        <is>
          <t>Huddersfield Star Wheelers</t>
        </is>
      </c>
      <c r="D75" t="inlineStr">
        <is>
          <t>3</t>
        </is>
      </c>
      <c r="E75">
        <f>HYPERLINK("https://www.britishcycling.org.uk/points?person_id=263990&amp;year=2022&amp;type=national&amp;d=6","Results")</f>
        <v/>
      </c>
    </row>
    <row r="76">
      <c r="A76" t="inlineStr">
        <is>
          <t>75</t>
        </is>
      </c>
      <c r="B76" t="inlineStr">
        <is>
          <t>Florence Barnett</t>
        </is>
      </c>
      <c r="C76" t="inlineStr"/>
      <c r="D76" t="inlineStr">
        <is>
          <t>2</t>
        </is>
      </c>
      <c r="E76">
        <f>HYPERLINK("https://www.britishcycling.org.uk/points?person_id=463519&amp;year=2022&amp;type=national&amp;d=6","Results")</f>
        <v/>
      </c>
    </row>
    <row r="77">
      <c r="A77" t="inlineStr">
        <is>
          <t>76</t>
        </is>
      </c>
      <c r="B77" t="inlineStr">
        <is>
          <t>Beatrix Kiehlmann</t>
        </is>
      </c>
      <c r="C77" t="inlineStr">
        <is>
          <t>Royal Albert CC</t>
        </is>
      </c>
      <c r="D77" t="inlineStr">
        <is>
          <t>2</t>
        </is>
      </c>
      <c r="E77">
        <f>HYPERLINK("https://www.britishcycling.org.uk/points?person_id=405787&amp;year=2022&amp;type=national&amp;d=6","Results")</f>
        <v/>
      </c>
    </row>
    <row r="78">
      <c r="A78" t="inlineStr">
        <is>
          <t>77</t>
        </is>
      </c>
      <c r="B78" t="inlineStr">
        <is>
          <t>Myfanwy Meeran</t>
        </is>
      </c>
      <c r="C78" t="inlineStr">
        <is>
          <t>Herne Hill Youth CC</t>
        </is>
      </c>
      <c r="D78" t="inlineStr">
        <is>
          <t>2</t>
        </is>
      </c>
      <c r="E78">
        <f>HYPERLINK("https://www.britishcycling.org.uk/points?person_id=589929&amp;year=2022&amp;type=national&amp;d=6","Results")</f>
        <v/>
      </c>
    </row>
    <row r="79">
      <c r="A79" t="inlineStr">
        <is>
          <t>78</t>
        </is>
      </c>
      <c r="B79" t="inlineStr">
        <is>
          <t>Megan Plews</t>
        </is>
      </c>
      <c r="C79" t="inlineStr">
        <is>
          <t>Hetton Hawks Cycling Club</t>
        </is>
      </c>
      <c r="D79" t="inlineStr">
        <is>
          <t>2</t>
        </is>
      </c>
      <c r="E79">
        <f>HYPERLINK("https://www.britishcycling.org.uk/points?person_id=646049&amp;year=2022&amp;type=national&amp;d=6","Results")</f>
        <v/>
      </c>
    </row>
    <row r="80">
      <c r="A80" t="inlineStr">
        <is>
          <t>79</t>
        </is>
      </c>
      <c r="B80" t="inlineStr">
        <is>
          <t>Georgina Pasmore</t>
        </is>
      </c>
      <c r="C80" t="inlineStr">
        <is>
          <t>Velo Myrddin CC powered by Y Beic</t>
        </is>
      </c>
      <c r="D80" t="inlineStr">
        <is>
          <t>1</t>
        </is>
      </c>
      <c r="E80">
        <f>HYPERLINK("https://www.britishcycling.org.uk/points?person_id=615932&amp;year=2022&amp;type=national&amp;d=6","Results")</f>
        <v/>
      </c>
    </row>
    <row r="81">
      <c r="A81" t="inlineStr">
        <is>
          <t>80</t>
        </is>
      </c>
      <c r="B81" t="inlineStr">
        <is>
          <t>Mari Porton</t>
        </is>
      </c>
      <c r="C81" t="inlineStr">
        <is>
          <t>Halesowen A &amp; CC</t>
        </is>
      </c>
      <c r="D81" t="inlineStr">
        <is>
          <t>1</t>
        </is>
      </c>
      <c r="E81">
        <f>HYPERLINK("https://www.britishcycling.org.uk/points?person_id=177314&amp;year=2022&amp;type=national&amp;d=6","Results")</f>
        <v/>
      </c>
    </row>
    <row r="82">
      <c r="A82" t="inlineStr">
        <is>
          <t>81</t>
        </is>
      </c>
      <c r="B82" t="inlineStr">
        <is>
          <t>Charlotte Redeyoff</t>
        </is>
      </c>
      <c r="C82" t="inlineStr">
        <is>
          <t>Manchester BMX Club</t>
        </is>
      </c>
      <c r="D82" t="inlineStr">
        <is>
          <t>1</t>
        </is>
      </c>
      <c r="E82">
        <f>HYPERLINK("https://www.britishcycling.org.uk/points?person_id=529747&amp;year=2022&amp;type=national&amp;d=6","Results")</f>
        <v/>
      </c>
    </row>
    <row r="83">
      <c r="A83" t="inlineStr">
        <is>
          <t>82</t>
        </is>
      </c>
      <c r="B83" t="inlineStr">
        <is>
          <t>Skye Willis</t>
        </is>
      </c>
      <c r="C83" t="inlineStr">
        <is>
          <t>Southborough &amp; District Whls</t>
        </is>
      </c>
      <c r="D83" t="inlineStr">
        <is>
          <t>1</t>
        </is>
      </c>
      <c r="E83">
        <f>HYPERLINK("https://www.britishcycling.org.uk/points?person_id=462817&amp;year=2022&amp;type=national&amp;d=6","Results")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01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Anna Kay</t>
        </is>
      </c>
      <c r="C2" t="inlineStr">
        <is>
          <t>777 (UCI CX Team)</t>
        </is>
      </c>
      <c r="D2" t="inlineStr">
        <is>
          <t>649</t>
        </is>
      </c>
      <c r="E2">
        <f>HYPERLINK("https://www.britishcycling.org.uk/points?person_id=252892&amp;year=2022&amp;type=national&amp;d=6","Results")</f>
        <v/>
      </c>
    </row>
    <row r="3">
      <c r="A3" t="inlineStr">
        <is>
          <t>2</t>
        </is>
      </c>
      <c r="B3" t="inlineStr">
        <is>
          <t>Elena Day</t>
        </is>
      </c>
      <c r="C3" t="inlineStr">
        <is>
          <t>Ignite</t>
        </is>
      </c>
      <c r="D3" t="inlineStr">
        <is>
          <t>477</t>
        </is>
      </c>
      <c r="E3">
        <f>HYPERLINK("https://www.britishcycling.org.uk/points?person_id=307633&amp;year=2022&amp;type=national&amp;d=6","Results")</f>
        <v/>
      </c>
    </row>
    <row r="4">
      <c r="A4" t="inlineStr">
        <is>
          <t>3</t>
        </is>
      </c>
      <c r="B4" t="inlineStr">
        <is>
          <t>Alderney Baker</t>
        </is>
      </c>
      <c r="C4" t="inlineStr">
        <is>
          <t>Team Empella Cyclo-Cross.Com</t>
        </is>
      </c>
      <c r="D4" t="inlineStr">
        <is>
          <t>444</t>
        </is>
      </c>
      <c r="E4">
        <f>HYPERLINK("https://www.britishcycling.org.uk/points?person_id=28775&amp;year=2022&amp;type=national&amp;d=6","Results")</f>
        <v/>
      </c>
    </row>
    <row r="5">
      <c r="A5" t="inlineStr">
        <is>
          <t>4</t>
        </is>
      </c>
      <c r="B5" t="inlineStr">
        <is>
          <t>Lindy Brazier-Larkin</t>
        </is>
      </c>
      <c r="C5" t="inlineStr">
        <is>
          <t>Sarum Velo</t>
        </is>
      </c>
      <c r="D5" t="inlineStr">
        <is>
          <t>435</t>
        </is>
      </c>
      <c r="E5">
        <f>HYPERLINK("https://www.britishcycling.org.uk/points?person_id=518986&amp;year=2022&amp;type=national&amp;d=6","Results")</f>
        <v/>
      </c>
    </row>
    <row r="6">
      <c r="A6" t="inlineStr">
        <is>
          <t>5</t>
        </is>
      </c>
      <c r="B6" t="inlineStr">
        <is>
          <t>Kate Eedy</t>
        </is>
      </c>
      <c r="C6" t="inlineStr">
        <is>
          <t>Team Empella Cyclo-Cross.Com</t>
        </is>
      </c>
      <c r="D6" t="inlineStr">
        <is>
          <t>433</t>
        </is>
      </c>
      <c r="E6">
        <f>HYPERLINK("https://www.britishcycling.org.uk/points?person_id=23987&amp;year=2022&amp;type=national&amp;d=6","Results")</f>
        <v/>
      </c>
    </row>
    <row r="7">
      <c r="A7" t="inlineStr">
        <is>
          <t>6</t>
        </is>
      </c>
      <c r="B7" t="inlineStr">
        <is>
          <t>Zoe Backstedt</t>
        </is>
      </c>
      <c r="C7" t="inlineStr">
        <is>
          <t>Acrog-Tormans</t>
        </is>
      </c>
      <c r="D7" t="inlineStr">
        <is>
          <t>424</t>
        </is>
      </c>
      <c r="E7">
        <f>HYPERLINK("https://www.britishcycling.org.uk/points?person_id=59921&amp;year=2022&amp;type=national&amp;d=6","Results")</f>
        <v/>
      </c>
    </row>
    <row r="8">
      <c r="A8" t="inlineStr">
        <is>
          <t>7</t>
        </is>
      </c>
      <c r="B8" t="inlineStr">
        <is>
          <t>Ceris Styler</t>
        </is>
      </c>
      <c r="C8" t="inlineStr">
        <is>
          <t>Backstedt Bike Performance RC</t>
        </is>
      </c>
      <c r="D8" t="inlineStr">
        <is>
          <t>418</t>
        </is>
      </c>
      <c r="E8">
        <f>HYPERLINK("https://www.britishcycling.org.uk/points?person_id=3867&amp;year=2022&amp;type=national&amp;d=6","Results")</f>
        <v/>
      </c>
    </row>
    <row r="9">
      <c r="A9" t="inlineStr">
        <is>
          <t>8</t>
        </is>
      </c>
      <c r="B9" t="inlineStr">
        <is>
          <t>Millie Couzens</t>
        </is>
      </c>
      <c r="C9" t="inlineStr">
        <is>
          <t>CRELAN - FRISTADS</t>
        </is>
      </c>
      <c r="D9" t="inlineStr">
        <is>
          <t>407</t>
        </is>
      </c>
      <c r="E9">
        <f>HYPERLINK("https://www.britishcycling.org.uk/points?person_id=236028&amp;year=2022&amp;type=national&amp;d=6","Results")</f>
        <v/>
      </c>
    </row>
    <row r="10">
      <c r="A10" t="inlineStr">
        <is>
          <t>9</t>
        </is>
      </c>
      <c r="B10" t="inlineStr">
        <is>
          <t>Victoria Peel</t>
        </is>
      </c>
      <c r="C10" t="inlineStr">
        <is>
          <t>Hope Factory Racing (UCI CX Team)</t>
        </is>
      </c>
      <c r="D10" t="inlineStr">
        <is>
          <t>369</t>
        </is>
      </c>
      <c r="E10">
        <f>HYPERLINK("https://www.britishcycling.org.uk/points?person_id=852631&amp;year=2022&amp;type=national&amp;d=6","Results")</f>
        <v/>
      </c>
    </row>
    <row r="11">
      <c r="A11" t="inlineStr">
        <is>
          <t>10</t>
        </is>
      </c>
      <c r="B11" t="inlineStr">
        <is>
          <t>Katy Simcock</t>
        </is>
      </c>
      <c r="C11" t="inlineStr">
        <is>
          <t>Trek Bicycle Club</t>
        </is>
      </c>
      <c r="D11" t="inlineStr">
        <is>
          <t>356</t>
        </is>
      </c>
      <c r="E11">
        <f>HYPERLINK("https://www.britishcycling.org.uk/points?person_id=31162&amp;year=2022&amp;type=national&amp;d=6","Results")</f>
        <v/>
      </c>
    </row>
    <row r="12">
      <c r="A12" t="inlineStr">
        <is>
          <t>11</t>
        </is>
      </c>
      <c r="B12" t="inlineStr">
        <is>
          <t>Nikki Brammeier</t>
        </is>
      </c>
      <c r="C12" t="inlineStr"/>
      <c r="D12" t="inlineStr">
        <is>
          <t>342</t>
        </is>
      </c>
      <c r="E12">
        <f>HYPERLINK("https://www.britishcycling.org.uk/points?person_id=53234&amp;year=2022&amp;type=national&amp;d=6","Results")</f>
        <v/>
      </c>
    </row>
    <row r="13">
      <c r="A13" t="inlineStr">
        <is>
          <t>12</t>
        </is>
      </c>
      <c r="B13" t="inlineStr">
        <is>
          <t>Xan Crees</t>
        </is>
      </c>
      <c r="C13" t="inlineStr">
        <is>
          <t>Spectra Wiggle p/b Vitus</t>
        </is>
      </c>
      <c r="D13" t="inlineStr">
        <is>
          <t>340</t>
        </is>
      </c>
      <c r="E13">
        <f>HYPERLINK("https://www.britishcycling.org.uk/points?person_id=224783&amp;year=2022&amp;type=national&amp;d=6","Results")</f>
        <v/>
      </c>
    </row>
    <row r="14">
      <c r="A14" t="inlineStr">
        <is>
          <t>13</t>
        </is>
      </c>
      <c r="B14" t="inlineStr">
        <is>
          <t>Annie Last</t>
        </is>
      </c>
      <c r="C14" t="inlineStr">
        <is>
          <t>SCOTT Racing</t>
        </is>
      </c>
      <c r="D14" t="inlineStr">
        <is>
          <t>340</t>
        </is>
      </c>
      <c r="E14">
        <f>HYPERLINK("https://www.britishcycling.org.uk/points?person_id=46212&amp;year=2022&amp;type=national&amp;d=6","Results")</f>
        <v/>
      </c>
    </row>
    <row r="15">
      <c r="A15" t="inlineStr">
        <is>
          <t>14</t>
        </is>
      </c>
      <c r="B15" t="inlineStr">
        <is>
          <t>Sophie Thackray</t>
        </is>
      </c>
      <c r="C15" t="inlineStr">
        <is>
          <t>CAMS-Basso</t>
        </is>
      </c>
      <c r="D15" t="inlineStr">
        <is>
          <t>333</t>
        </is>
      </c>
      <c r="E15">
        <f>HYPERLINK("https://www.britishcycling.org.uk/points?person_id=197427&amp;year=2022&amp;type=national&amp;d=6","Results")</f>
        <v/>
      </c>
    </row>
    <row r="16">
      <c r="A16" t="inlineStr">
        <is>
          <t>15</t>
        </is>
      </c>
      <c r="B16" t="inlineStr">
        <is>
          <t>Ishbel Strathdee</t>
        </is>
      </c>
      <c r="C16" t="inlineStr"/>
      <c r="D16" t="inlineStr">
        <is>
          <t>327</t>
        </is>
      </c>
      <c r="E16">
        <f>HYPERLINK("https://www.britishcycling.org.uk/points?person_id=170909&amp;year=2022&amp;type=national&amp;d=6","Results")</f>
        <v/>
      </c>
    </row>
    <row r="17">
      <c r="A17" t="inlineStr">
        <is>
          <t>16</t>
        </is>
      </c>
      <c r="B17" t="inlineStr">
        <is>
          <t>Christina Wiejak</t>
        </is>
      </c>
      <c r="C17" t="inlineStr">
        <is>
          <t>Saint Piran WRT</t>
        </is>
      </c>
      <c r="D17" t="inlineStr">
        <is>
          <t>321</t>
        </is>
      </c>
      <c r="E17">
        <f>HYPERLINK("https://www.britishcycling.org.uk/points?person_id=177183&amp;year=2022&amp;type=national&amp;d=6","Results")</f>
        <v/>
      </c>
    </row>
    <row r="18">
      <c r="A18" t="inlineStr">
        <is>
          <t>17</t>
        </is>
      </c>
      <c r="B18" t="inlineStr">
        <is>
          <t>Lotta Mansfield</t>
        </is>
      </c>
      <c r="C18" t="inlineStr">
        <is>
          <t>Montezuma's Race Team</t>
        </is>
      </c>
      <c r="D18" t="inlineStr">
        <is>
          <t>320</t>
        </is>
      </c>
      <c r="E18">
        <f>HYPERLINK("https://www.britishcycling.org.uk/points?person_id=185355&amp;year=2022&amp;type=national&amp;d=6","Results")</f>
        <v/>
      </c>
    </row>
    <row r="19">
      <c r="A19" t="inlineStr">
        <is>
          <t>18</t>
        </is>
      </c>
      <c r="B19" t="inlineStr">
        <is>
          <t>Ffion Gilbert</t>
        </is>
      </c>
      <c r="C19" t="inlineStr"/>
      <c r="D19" t="inlineStr">
        <is>
          <t>295</t>
        </is>
      </c>
      <c r="E19">
        <f>HYPERLINK("https://www.britishcycling.org.uk/points?person_id=1033252&amp;year=2022&amp;type=national&amp;d=6","Results")</f>
        <v/>
      </c>
    </row>
    <row r="20">
      <c r="A20" t="inlineStr">
        <is>
          <t>19</t>
        </is>
      </c>
      <c r="B20" t="inlineStr">
        <is>
          <t>Rebecca Preece</t>
        </is>
      </c>
      <c r="C20" t="inlineStr">
        <is>
          <t>Hope Factory Racing (UCI CX Team)</t>
        </is>
      </c>
      <c r="D20" t="inlineStr">
        <is>
          <t>274</t>
        </is>
      </c>
      <c r="E20">
        <f>HYPERLINK("https://www.britishcycling.org.uk/points?person_id=55960&amp;year=2022&amp;type=national&amp;d=6","Results")</f>
        <v/>
      </c>
    </row>
    <row r="21">
      <c r="A21" t="inlineStr">
        <is>
          <t>20</t>
        </is>
      </c>
      <c r="B21" t="inlineStr">
        <is>
          <t>Kate Robson</t>
        </is>
      </c>
      <c r="C21" t="inlineStr">
        <is>
          <t>Pedalon.co.uk</t>
        </is>
      </c>
      <c r="D21" t="inlineStr">
        <is>
          <t>273</t>
        </is>
      </c>
      <c r="E21">
        <f>HYPERLINK("https://www.britishcycling.org.uk/points?person_id=614714&amp;year=2022&amp;type=national&amp;d=6","Results")</f>
        <v/>
      </c>
    </row>
    <row r="22">
      <c r="A22" t="inlineStr">
        <is>
          <t>21</t>
        </is>
      </c>
      <c r="B22" t="inlineStr">
        <is>
          <t>Elvita Branch</t>
        </is>
      </c>
      <c r="C22" t="inlineStr">
        <is>
          <t>XRT - Elmy Cycles</t>
        </is>
      </c>
      <c r="D22" t="inlineStr">
        <is>
          <t>260</t>
        </is>
      </c>
      <c r="E22">
        <f>HYPERLINK("https://www.britishcycling.org.uk/points?person_id=452451&amp;year=2022&amp;type=national&amp;d=6","Results")</f>
        <v/>
      </c>
    </row>
    <row r="23">
      <c r="A23" t="inlineStr">
        <is>
          <t>22</t>
        </is>
      </c>
      <c r="B23" t="inlineStr">
        <is>
          <t>Miriam Whitehurst</t>
        </is>
      </c>
      <c r="C23" t="inlineStr">
        <is>
          <t>Reflex Racing</t>
        </is>
      </c>
      <c r="D23" t="inlineStr">
        <is>
          <t>257</t>
        </is>
      </c>
      <c r="E23">
        <f>HYPERLINK("https://www.britishcycling.org.uk/points?person_id=47153&amp;year=2022&amp;type=national&amp;d=6","Results")</f>
        <v/>
      </c>
    </row>
    <row r="24">
      <c r="A24" t="inlineStr">
        <is>
          <t>23</t>
        </is>
      </c>
      <c r="B24" t="inlineStr">
        <is>
          <t>Sarah Toms</t>
        </is>
      </c>
      <c r="C24" t="inlineStr">
        <is>
          <t>Royal Air Force CA</t>
        </is>
      </c>
      <c r="D24" t="inlineStr">
        <is>
          <t>254</t>
        </is>
      </c>
      <c r="E24">
        <f>HYPERLINK("https://www.britishcycling.org.uk/points?person_id=710940&amp;year=2022&amp;type=national&amp;d=6","Results")</f>
        <v/>
      </c>
    </row>
    <row r="25">
      <c r="A25" t="inlineStr">
        <is>
          <t>24</t>
        </is>
      </c>
      <c r="B25" t="inlineStr">
        <is>
          <t>Libby Greatorex</t>
        </is>
      </c>
      <c r="C25" t="inlineStr">
        <is>
          <t>www.cyclocrossrider.com</t>
        </is>
      </c>
      <c r="D25" t="inlineStr">
        <is>
          <t>236</t>
        </is>
      </c>
      <c r="E25">
        <f>HYPERLINK("https://www.britishcycling.org.uk/points?person_id=102377&amp;year=2022&amp;type=national&amp;d=6","Results")</f>
        <v/>
      </c>
    </row>
    <row r="26">
      <c r="A26" t="inlineStr">
        <is>
          <t>25</t>
        </is>
      </c>
      <c r="B26" t="inlineStr">
        <is>
          <t>Katie Hadnum</t>
        </is>
      </c>
      <c r="C26" t="inlineStr">
        <is>
          <t>Reifen Racing</t>
        </is>
      </c>
      <c r="D26" t="inlineStr">
        <is>
          <t>236</t>
        </is>
      </c>
      <c r="E26">
        <f>HYPERLINK("https://www.britishcycling.org.uk/points?person_id=325697&amp;year=2022&amp;type=national&amp;d=6","Results")</f>
        <v/>
      </c>
    </row>
    <row r="27">
      <c r="A27" t="inlineStr">
        <is>
          <t>26</t>
        </is>
      </c>
      <c r="B27" t="inlineStr">
        <is>
          <t>Ruby James</t>
        </is>
      </c>
      <c r="C27" t="inlineStr">
        <is>
          <t>Hope Factory Racing (UCI CX Team)</t>
        </is>
      </c>
      <c r="D27" t="inlineStr">
        <is>
          <t>235</t>
        </is>
      </c>
      <c r="E27">
        <f>HYPERLINK("https://www.britishcycling.org.uk/points?person_id=53547&amp;year=2022&amp;type=national&amp;d=6","Results")</f>
        <v/>
      </c>
    </row>
    <row r="28">
      <c r="A28" t="inlineStr">
        <is>
          <t>27</t>
        </is>
      </c>
      <c r="B28" t="inlineStr">
        <is>
          <t>Jessica Wood</t>
        </is>
      </c>
      <c r="C28" t="inlineStr">
        <is>
          <t>Army Cycling Union</t>
        </is>
      </c>
      <c r="D28" t="inlineStr">
        <is>
          <t>233</t>
        </is>
      </c>
      <c r="E28">
        <f>HYPERLINK("https://www.britishcycling.org.uk/points?person_id=801003&amp;year=2022&amp;type=national&amp;d=6","Results")</f>
        <v/>
      </c>
    </row>
    <row r="29">
      <c r="A29" t="inlineStr">
        <is>
          <t>28</t>
        </is>
      </c>
      <c r="B29" t="inlineStr">
        <is>
          <t>Helen Pattinson</t>
        </is>
      </c>
      <c r="C29" t="inlineStr">
        <is>
          <t>Montezuma's Race Team</t>
        </is>
      </c>
      <c r="D29" t="inlineStr">
        <is>
          <t>232</t>
        </is>
      </c>
      <c r="E29">
        <f>HYPERLINK("https://www.britishcycling.org.uk/points?person_id=240019&amp;year=2022&amp;type=national&amp;d=6","Results")</f>
        <v/>
      </c>
    </row>
    <row r="30">
      <c r="A30" t="inlineStr">
        <is>
          <t>29</t>
        </is>
      </c>
      <c r="B30" t="inlineStr">
        <is>
          <t>Amy Perryman</t>
        </is>
      </c>
      <c r="C30" t="inlineStr">
        <is>
          <t>Montezuma's Race Team</t>
        </is>
      </c>
      <c r="D30" t="inlineStr">
        <is>
          <t>232</t>
        </is>
      </c>
      <c r="E30">
        <f>HYPERLINK("https://www.britishcycling.org.uk/points?person_id=133552&amp;year=2022&amp;type=national&amp;d=6","Results")</f>
        <v/>
      </c>
    </row>
    <row r="31">
      <c r="A31" t="inlineStr">
        <is>
          <t>30</t>
        </is>
      </c>
      <c r="B31" t="inlineStr">
        <is>
          <t>Emma Jane Hornsby</t>
        </is>
      </c>
      <c r="C31" t="inlineStr">
        <is>
          <t>VC Londres</t>
        </is>
      </c>
      <c r="D31" t="inlineStr">
        <is>
          <t>218</t>
        </is>
      </c>
      <c r="E31">
        <f>HYPERLINK("https://www.britishcycling.org.uk/points?person_id=317494&amp;year=2022&amp;type=national&amp;d=6","Results")</f>
        <v/>
      </c>
    </row>
    <row r="32">
      <c r="A32" t="inlineStr">
        <is>
          <t>31</t>
        </is>
      </c>
      <c r="B32" t="inlineStr">
        <is>
          <t>Karen Summers</t>
        </is>
      </c>
      <c r="C32" t="inlineStr">
        <is>
          <t>Team Jewson-M.I.Racing</t>
        </is>
      </c>
      <c r="D32" t="inlineStr">
        <is>
          <t>211</t>
        </is>
      </c>
      <c r="E32">
        <f>HYPERLINK("https://www.britishcycling.org.uk/points?person_id=36899&amp;year=2022&amp;type=national&amp;d=6","Results")</f>
        <v/>
      </c>
    </row>
    <row r="33">
      <c r="A33" t="inlineStr">
        <is>
          <t>32</t>
        </is>
      </c>
      <c r="B33" t="inlineStr">
        <is>
          <t>Amelia Cebak</t>
        </is>
      </c>
      <c r="C33" t="inlineStr">
        <is>
          <t>Team Milton Keynes</t>
        </is>
      </c>
      <c r="D33" t="inlineStr">
        <is>
          <t>210</t>
        </is>
      </c>
      <c r="E33">
        <f>HYPERLINK("https://www.britishcycling.org.uk/points?person_id=521404&amp;year=2022&amp;type=national&amp;d=6","Results")</f>
        <v/>
      </c>
    </row>
    <row r="34">
      <c r="A34" t="inlineStr">
        <is>
          <t>33</t>
        </is>
      </c>
      <c r="B34" t="inlineStr">
        <is>
          <t>Laura Prime</t>
        </is>
      </c>
      <c r="C34" t="inlineStr">
        <is>
          <t>West Suffolk Wheelers</t>
        </is>
      </c>
      <c r="D34" t="inlineStr">
        <is>
          <t>204</t>
        </is>
      </c>
      <c r="E34">
        <f>HYPERLINK("https://www.britishcycling.org.uk/points?person_id=756655&amp;year=2022&amp;type=national&amp;d=6","Results")</f>
        <v/>
      </c>
    </row>
    <row r="35">
      <c r="A35" t="inlineStr">
        <is>
          <t>34</t>
        </is>
      </c>
      <c r="B35" t="inlineStr">
        <is>
          <t>Melissa Baker</t>
        </is>
      </c>
      <c r="C35" t="inlineStr">
        <is>
          <t>Team Empella Cyclo-Cross.Com</t>
        </is>
      </c>
      <c r="D35" t="inlineStr">
        <is>
          <t>202</t>
        </is>
      </c>
      <c r="E35">
        <f>HYPERLINK("https://www.britishcycling.org.uk/points?person_id=281746&amp;year=2022&amp;type=national&amp;d=6","Results")</f>
        <v/>
      </c>
    </row>
    <row r="36">
      <c r="A36" t="inlineStr">
        <is>
          <t>35</t>
        </is>
      </c>
      <c r="B36" t="inlineStr">
        <is>
          <t>Cecilia Hime</t>
        </is>
      </c>
      <c r="C36" t="inlineStr">
        <is>
          <t>Paradigm Cycles</t>
        </is>
      </c>
      <c r="D36" t="inlineStr">
        <is>
          <t>200</t>
        </is>
      </c>
      <c r="E36">
        <f>HYPERLINK("https://www.britishcycling.org.uk/points?person_id=263034&amp;year=2022&amp;type=national&amp;d=6","Results")</f>
        <v/>
      </c>
    </row>
    <row r="37">
      <c r="A37" t="inlineStr">
        <is>
          <t>36</t>
        </is>
      </c>
      <c r="B37" t="inlineStr">
        <is>
          <t>Jane Barr</t>
        </is>
      </c>
      <c r="C37" t="inlineStr">
        <is>
          <t>Velocity 44 RT</t>
        </is>
      </c>
      <c r="D37" t="inlineStr">
        <is>
          <t>197</t>
        </is>
      </c>
      <c r="E37">
        <f>HYPERLINK("https://www.britishcycling.org.uk/points?person_id=101665&amp;year=2022&amp;type=national&amp;d=6","Results")</f>
        <v/>
      </c>
    </row>
    <row r="38">
      <c r="A38" t="inlineStr">
        <is>
          <t>37</t>
        </is>
      </c>
      <c r="B38" t="inlineStr">
        <is>
          <t>Alice Colling</t>
        </is>
      </c>
      <c r="C38" t="inlineStr">
        <is>
          <t>Shibden Cycling Club</t>
        </is>
      </c>
      <c r="D38" t="inlineStr">
        <is>
          <t>194</t>
        </is>
      </c>
      <c r="E38">
        <f>HYPERLINK("https://www.britishcycling.org.uk/points?person_id=232664&amp;year=2022&amp;type=national&amp;d=6","Results")</f>
        <v/>
      </c>
    </row>
    <row r="39">
      <c r="A39" t="inlineStr">
        <is>
          <t>38</t>
        </is>
      </c>
      <c r="B39" t="inlineStr">
        <is>
          <t>Hope Inglis</t>
        </is>
      </c>
      <c r="C39" t="inlineStr">
        <is>
          <t>Brother UK-Orientation Marketing</t>
        </is>
      </c>
      <c r="D39" t="inlineStr">
        <is>
          <t>194</t>
        </is>
      </c>
      <c r="E39">
        <f>HYPERLINK("https://www.britishcycling.org.uk/points?person_id=265182&amp;year=2022&amp;type=national&amp;d=6","Results")</f>
        <v/>
      </c>
    </row>
    <row r="40">
      <c r="A40" t="inlineStr">
        <is>
          <t>39</t>
        </is>
      </c>
      <c r="B40" t="inlineStr">
        <is>
          <t>Caroline Reuter</t>
        </is>
      </c>
      <c r="C40" t="inlineStr">
        <is>
          <t>Dulwich Paragon CC</t>
        </is>
      </c>
      <c r="D40" t="inlineStr">
        <is>
          <t>194</t>
        </is>
      </c>
      <c r="E40">
        <f>HYPERLINK("https://www.britishcycling.org.uk/points?person_id=387547&amp;year=2022&amp;type=national&amp;d=6","Results")</f>
        <v/>
      </c>
    </row>
    <row r="41">
      <c r="A41" t="inlineStr">
        <is>
          <t>40</t>
        </is>
      </c>
      <c r="B41" t="inlineStr">
        <is>
          <t>Amelie Wayte</t>
        </is>
      </c>
      <c r="C41" t="inlineStr">
        <is>
          <t>JRC-INTERFLON Race Team</t>
        </is>
      </c>
      <c r="D41" t="inlineStr">
        <is>
          <t>188</t>
        </is>
      </c>
      <c r="E41">
        <f>HYPERLINK("https://www.britishcycling.org.uk/points?person_id=198760&amp;year=2022&amp;type=national&amp;d=6","Results")</f>
        <v/>
      </c>
    </row>
    <row r="42">
      <c r="A42" t="inlineStr">
        <is>
          <t>41</t>
        </is>
      </c>
      <c r="B42" t="inlineStr">
        <is>
          <t>Esme Wiley</t>
        </is>
      </c>
      <c r="C42" t="inlineStr">
        <is>
          <t>VC Londres</t>
        </is>
      </c>
      <c r="D42" t="inlineStr">
        <is>
          <t>179</t>
        </is>
      </c>
      <c r="E42">
        <f>HYPERLINK("https://www.britishcycling.org.uk/points?person_id=226256&amp;year=2022&amp;type=national&amp;d=6","Results")</f>
        <v/>
      </c>
    </row>
    <row r="43">
      <c r="A43" t="inlineStr">
        <is>
          <t>42</t>
        </is>
      </c>
      <c r="B43" t="inlineStr">
        <is>
          <t>Sarah Hickman</t>
        </is>
      </c>
      <c r="C43" t="inlineStr">
        <is>
          <t>Nova Race Team</t>
        </is>
      </c>
      <c r="D43" t="inlineStr">
        <is>
          <t>178</t>
        </is>
      </c>
      <c r="E43">
        <f>HYPERLINK("https://www.britishcycling.org.uk/points?person_id=353828&amp;year=2022&amp;type=national&amp;d=6","Results")</f>
        <v/>
      </c>
    </row>
    <row r="44">
      <c r="A44" t="inlineStr">
        <is>
          <t>43</t>
        </is>
      </c>
      <c r="B44" t="inlineStr">
        <is>
          <t>Rowena Duffield</t>
        </is>
      </c>
      <c r="C44" t="inlineStr">
        <is>
          <t>Cwmcarn Paragon Cycling Club</t>
        </is>
      </c>
      <c r="D44" t="inlineStr">
        <is>
          <t>177</t>
        </is>
      </c>
      <c r="E44">
        <f>HYPERLINK("https://www.britishcycling.org.uk/points?person_id=731423&amp;year=2022&amp;type=national&amp;d=6","Results")</f>
        <v/>
      </c>
    </row>
    <row r="45">
      <c r="A45" t="inlineStr">
        <is>
          <t>44</t>
        </is>
      </c>
      <c r="B45" t="inlineStr">
        <is>
          <t>Isla Rowntree</t>
        </is>
      </c>
      <c r="C45" t="inlineStr">
        <is>
          <t>Islabikes</t>
        </is>
      </c>
      <c r="D45" t="inlineStr">
        <is>
          <t>174</t>
        </is>
      </c>
      <c r="E45">
        <f>HYPERLINK("https://www.britishcycling.org.uk/points?person_id=21208&amp;year=2022&amp;type=national&amp;d=6","Results")</f>
        <v/>
      </c>
    </row>
    <row r="46">
      <c r="A46" t="inlineStr">
        <is>
          <t>45</t>
        </is>
      </c>
      <c r="B46" t="inlineStr">
        <is>
          <t>Daphne Jones</t>
        </is>
      </c>
      <c r="C46" t="inlineStr">
        <is>
          <t>RR23</t>
        </is>
      </c>
      <c r="D46" t="inlineStr">
        <is>
          <t>171</t>
        </is>
      </c>
      <c r="E46">
        <f>HYPERLINK("https://www.britishcycling.org.uk/points?person_id=385040&amp;year=2022&amp;type=national&amp;d=6","Results")</f>
        <v/>
      </c>
    </row>
    <row r="47">
      <c r="A47" t="inlineStr">
        <is>
          <t>46</t>
        </is>
      </c>
      <c r="B47" t="inlineStr">
        <is>
          <t>Katie Scotter</t>
        </is>
      </c>
      <c r="C47" t="inlineStr">
        <is>
          <t>ViCiOUS VELO</t>
        </is>
      </c>
      <c r="D47" t="inlineStr">
        <is>
          <t>171</t>
        </is>
      </c>
      <c r="E47">
        <f>HYPERLINK("https://www.britishcycling.org.uk/points?person_id=26555&amp;year=2022&amp;type=national&amp;d=6","Results")</f>
        <v/>
      </c>
    </row>
    <row r="48">
      <c r="A48" t="inlineStr">
        <is>
          <t>47</t>
        </is>
      </c>
      <c r="B48" t="inlineStr">
        <is>
          <t>Cassandra Mackintosh</t>
        </is>
      </c>
      <c r="C48" t="inlineStr">
        <is>
          <t>Rapha Cycling Club</t>
        </is>
      </c>
      <c r="D48" t="inlineStr">
        <is>
          <t>168</t>
        </is>
      </c>
      <c r="E48">
        <f>HYPERLINK("https://www.britishcycling.org.uk/points?person_id=477590&amp;year=2022&amp;type=national&amp;d=6","Results")</f>
        <v/>
      </c>
    </row>
    <row r="49">
      <c r="A49" t="inlineStr">
        <is>
          <t>48</t>
        </is>
      </c>
      <c r="B49" t="inlineStr">
        <is>
          <t>Alison Kinloch</t>
        </is>
      </c>
      <c r="C49" t="inlineStr">
        <is>
          <t>Shibden Cycling Club</t>
        </is>
      </c>
      <c r="D49" t="inlineStr">
        <is>
          <t>167</t>
        </is>
      </c>
      <c r="E49">
        <f>HYPERLINK("https://www.britishcycling.org.uk/points?person_id=180763&amp;year=2022&amp;type=national&amp;d=6","Results")</f>
        <v/>
      </c>
    </row>
    <row r="50">
      <c r="A50" t="inlineStr">
        <is>
          <t>49</t>
        </is>
      </c>
      <c r="B50" t="inlineStr">
        <is>
          <t>Jennifer Andrews</t>
        </is>
      </c>
      <c r="C50" t="inlineStr">
        <is>
          <t>Cycle Club Ashwell (CCA)</t>
        </is>
      </c>
      <c r="D50" t="inlineStr">
        <is>
          <t>166</t>
        </is>
      </c>
      <c r="E50">
        <f>HYPERLINK("https://www.britishcycling.org.uk/points?person_id=439182&amp;year=2022&amp;type=national&amp;d=6","Results")</f>
        <v/>
      </c>
    </row>
    <row r="51">
      <c r="A51" t="inlineStr">
        <is>
          <t>50</t>
        </is>
      </c>
      <c r="B51" t="inlineStr">
        <is>
          <t>Victoria Strila</t>
        </is>
      </c>
      <c r="C51" t="inlineStr">
        <is>
          <t>Quick Release Cycling Club</t>
        </is>
      </c>
      <c r="D51" t="inlineStr">
        <is>
          <t>166</t>
        </is>
      </c>
      <c r="E51">
        <f>HYPERLINK("https://www.britishcycling.org.uk/points?person_id=202214&amp;year=2022&amp;type=national&amp;d=6","Results")</f>
        <v/>
      </c>
    </row>
    <row r="52">
      <c r="A52" t="inlineStr">
        <is>
          <t>51</t>
        </is>
      </c>
      <c r="B52" t="inlineStr">
        <is>
          <t>Kate Mactear</t>
        </is>
      </c>
      <c r="C52" t="inlineStr">
        <is>
          <t>WestSide Coaching</t>
        </is>
      </c>
      <c r="D52" t="inlineStr">
        <is>
          <t>165</t>
        </is>
      </c>
      <c r="E52">
        <f>HYPERLINK("https://www.britishcycling.org.uk/points?person_id=316928&amp;year=2022&amp;type=national&amp;d=6","Results")</f>
        <v/>
      </c>
    </row>
    <row r="53">
      <c r="A53" t="inlineStr">
        <is>
          <t>52</t>
        </is>
      </c>
      <c r="B53" t="inlineStr">
        <is>
          <t>Helen Jackson</t>
        </is>
      </c>
      <c r="C53" t="inlineStr">
        <is>
          <t>Kendal Cycle Club</t>
        </is>
      </c>
      <c r="D53" t="inlineStr">
        <is>
          <t>164</t>
        </is>
      </c>
      <c r="E53">
        <f>HYPERLINK("https://www.britishcycling.org.uk/points?person_id=74479&amp;year=2022&amp;type=national&amp;d=6","Results")</f>
        <v/>
      </c>
    </row>
    <row r="54">
      <c r="A54" t="inlineStr">
        <is>
          <t>53</t>
        </is>
      </c>
      <c r="B54" t="inlineStr">
        <is>
          <t>Zoe Codd</t>
        </is>
      </c>
      <c r="C54" t="inlineStr">
        <is>
          <t>Laatste Ronde! Coaching</t>
        </is>
      </c>
      <c r="D54" t="inlineStr">
        <is>
          <t>163</t>
        </is>
      </c>
      <c r="E54">
        <f>HYPERLINK("https://www.britishcycling.org.uk/points?person_id=416032&amp;year=2022&amp;type=national&amp;d=6","Results")</f>
        <v/>
      </c>
    </row>
    <row r="55">
      <c r="A55" t="inlineStr">
        <is>
          <t>54</t>
        </is>
      </c>
      <c r="B55" t="inlineStr">
        <is>
          <t>Bethany-Ann Jackson</t>
        </is>
      </c>
      <c r="C55" t="inlineStr">
        <is>
          <t>WXC World Racing</t>
        </is>
      </c>
      <c r="D55" t="inlineStr">
        <is>
          <t>162</t>
        </is>
      </c>
      <c r="E55">
        <f>HYPERLINK("https://www.britishcycling.org.uk/points?person_id=330995&amp;year=2022&amp;type=national&amp;d=6","Results")</f>
        <v/>
      </c>
    </row>
    <row r="56">
      <c r="A56" t="inlineStr">
        <is>
          <t>55</t>
        </is>
      </c>
      <c r="B56" t="inlineStr">
        <is>
          <t>Lucy Benezet Minns</t>
        </is>
      </c>
      <c r="C56" t="inlineStr">
        <is>
          <t>VC Londres</t>
        </is>
      </c>
      <c r="D56" t="inlineStr">
        <is>
          <t>160</t>
        </is>
      </c>
      <c r="E56">
        <f>HYPERLINK("https://www.britishcycling.org.uk/points?person_id=708999&amp;year=2022&amp;type=national&amp;d=6","Results")</f>
        <v/>
      </c>
    </row>
    <row r="57">
      <c r="A57" t="inlineStr">
        <is>
          <t>56</t>
        </is>
      </c>
      <c r="B57" t="inlineStr">
        <is>
          <t>Madeline Cooper</t>
        </is>
      </c>
      <c r="C57" t="inlineStr">
        <is>
          <t>Montezuma's Race Team</t>
        </is>
      </c>
      <c r="D57" t="inlineStr">
        <is>
          <t>158</t>
        </is>
      </c>
      <c r="E57">
        <f>HYPERLINK("https://www.britishcycling.org.uk/points?person_id=229551&amp;year=2022&amp;type=national&amp;d=6","Results")</f>
        <v/>
      </c>
    </row>
    <row r="58">
      <c r="A58" t="inlineStr">
        <is>
          <t>57</t>
        </is>
      </c>
      <c r="B58" t="inlineStr">
        <is>
          <t>Abbie Taylor</t>
        </is>
      </c>
      <c r="C58" t="inlineStr">
        <is>
          <t>Hunt Bike Wheels</t>
        </is>
      </c>
      <c r="D58" t="inlineStr">
        <is>
          <t>158</t>
        </is>
      </c>
      <c r="E58">
        <f>HYPERLINK("https://www.britishcycling.org.uk/points?person_id=66959&amp;year=2022&amp;type=national&amp;d=6","Results")</f>
        <v/>
      </c>
    </row>
    <row r="59">
      <c r="A59" t="inlineStr">
        <is>
          <t>58</t>
        </is>
      </c>
      <c r="B59" t="inlineStr">
        <is>
          <t>Rebecca Woodvine</t>
        </is>
      </c>
      <c r="C59" t="inlineStr">
        <is>
          <t>RR23</t>
        </is>
      </c>
      <c r="D59" t="inlineStr">
        <is>
          <t>158</t>
        </is>
      </c>
      <c r="E59">
        <f>HYPERLINK("https://www.britishcycling.org.uk/points?person_id=308215&amp;year=2022&amp;type=national&amp;d=6","Results")</f>
        <v/>
      </c>
    </row>
    <row r="60">
      <c r="A60" t="inlineStr">
        <is>
          <t>59</t>
        </is>
      </c>
      <c r="B60" t="inlineStr">
        <is>
          <t>Verity Appleyard</t>
        </is>
      </c>
      <c r="C60" t="inlineStr">
        <is>
          <t>Velo Fixers</t>
        </is>
      </c>
      <c r="D60" t="inlineStr">
        <is>
          <t>152</t>
        </is>
      </c>
      <c r="E60">
        <f>HYPERLINK("https://www.britishcycling.org.uk/points?person_id=72717&amp;year=2022&amp;type=national&amp;d=6","Results")</f>
        <v/>
      </c>
    </row>
    <row r="61">
      <c r="A61" t="inlineStr">
        <is>
          <t>60</t>
        </is>
      </c>
      <c r="B61" t="inlineStr">
        <is>
          <t>Caroline Goward</t>
        </is>
      </c>
      <c r="C61" t="inlineStr">
        <is>
          <t>GS Vecchi</t>
        </is>
      </c>
      <c r="D61" t="inlineStr">
        <is>
          <t>151</t>
        </is>
      </c>
      <c r="E61">
        <f>HYPERLINK("https://www.britishcycling.org.uk/points?person_id=41795&amp;year=2022&amp;type=national&amp;d=6","Results")</f>
        <v/>
      </c>
    </row>
    <row r="62">
      <c r="A62" t="inlineStr">
        <is>
          <t>61</t>
        </is>
      </c>
      <c r="B62" t="inlineStr">
        <is>
          <t>Tracy Bremner</t>
        </is>
      </c>
      <c r="C62" t="inlineStr">
        <is>
          <t>Pedalon.co.uk</t>
        </is>
      </c>
      <c r="D62" t="inlineStr">
        <is>
          <t>149</t>
        </is>
      </c>
      <c r="E62">
        <f>HYPERLINK("https://www.britishcycling.org.uk/points?person_id=336093&amp;year=2022&amp;type=national&amp;d=6","Results")</f>
        <v/>
      </c>
    </row>
    <row r="63">
      <c r="A63" t="inlineStr">
        <is>
          <t>62</t>
        </is>
      </c>
      <c r="B63" t="inlineStr">
        <is>
          <t>Gemma Wilks</t>
        </is>
      </c>
      <c r="C63" t="inlineStr">
        <is>
          <t>Sotonia CC</t>
        </is>
      </c>
      <c r="D63" t="inlineStr">
        <is>
          <t>147</t>
        </is>
      </c>
      <c r="E63">
        <f>HYPERLINK("https://www.britishcycling.org.uk/points?person_id=469045&amp;year=2022&amp;type=national&amp;d=6","Results")</f>
        <v/>
      </c>
    </row>
    <row r="64">
      <c r="A64" t="inlineStr">
        <is>
          <t>63</t>
        </is>
      </c>
      <c r="B64" t="inlineStr">
        <is>
          <t>Kacey Eyeington</t>
        </is>
      </c>
      <c r="C64" t="inlineStr">
        <is>
          <t>Derwentside CC</t>
        </is>
      </c>
      <c r="D64" t="inlineStr">
        <is>
          <t>144</t>
        </is>
      </c>
      <c r="E64">
        <f>HYPERLINK("https://www.britishcycling.org.uk/points?person_id=190070&amp;year=2022&amp;type=national&amp;d=6","Results")</f>
        <v/>
      </c>
    </row>
    <row r="65">
      <c r="A65" t="inlineStr">
        <is>
          <t>64</t>
        </is>
      </c>
      <c r="B65" t="inlineStr">
        <is>
          <t>Alison Hogg</t>
        </is>
      </c>
      <c r="C65" t="inlineStr"/>
      <c r="D65" t="inlineStr">
        <is>
          <t>144</t>
        </is>
      </c>
      <c r="E65">
        <f>HYPERLINK("https://www.britishcycling.org.uk/points?person_id=262528&amp;year=2022&amp;type=national&amp;d=6","Results")</f>
        <v/>
      </c>
    </row>
    <row r="66">
      <c r="A66" t="inlineStr">
        <is>
          <t>65</t>
        </is>
      </c>
      <c r="B66" t="inlineStr">
        <is>
          <t>Catherine Kilburn</t>
        </is>
      </c>
      <c r="C66" t="inlineStr">
        <is>
          <t>Mid Devon CC</t>
        </is>
      </c>
      <c r="D66" t="inlineStr">
        <is>
          <t>144</t>
        </is>
      </c>
      <c r="E66">
        <f>HYPERLINK("https://www.britishcycling.org.uk/points?person_id=313214&amp;year=2022&amp;type=national&amp;d=6","Results")</f>
        <v/>
      </c>
    </row>
    <row r="67">
      <c r="A67" t="inlineStr">
        <is>
          <t>66</t>
        </is>
      </c>
      <c r="B67" t="inlineStr">
        <is>
          <t>Anwen Nesham</t>
        </is>
      </c>
      <c r="C67" t="inlineStr">
        <is>
          <t>Cardiff JIF</t>
        </is>
      </c>
      <c r="D67" t="inlineStr">
        <is>
          <t>144</t>
        </is>
      </c>
      <c r="E67">
        <f>HYPERLINK("https://www.britishcycling.org.uk/points?person_id=233769&amp;year=2022&amp;type=national&amp;d=6","Results")</f>
        <v/>
      </c>
    </row>
    <row r="68">
      <c r="A68" t="inlineStr">
        <is>
          <t>67</t>
        </is>
      </c>
      <c r="B68" t="inlineStr">
        <is>
          <t>Rebecca Laurel</t>
        </is>
      </c>
      <c r="C68" t="inlineStr">
        <is>
          <t>Leicester Forest CC</t>
        </is>
      </c>
      <c r="D68" t="inlineStr">
        <is>
          <t>143</t>
        </is>
      </c>
      <c r="E68">
        <f>HYPERLINK("https://www.britishcycling.org.uk/points?person_id=293325&amp;year=2022&amp;type=national&amp;d=6","Results")</f>
        <v/>
      </c>
    </row>
    <row r="69">
      <c r="A69" t="inlineStr">
        <is>
          <t>68</t>
        </is>
      </c>
      <c r="B69" t="inlineStr">
        <is>
          <t>Harriet Limb</t>
        </is>
      </c>
      <c r="C69" t="inlineStr">
        <is>
          <t>WXC World Racing</t>
        </is>
      </c>
      <c r="D69" t="inlineStr">
        <is>
          <t>143</t>
        </is>
      </c>
      <c r="E69">
        <f>HYPERLINK("https://www.britishcycling.org.uk/points?person_id=234445&amp;year=2022&amp;type=national&amp;d=6","Results")</f>
        <v/>
      </c>
    </row>
    <row r="70">
      <c r="A70" t="inlineStr">
        <is>
          <t>69</t>
        </is>
      </c>
      <c r="B70" t="inlineStr">
        <is>
          <t>Heidi Gould</t>
        </is>
      </c>
      <c r="C70" t="inlineStr">
        <is>
          <t>Tri UK</t>
        </is>
      </c>
      <c r="D70" t="inlineStr">
        <is>
          <t>142</t>
        </is>
      </c>
      <c r="E70">
        <f>HYPERLINK("https://www.britishcycling.org.uk/points?person_id=181932&amp;year=2022&amp;type=national&amp;d=6","Results")</f>
        <v/>
      </c>
    </row>
    <row r="71">
      <c r="A71" t="inlineStr">
        <is>
          <t>70</t>
        </is>
      </c>
      <c r="B71" t="inlineStr">
        <is>
          <t>Becky Robertson</t>
        </is>
      </c>
      <c r="C71" t="inlineStr">
        <is>
          <t>Epic Orange Race Team</t>
        </is>
      </c>
      <c r="D71" t="inlineStr">
        <is>
          <t>142</t>
        </is>
      </c>
      <c r="E71">
        <f>HYPERLINK("https://www.britishcycling.org.uk/points?person_id=750254&amp;year=2022&amp;type=national&amp;d=6","Results")</f>
        <v/>
      </c>
    </row>
    <row r="72">
      <c r="A72" t="inlineStr">
        <is>
          <t>71</t>
        </is>
      </c>
      <c r="B72" t="inlineStr">
        <is>
          <t>Nicky Hughes</t>
        </is>
      </c>
      <c r="C72" t="inlineStr">
        <is>
          <t>Southborough &amp; District Whls</t>
        </is>
      </c>
      <c r="D72" t="inlineStr">
        <is>
          <t>141</t>
        </is>
      </c>
      <c r="E72">
        <f>HYPERLINK("https://www.britishcycling.org.uk/points?person_id=37490&amp;year=2022&amp;type=national&amp;d=6","Results")</f>
        <v/>
      </c>
    </row>
    <row r="73">
      <c r="A73" t="inlineStr">
        <is>
          <t>72</t>
        </is>
      </c>
      <c r="B73" t="inlineStr">
        <is>
          <t>Gail Dillon</t>
        </is>
      </c>
      <c r="C73" t="inlineStr">
        <is>
          <t>Shibden Cycling Club</t>
        </is>
      </c>
      <c r="D73" t="inlineStr">
        <is>
          <t>138</t>
        </is>
      </c>
      <c r="E73">
        <f>HYPERLINK("https://www.britishcycling.org.uk/points?person_id=1025023&amp;year=2022&amp;type=national&amp;d=6","Results")</f>
        <v/>
      </c>
    </row>
    <row r="74">
      <c r="A74" t="inlineStr">
        <is>
          <t>73</t>
        </is>
      </c>
      <c r="B74" t="inlineStr">
        <is>
          <t>Natalie Jenks</t>
        </is>
      </c>
      <c r="C74" t="inlineStr">
        <is>
          <t>Magspeed Racing</t>
        </is>
      </c>
      <c r="D74" t="inlineStr">
        <is>
          <t>136</t>
        </is>
      </c>
      <c r="E74">
        <f>HYPERLINK("https://www.britishcycling.org.uk/points?person_id=870930&amp;year=2022&amp;type=national&amp;d=6","Results")</f>
        <v/>
      </c>
    </row>
    <row r="75">
      <c r="A75" t="inlineStr">
        <is>
          <t>74</t>
        </is>
      </c>
      <c r="B75" t="inlineStr">
        <is>
          <t>Natasha Reddy</t>
        </is>
      </c>
      <c r="C75" t="inlineStr">
        <is>
          <t>Team Empella Cyclo-Cross.Com</t>
        </is>
      </c>
      <c r="D75" t="inlineStr">
        <is>
          <t>133</t>
        </is>
      </c>
      <c r="E75">
        <f>HYPERLINK("https://www.britishcycling.org.uk/points?person_id=307112&amp;year=2022&amp;type=national&amp;d=6","Results")</f>
        <v/>
      </c>
    </row>
    <row r="76">
      <c r="A76" t="inlineStr">
        <is>
          <t>75</t>
        </is>
      </c>
      <c r="B76" t="inlineStr">
        <is>
          <t>Layla Bradbrook</t>
        </is>
      </c>
      <c r="C76" t="inlineStr">
        <is>
          <t>Marsh Tracks Racing - Trek</t>
        </is>
      </c>
      <c r="D76" t="inlineStr">
        <is>
          <t>132</t>
        </is>
      </c>
      <c r="E76">
        <f>HYPERLINK("https://www.britishcycling.org.uk/points?person_id=447918&amp;year=2022&amp;type=national&amp;d=6","Results")</f>
        <v/>
      </c>
    </row>
    <row r="77">
      <c r="A77" t="inlineStr">
        <is>
          <t>76</t>
        </is>
      </c>
      <c r="B77" t="inlineStr">
        <is>
          <t>Helen Dussek</t>
        </is>
      </c>
      <c r="C77" t="inlineStr">
        <is>
          <t>Nottingham Clarion CC</t>
        </is>
      </c>
      <c r="D77" t="inlineStr">
        <is>
          <t>131</t>
        </is>
      </c>
      <c r="E77">
        <f>HYPERLINK("https://www.britishcycling.org.uk/points?person_id=139207&amp;year=2022&amp;type=national&amp;d=6","Results")</f>
        <v/>
      </c>
    </row>
    <row r="78">
      <c r="A78" t="inlineStr">
        <is>
          <t>77</t>
        </is>
      </c>
      <c r="B78" t="inlineStr">
        <is>
          <t>Davina McLelland</t>
        </is>
      </c>
      <c r="C78" t="inlineStr"/>
      <c r="D78" t="inlineStr">
        <is>
          <t>131</t>
        </is>
      </c>
      <c r="E78">
        <f>HYPERLINK("https://www.britishcycling.org.uk/points?person_id=1043010&amp;year=2022&amp;type=national&amp;d=6","Results")</f>
        <v/>
      </c>
    </row>
    <row r="79">
      <c r="A79" t="inlineStr">
        <is>
          <t>78</t>
        </is>
      </c>
      <c r="B79" t="inlineStr">
        <is>
          <t>Freya Whiteside</t>
        </is>
      </c>
      <c r="C79" t="inlineStr">
        <is>
          <t>Shibden Cycling Club</t>
        </is>
      </c>
      <c r="D79" t="inlineStr">
        <is>
          <t>130</t>
        </is>
      </c>
      <c r="E79">
        <f>HYPERLINK("https://www.britishcycling.org.uk/points?person_id=395535&amp;year=2022&amp;type=national&amp;d=6","Results")</f>
        <v/>
      </c>
    </row>
    <row r="80">
      <c r="A80" t="inlineStr">
        <is>
          <t>79</t>
        </is>
      </c>
      <c r="B80" t="inlineStr">
        <is>
          <t>Caitlyn Beardsmore</t>
        </is>
      </c>
      <c r="C80" t="inlineStr">
        <is>
          <t>Team Empella Cyclo-Cross.Com</t>
        </is>
      </c>
      <c r="D80" t="inlineStr">
        <is>
          <t>128</t>
        </is>
      </c>
      <c r="E80">
        <f>HYPERLINK("https://www.britishcycling.org.uk/points?person_id=528370&amp;year=2022&amp;type=national&amp;d=6","Results")</f>
        <v/>
      </c>
    </row>
    <row r="81">
      <c r="A81" t="inlineStr">
        <is>
          <t>80</t>
        </is>
      </c>
      <c r="B81" t="inlineStr">
        <is>
          <t>Ella Maclean-Howell</t>
        </is>
      </c>
      <c r="C81" t="inlineStr">
        <is>
          <t>Hope Factory Racing</t>
        </is>
      </c>
      <c r="D81" t="inlineStr">
        <is>
          <t>128</t>
        </is>
      </c>
      <c r="E81">
        <f>HYPERLINK("https://www.britishcycling.org.uk/points?person_id=233843&amp;year=2022&amp;type=national&amp;d=6","Results")</f>
        <v/>
      </c>
    </row>
    <row r="82">
      <c r="A82" t="inlineStr">
        <is>
          <t>81</t>
        </is>
      </c>
      <c r="B82" t="inlineStr">
        <is>
          <t>Joanne Newstead</t>
        </is>
      </c>
      <c r="C82" t="inlineStr">
        <is>
          <t>XRT - Elmy Cycles</t>
        </is>
      </c>
      <c r="D82" t="inlineStr">
        <is>
          <t>128</t>
        </is>
      </c>
      <c r="E82">
        <f>HYPERLINK("https://www.britishcycling.org.uk/points?person_id=13888&amp;year=2022&amp;type=national&amp;d=6","Results")</f>
        <v/>
      </c>
    </row>
    <row r="83">
      <c r="A83" t="inlineStr">
        <is>
          <t>82</t>
        </is>
      </c>
      <c r="B83" t="inlineStr">
        <is>
          <t>Fran Whyte</t>
        </is>
      </c>
      <c r="C83" t="inlineStr">
        <is>
          <t>Bicester Millennium CC</t>
        </is>
      </c>
      <c r="D83" t="inlineStr">
        <is>
          <t>126</t>
        </is>
      </c>
      <c r="E83">
        <f>HYPERLINK("https://www.britishcycling.org.uk/points?person_id=262068&amp;year=2022&amp;type=national&amp;d=6","Results")</f>
        <v/>
      </c>
    </row>
    <row r="84">
      <c r="A84" t="inlineStr">
        <is>
          <t>83</t>
        </is>
      </c>
      <c r="B84" t="inlineStr">
        <is>
          <t>Esther Wong</t>
        </is>
      </c>
      <c r="C84" t="inlineStr">
        <is>
          <t>Shibden Hope Tech Apex</t>
        </is>
      </c>
      <c r="D84" t="inlineStr">
        <is>
          <t>126</t>
        </is>
      </c>
      <c r="E84">
        <f>HYPERLINK("https://www.britishcycling.org.uk/points?person_id=190563&amp;year=2022&amp;type=national&amp;d=6","Results")</f>
        <v/>
      </c>
    </row>
    <row r="85">
      <c r="A85" t="inlineStr">
        <is>
          <t>84</t>
        </is>
      </c>
      <c r="B85" t="inlineStr">
        <is>
          <t>Abigail Miller</t>
        </is>
      </c>
      <c r="C85" t="inlineStr">
        <is>
          <t>WXC World Racing</t>
        </is>
      </c>
      <c r="D85" t="inlineStr">
        <is>
          <t>125</t>
        </is>
      </c>
      <c r="E85">
        <f>HYPERLINK("https://www.britishcycling.org.uk/points?person_id=532038&amp;year=2022&amp;type=national&amp;d=6","Results")</f>
        <v/>
      </c>
    </row>
    <row r="86">
      <c r="A86" t="inlineStr">
        <is>
          <t>85</t>
        </is>
      </c>
      <c r="B86" t="inlineStr">
        <is>
          <t>Evie Steed</t>
        </is>
      </c>
      <c r="C86" t="inlineStr">
        <is>
          <t>Sherwood Pines Cycles Forme</t>
        </is>
      </c>
      <c r="D86" t="inlineStr">
        <is>
          <t>123</t>
        </is>
      </c>
      <c r="E86">
        <f>HYPERLINK("https://www.britishcycling.org.uk/points?person_id=309238&amp;year=2022&amp;type=national&amp;d=6","Results")</f>
        <v/>
      </c>
    </row>
    <row r="87">
      <c r="A87" t="inlineStr">
        <is>
          <t>86</t>
        </is>
      </c>
      <c r="B87" t="inlineStr">
        <is>
          <t>Carly Ibbitson</t>
        </is>
      </c>
      <c r="C87" t="inlineStr">
        <is>
          <t>Fareham Wheelers Cycling Club</t>
        </is>
      </c>
      <c r="D87" t="inlineStr">
        <is>
          <t>122</t>
        </is>
      </c>
      <c r="E87">
        <f>HYPERLINK("https://www.britishcycling.org.uk/points?person_id=401053&amp;year=2022&amp;type=national&amp;d=6","Results")</f>
        <v/>
      </c>
    </row>
    <row r="88">
      <c r="A88" t="inlineStr">
        <is>
          <t>87</t>
        </is>
      </c>
      <c r="B88" t="inlineStr">
        <is>
          <t>Matilda McKibben</t>
        </is>
      </c>
      <c r="C88" t="inlineStr">
        <is>
          <t>Shibden Cycling Club</t>
        </is>
      </c>
      <c r="D88" t="inlineStr">
        <is>
          <t>122</t>
        </is>
      </c>
      <c r="E88">
        <f>HYPERLINK("https://www.britishcycling.org.uk/points?person_id=688319&amp;year=2022&amp;type=national&amp;d=6","Results")</f>
        <v/>
      </c>
    </row>
    <row r="89">
      <c r="A89" t="inlineStr">
        <is>
          <t>88</t>
        </is>
      </c>
      <c r="B89" t="inlineStr">
        <is>
          <t>Joanne Thom</t>
        </is>
      </c>
      <c r="C89" t="inlineStr">
        <is>
          <t>TORQ Performance</t>
        </is>
      </c>
      <c r="D89" t="inlineStr">
        <is>
          <t>122</t>
        </is>
      </c>
      <c r="E89">
        <f>HYPERLINK("https://www.britishcycling.org.uk/points?person_id=232775&amp;year=2022&amp;type=national&amp;d=6","Results")</f>
        <v/>
      </c>
    </row>
    <row r="90">
      <c r="A90" t="inlineStr">
        <is>
          <t>89</t>
        </is>
      </c>
      <c r="B90" t="inlineStr">
        <is>
          <t>Lindsay Newman</t>
        </is>
      </c>
      <c r="C90" t="inlineStr">
        <is>
          <t>Team Jewson-M.I.Racing</t>
        </is>
      </c>
      <c r="D90" t="inlineStr">
        <is>
          <t>119</t>
        </is>
      </c>
      <c r="E90">
        <f>HYPERLINK("https://www.britishcycling.org.uk/points?person_id=334954&amp;year=2022&amp;type=national&amp;d=6","Results")</f>
        <v/>
      </c>
    </row>
    <row r="91">
      <c r="A91" t="inlineStr">
        <is>
          <t>90</t>
        </is>
      </c>
      <c r="B91" t="inlineStr">
        <is>
          <t>Rachel Dunn</t>
        </is>
      </c>
      <c r="C91" t="inlineStr">
        <is>
          <t>Verulam - reallymoving.com</t>
        </is>
      </c>
      <c r="D91" t="inlineStr">
        <is>
          <t>117</t>
        </is>
      </c>
      <c r="E91">
        <f>HYPERLINK("https://www.britishcycling.org.uk/points?person_id=377653&amp;year=2022&amp;type=national&amp;d=6","Results")</f>
        <v/>
      </c>
    </row>
    <row r="92">
      <c r="A92" t="inlineStr">
        <is>
          <t>91</t>
        </is>
      </c>
      <c r="B92" t="inlineStr">
        <is>
          <t>Harriet Evans</t>
        </is>
      </c>
      <c r="C92" t="inlineStr">
        <is>
          <t>Brother UK-Orientation Marketing</t>
        </is>
      </c>
      <c r="D92" t="inlineStr">
        <is>
          <t>116</t>
        </is>
      </c>
      <c r="E92">
        <f>HYPERLINK("https://www.britishcycling.org.uk/points?person_id=538258&amp;year=2022&amp;type=national&amp;d=6","Results")</f>
        <v/>
      </c>
    </row>
    <row r="93">
      <c r="A93" t="inlineStr">
        <is>
          <t>92</t>
        </is>
      </c>
      <c r="B93" t="inlineStr">
        <is>
          <t>Carys Lloyd</t>
        </is>
      </c>
      <c r="C93" t="inlineStr">
        <is>
          <t>VC Londres</t>
        </is>
      </c>
      <c r="D93" t="inlineStr">
        <is>
          <t>114</t>
        </is>
      </c>
      <c r="E93">
        <f>HYPERLINK("https://www.britishcycling.org.uk/points?person_id=261152&amp;year=2022&amp;type=national&amp;d=6","Results")</f>
        <v/>
      </c>
    </row>
    <row r="94">
      <c r="A94" t="inlineStr">
        <is>
          <t>93</t>
        </is>
      </c>
      <c r="B94" t="inlineStr">
        <is>
          <t>Ruby Beardsall</t>
        </is>
      </c>
      <c r="C94" t="inlineStr"/>
      <c r="D94" t="inlineStr">
        <is>
          <t>113</t>
        </is>
      </c>
      <c r="E94">
        <f>HYPERLINK("https://www.britishcycling.org.uk/points?person_id=1076040&amp;year=2022&amp;type=national&amp;d=6","Results")</f>
        <v/>
      </c>
    </row>
    <row r="95">
      <c r="A95" t="inlineStr">
        <is>
          <t>94</t>
        </is>
      </c>
      <c r="B95" t="inlineStr">
        <is>
          <t>Nicola Lovell</t>
        </is>
      </c>
      <c r="C95" t="inlineStr">
        <is>
          <t>Nopinz Motip Development Team</t>
        </is>
      </c>
      <c r="D95" t="inlineStr">
        <is>
          <t>113</t>
        </is>
      </c>
      <c r="E95">
        <f>HYPERLINK("https://www.britishcycling.org.uk/points?person_id=555205&amp;year=2022&amp;type=national&amp;d=6","Results")</f>
        <v/>
      </c>
    </row>
    <row r="96">
      <c r="A96" t="inlineStr">
        <is>
          <t>95</t>
        </is>
      </c>
      <c r="B96" t="inlineStr">
        <is>
          <t>Deborah Smith</t>
        </is>
      </c>
      <c r="C96" t="inlineStr">
        <is>
          <t>Nova Race Team</t>
        </is>
      </c>
      <c r="D96" t="inlineStr">
        <is>
          <t>113</t>
        </is>
      </c>
      <c r="E96">
        <f>HYPERLINK("https://www.britishcycling.org.uk/points?person_id=643247&amp;year=2022&amp;type=national&amp;d=6","Results")</f>
        <v/>
      </c>
    </row>
    <row r="97">
      <c r="A97" t="inlineStr">
        <is>
          <t>96</t>
        </is>
      </c>
      <c r="B97" t="inlineStr">
        <is>
          <t>Eva Marshall</t>
        </is>
      </c>
      <c r="C97" t="inlineStr">
        <is>
          <t>EDCO Wheels RT</t>
        </is>
      </c>
      <c r="D97" t="inlineStr">
        <is>
          <t>108</t>
        </is>
      </c>
      <c r="E97">
        <f>HYPERLINK("https://www.britishcycling.org.uk/points?person_id=937666&amp;year=2022&amp;type=national&amp;d=6","Results")</f>
        <v/>
      </c>
    </row>
    <row r="98">
      <c r="A98" t="inlineStr">
        <is>
          <t>97</t>
        </is>
      </c>
      <c r="B98" t="inlineStr">
        <is>
          <t>Karen Heppenstall</t>
        </is>
      </c>
      <c r="C98" t="inlineStr"/>
      <c r="D98" t="inlineStr">
        <is>
          <t>107</t>
        </is>
      </c>
      <c r="E98">
        <f>HYPERLINK("https://www.britishcycling.org.uk/points?person_id=116361&amp;year=2022&amp;type=national&amp;d=6","Results")</f>
        <v/>
      </c>
    </row>
    <row r="99">
      <c r="A99" t="inlineStr">
        <is>
          <t>98</t>
        </is>
      </c>
      <c r="B99" t="inlineStr">
        <is>
          <t>Helen Hutchinson</t>
        </is>
      </c>
      <c r="C99" t="inlineStr">
        <is>
          <t>Derby Mercury RC</t>
        </is>
      </c>
      <c r="D99" t="inlineStr">
        <is>
          <t>107</t>
        </is>
      </c>
      <c r="E99">
        <f>HYPERLINK("https://www.britishcycling.org.uk/points?person_id=425602&amp;year=2022&amp;type=national&amp;d=6","Results")</f>
        <v/>
      </c>
    </row>
    <row r="100">
      <c r="A100" t="inlineStr">
        <is>
          <t>99</t>
        </is>
      </c>
      <c r="B100" t="inlineStr">
        <is>
          <t>Kate Dixon</t>
        </is>
      </c>
      <c r="C100" t="inlineStr">
        <is>
          <t>Oscar Bravo</t>
        </is>
      </c>
      <c r="D100" t="inlineStr">
        <is>
          <t>104</t>
        </is>
      </c>
      <c r="E100">
        <f>HYPERLINK("https://www.britishcycling.org.uk/points?person_id=863211&amp;year=2022&amp;type=national&amp;d=6","Results")</f>
        <v/>
      </c>
    </row>
    <row r="101">
      <c r="A101" t="inlineStr">
        <is>
          <t>100</t>
        </is>
      </c>
      <c r="B101" t="inlineStr">
        <is>
          <t>Karen Tostee</t>
        </is>
      </c>
      <c r="C101" t="inlineStr">
        <is>
          <t>Hub Vélo</t>
        </is>
      </c>
      <c r="D101" t="inlineStr">
        <is>
          <t>104</t>
        </is>
      </c>
      <c r="E101">
        <f>HYPERLINK("https://www.britishcycling.org.uk/points?person_id=681414&amp;year=2022&amp;type=national&amp;d=6","Results")</f>
        <v/>
      </c>
    </row>
    <row r="102">
      <c r="A102" t="inlineStr">
        <is>
          <t>101</t>
        </is>
      </c>
      <c r="B102" t="inlineStr">
        <is>
          <t>Louise Mahé</t>
        </is>
      </c>
      <c r="C102" t="inlineStr">
        <is>
          <t>Sutton Cycling Club</t>
        </is>
      </c>
      <c r="D102" t="inlineStr">
        <is>
          <t>103</t>
        </is>
      </c>
      <c r="E102">
        <f>HYPERLINK("https://www.britishcycling.org.uk/points?person_id=72160&amp;year=2022&amp;type=national&amp;d=6","Results")</f>
        <v/>
      </c>
    </row>
    <row r="103">
      <c r="A103" t="inlineStr">
        <is>
          <t>102</t>
        </is>
      </c>
      <c r="B103" t="inlineStr">
        <is>
          <t>Naomi Metcalfe</t>
        </is>
      </c>
      <c r="C103" t="inlineStr">
        <is>
          <t>Southborough &amp; District Whls</t>
        </is>
      </c>
      <c r="D103" t="inlineStr">
        <is>
          <t>103</t>
        </is>
      </c>
      <c r="E103">
        <f>HYPERLINK("https://www.britishcycling.org.uk/points?person_id=924645&amp;year=2022&amp;type=national&amp;d=6","Results")</f>
        <v/>
      </c>
    </row>
    <row r="104">
      <c r="A104" t="inlineStr">
        <is>
          <t>103</t>
        </is>
      </c>
      <c r="B104" t="inlineStr">
        <is>
          <t>Anastasia Bowler</t>
        </is>
      </c>
      <c r="C104" t="inlineStr">
        <is>
          <t>Wahoo Endurance Zone p/b Le Col</t>
        </is>
      </c>
      <c r="D104" t="inlineStr">
        <is>
          <t>102</t>
        </is>
      </c>
      <c r="E104">
        <f>HYPERLINK("https://www.britishcycling.org.uk/points?person_id=888694&amp;year=2022&amp;type=national&amp;d=6","Results")</f>
        <v/>
      </c>
    </row>
    <row r="105">
      <c r="A105" t="inlineStr">
        <is>
          <t>104</t>
        </is>
      </c>
      <c r="B105" t="inlineStr">
        <is>
          <t>Grace Inglis</t>
        </is>
      </c>
      <c r="C105" t="inlineStr">
        <is>
          <t>Muckle Cycle Club</t>
        </is>
      </c>
      <c r="D105" t="inlineStr">
        <is>
          <t>102</t>
        </is>
      </c>
      <c r="E105">
        <f>HYPERLINK("https://www.britishcycling.org.uk/points?person_id=653413&amp;year=2022&amp;type=national&amp;d=6","Results")</f>
        <v/>
      </c>
    </row>
    <row r="106">
      <c r="A106" t="inlineStr">
        <is>
          <t>105</t>
        </is>
      </c>
      <c r="B106" t="inlineStr">
        <is>
          <t>Natalie Munro</t>
        </is>
      </c>
      <c r="C106" t="inlineStr">
        <is>
          <t>MGC RT</t>
        </is>
      </c>
      <c r="D106" t="inlineStr">
        <is>
          <t>102</t>
        </is>
      </c>
      <c r="E106">
        <f>HYPERLINK("https://www.britishcycling.org.uk/points?person_id=297330&amp;year=2022&amp;type=national&amp;d=6","Results")</f>
        <v/>
      </c>
    </row>
    <row r="107">
      <c r="A107" t="inlineStr">
        <is>
          <t>106</t>
        </is>
      </c>
      <c r="B107" t="inlineStr">
        <is>
          <t>Cat Ferguson</t>
        </is>
      </c>
      <c r="C107" t="inlineStr">
        <is>
          <t>Hope Factory Racing</t>
        </is>
      </c>
      <c r="D107" t="inlineStr">
        <is>
          <t>100</t>
        </is>
      </c>
      <c r="E107">
        <f>HYPERLINK("https://www.britishcycling.org.uk/points?person_id=390279&amp;year=2022&amp;type=national&amp;d=6","Results")</f>
        <v/>
      </c>
    </row>
    <row r="108">
      <c r="A108" t="inlineStr">
        <is>
          <t>107</t>
        </is>
      </c>
      <c r="B108" t="inlineStr">
        <is>
          <t>Caroline Goodman</t>
        </is>
      </c>
      <c r="C108" t="inlineStr">
        <is>
          <t>High Wycombe Cycling Club</t>
        </is>
      </c>
      <c r="D108" t="inlineStr">
        <is>
          <t>99</t>
        </is>
      </c>
      <c r="E108">
        <f>HYPERLINK("https://www.britishcycling.org.uk/points?person_id=832441&amp;year=2022&amp;type=national&amp;d=6","Results")</f>
        <v/>
      </c>
    </row>
    <row r="109">
      <c r="A109" t="inlineStr">
        <is>
          <t>108</t>
        </is>
      </c>
      <c r="B109" t="inlineStr">
        <is>
          <t>Amy Mourne</t>
        </is>
      </c>
      <c r="C109" t="inlineStr">
        <is>
          <t>Shibden Cycling Club</t>
        </is>
      </c>
      <c r="D109" t="inlineStr">
        <is>
          <t>99</t>
        </is>
      </c>
      <c r="E109">
        <f>HYPERLINK("https://www.britishcycling.org.uk/points?person_id=358925&amp;year=2022&amp;type=national&amp;d=6","Results")</f>
        <v/>
      </c>
    </row>
    <row r="110">
      <c r="A110" t="inlineStr">
        <is>
          <t>109</t>
        </is>
      </c>
      <c r="B110" t="inlineStr">
        <is>
          <t>Samantha Fawcett</t>
        </is>
      </c>
      <c r="C110" t="inlineStr">
        <is>
          <t>Spectra Wiggle p/b Vitus</t>
        </is>
      </c>
      <c r="D110" t="inlineStr">
        <is>
          <t>98</t>
        </is>
      </c>
      <c r="E110">
        <f>HYPERLINK("https://www.britishcycling.org.uk/points?person_id=532289&amp;year=2022&amp;type=national&amp;d=6","Results")</f>
        <v/>
      </c>
    </row>
    <row r="111">
      <c r="A111" t="inlineStr">
        <is>
          <t>110</t>
        </is>
      </c>
      <c r="B111" t="inlineStr">
        <is>
          <t>Eleanor Humphries</t>
        </is>
      </c>
      <c r="C111" t="inlineStr">
        <is>
          <t>Welland Valley CC</t>
        </is>
      </c>
      <c r="D111" t="inlineStr">
        <is>
          <t>96</t>
        </is>
      </c>
      <c r="E111">
        <f>HYPERLINK("https://www.britishcycling.org.uk/points?person_id=1026409&amp;year=2022&amp;type=national&amp;d=6","Results")</f>
        <v/>
      </c>
    </row>
    <row r="112">
      <c r="A112" t="inlineStr">
        <is>
          <t>111</t>
        </is>
      </c>
      <c r="B112" t="inlineStr">
        <is>
          <t>Lucy Williams</t>
        </is>
      </c>
      <c r="C112" t="inlineStr">
        <is>
          <t>Crawley Wheelers Race Team</t>
        </is>
      </c>
      <c r="D112" t="inlineStr">
        <is>
          <t>96</t>
        </is>
      </c>
      <c r="E112">
        <f>HYPERLINK("https://www.britishcycling.org.uk/points?person_id=676225&amp;year=2022&amp;type=national&amp;d=6","Results")</f>
        <v/>
      </c>
    </row>
    <row r="113">
      <c r="A113" t="inlineStr">
        <is>
          <t>112</t>
        </is>
      </c>
      <c r="B113" t="inlineStr">
        <is>
          <t>Ffyona Booker</t>
        </is>
      </c>
      <c r="C113" t="inlineStr">
        <is>
          <t>University of Nottingham CC</t>
        </is>
      </c>
      <c r="D113" t="inlineStr">
        <is>
          <t>94</t>
        </is>
      </c>
      <c r="E113">
        <f>HYPERLINK("https://www.britishcycling.org.uk/points?person_id=219244&amp;year=2022&amp;type=national&amp;d=6","Results")</f>
        <v/>
      </c>
    </row>
    <row r="114">
      <c r="A114" t="inlineStr">
        <is>
          <t>113</t>
        </is>
      </c>
      <c r="B114" t="inlineStr">
        <is>
          <t>Jodie Janes</t>
        </is>
      </c>
      <c r="C114" t="inlineStr">
        <is>
          <t>Velobants.cc</t>
        </is>
      </c>
      <c r="D114" t="inlineStr">
        <is>
          <t>93</t>
        </is>
      </c>
      <c r="E114">
        <f>HYPERLINK("https://www.britishcycling.org.uk/points?person_id=646858&amp;year=2022&amp;type=national&amp;d=6","Results")</f>
        <v/>
      </c>
    </row>
    <row r="115">
      <c r="A115" t="inlineStr">
        <is>
          <t>114</t>
        </is>
      </c>
      <c r="B115" t="inlineStr">
        <is>
          <t>Genevieve Billington</t>
        </is>
      </c>
      <c r="C115" t="inlineStr">
        <is>
          <t>Bromsgrove Olympique CC</t>
        </is>
      </c>
      <c r="D115" t="inlineStr">
        <is>
          <t>92</t>
        </is>
      </c>
      <c r="E115">
        <f>HYPERLINK("https://www.britishcycling.org.uk/points?person_id=65655&amp;year=2022&amp;type=national&amp;d=6","Results")</f>
        <v/>
      </c>
    </row>
    <row r="116">
      <c r="A116" t="inlineStr">
        <is>
          <t>115</t>
        </is>
      </c>
      <c r="B116" t="inlineStr">
        <is>
          <t>Amelia Cleathero</t>
        </is>
      </c>
      <c r="C116" t="inlineStr">
        <is>
          <t>Reifen Racing</t>
        </is>
      </c>
      <c r="D116" t="inlineStr">
        <is>
          <t>92</t>
        </is>
      </c>
      <c r="E116">
        <f>HYPERLINK("https://www.britishcycling.org.uk/points?person_id=225648&amp;year=2022&amp;type=national&amp;d=6","Results")</f>
        <v/>
      </c>
    </row>
    <row r="117">
      <c r="A117" t="inlineStr">
        <is>
          <t>116</t>
        </is>
      </c>
      <c r="B117" t="inlineStr">
        <is>
          <t>Evie Richards</t>
        </is>
      </c>
      <c r="C117" t="inlineStr">
        <is>
          <t>Trek Factory Racing XC</t>
        </is>
      </c>
      <c r="D117" t="inlineStr">
        <is>
          <t>90</t>
        </is>
      </c>
      <c r="E117">
        <f>HYPERLINK("https://www.britishcycling.org.uk/points?person_id=168298&amp;year=2022&amp;type=national&amp;d=6","Results")</f>
        <v/>
      </c>
    </row>
    <row r="118">
      <c r="A118" t="inlineStr">
        <is>
          <t>117</t>
        </is>
      </c>
      <c r="B118" t="inlineStr">
        <is>
          <t>Debbie Bradley</t>
        </is>
      </c>
      <c r="C118" t="inlineStr">
        <is>
          <t>Peddlamaniacs Cycle Club</t>
        </is>
      </c>
      <c r="D118" t="inlineStr">
        <is>
          <t>89</t>
        </is>
      </c>
      <c r="E118">
        <f>HYPERLINK("https://www.britishcycling.org.uk/points?person_id=755088&amp;year=2022&amp;type=national&amp;d=6","Results")</f>
        <v/>
      </c>
    </row>
    <row r="119">
      <c r="A119" t="inlineStr">
        <is>
          <t>118</t>
        </is>
      </c>
      <c r="B119" t="inlineStr">
        <is>
          <t>Heidi Robus-Toner</t>
        </is>
      </c>
      <c r="C119" t="inlineStr">
        <is>
          <t>VC Deal</t>
        </is>
      </c>
      <c r="D119" t="inlineStr">
        <is>
          <t>89</t>
        </is>
      </c>
      <c r="E119">
        <f>HYPERLINK("https://www.britishcycling.org.uk/points?person_id=1016748&amp;year=2022&amp;type=national&amp;d=6","Results")</f>
        <v/>
      </c>
    </row>
    <row r="120">
      <c r="A120" t="inlineStr">
        <is>
          <t>119</t>
        </is>
      </c>
      <c r="B120" t="inlineStr">
        <is>
          <t>Roisin Lally</t>
        </is>
      </c>
      <c r="C120" t="inlineStr">
        <is>
          <t>Scott Quanta Racing</t>
        </is>
      </c>
      <c r="D120" t="inlineStr">
        <is>
          <t>87</t>
        </is>
      </c>
      <c r="E120">
        <f>HYPERLINK("https://www.britishcycling.org.uk/points?person_id=174279&amp;year=2022&amp;type=national&amp;d=6","Results")</f>
        <v/>
      </c>
    </row>
    <row r="121">
      <c r="A121" t="inlineStr">
        <is>
          <t>120</t>
        </is>
      </c>
      <c r="B121" t="inlineStr">
        <is>
          <t>Nadine Thomas</t>
        </is>
      </c>
      <c r="C121" t="inlineStr">
        <is>
          <t>INFLITE</t>
        </is>
      </c>
      <c r="D121" t="inlineStr">
        <is>
          <t>86</t>
        </is>
      </c>
      <c r="E121">
        <f>HYPERLINK("https://www.britishcycling.org.uk/points?person_id=332931&amp;year=2022&amp;type=national&amp;d=6","Results")</f>
        <v/>
      </c>
    </row>
    <row r="122">
      <c r="A122" t="inlineStr">
        <is>
          <t>121</t>
        </is>
      </c>
      <c r="B122" t="inlineStr">
        <is>
          <t>Georgina Wise</t>
        </is>
      </c>
      <c r="C122" t="inlineStr">
        <is>
          <t>Crawley Wheelers Race Team</t>
        </is>
      </c>
      <c r="D122" t="inlineStr">
        <is>
          <t>86</t>
        </is>
      </c>
      <c r="E122">
        <f>HYPERLINK("https://www.britishcycling.org.uk/points?person_id=943659&amp;year=2022&amp;type=national&amp;d=6","Results")</f>
        <v/>
      </c>
    </row>
    <row r="123">
      <c r="A123" t="inlineStr">
        <is>
          <t>122</t>
        </is>
      </c>
      <c r="B123" t="inlineStr">
        <is>
          <t>Hannah McClorey</t>
        </is>
      </c>
      <c r="C123" t="inlineStr">
        <is>
          <t>RFDA</t>
        </is>
      </c>
      <c r="D123" t="inlineStr">
        <is>
          <t>85</t>
        </is>
      </c>
      <c r="E123">
        <f>HYPERLINK("https://www.britishcycling.org.uk/points?person_id=444152&amp;year=2022&amp;type=national&amp;d=6","Results")</f>
        <v/>
      </c>
    </row>
    <row r="124">
      <c r="A124" t="inlineStr">
        <is>
          <t>123</t>
        </is>
      </c>
      <c r="B124" t="inlineStr">
        <is>
          <t>Jessica Cobbe</t>
        </is>
      </c>
      <c r="C124" t="inlineStr">
        <is>
          <t>ROTOR Race Team</t>
        </is>
      </c>
      <c r="D124" t="inlineStr">
        <is>
          <t>84</t>
        </is>
      </c>
      <c r="E124">
        <f>HYPERLINK("https://www.britishcycling.org.uk/points?person_id=292779&amp;year=2022&amp;type=national&amp;d=6","Results")</f>
        <v/>
      </c>
    </row>
    <row r="125">
      <c r="A125" t="inlineStr">
        <is>
          <t>124</t>
        </is>
      </c>
      <c r="B125" t="inlineStr">
        <is>
          <t>Tracey Fletcher</t>
        </is>
      </c>
      <c r="C125" t="inlineStr">
        <is>
          <t>Magspeed Racing</t>
        </is>
      </c>
      <c r="D125" t="inlineStr">
        <is>
          <t>84</t>
        </is>
      </c>
      <c r="E125">
        <f>HYPERLINK("https://www.britishcycling.org.uk/points?person_id=27758&amp;year=2022&amp;type=national&amp;d=6","Results")</f>
        <v/>
      </c>
    </row>
    <row r="126">
      <c r="A126" t="inlineStr">
        <is>
          <t>125</t>
        </is>
      </c>
      <c r="B126" t="inlineStr">
        <is>
          <t>Jo Malpass</t>
        </is>
      </c>
      <c r="C126" t="inlineStr">
        <is>
          <t>VC Deal</t>
        </is>
      </c>
      <c r="D126" t="inlineStr">
        <is>
          <t>84</t>
        </is>
      </c>
      <c r="E126">
        <f>HYPERLINK("https://www.britishcycling.org.uk/points?person_id=277779&amp;year=2022&amp;type=national&amp;d=6","Results")</f>
        <v/>
      </c>
    </row>
    <row r="127">
      <c r="A127" t="inlineStr">
        <is>
          <t>126</t>
        </is>
      </c>
      <c r="B127" t="inlineStr">
        <is>
          <t>Elizabeth McKie</t>
        </is>
      </c>
      <c r="C127" t="inlineStr">
        <is>
          <t>Verulam - reallymoving.com</t>
        </is>
      </c>
      <c r="D127" t="inlineStr">
        <is>
          <t>84</t>
        </is>
      </c>
      <c r="E127">
        <f>HYPERLINK("https://www.britishcycling.org.uk/points?person_id=137605&amp;year=2022&amp;type=national&amp;d=6","Results")</f>
        <v/>
      </c>
    </row>
    <row r="128">
      <c r="A128" t="inlineStr">
        <is>
          <t>127</t>
        </is>
      </c>
      <c r="B128" t="inlineStr">
        <is>
          <t>Lucy Allsop</t>
        </is>
      </c>
      <c r="C128" t="inlineStr">
        <is>
          <t>ROTOR Race Team</t>
        </is>
      </c>
      <c r="D128" t="inlineStr">
        <is>
          <t>83</t>
        </is>
      </c>
      <c r="E128">
        <f>HYPERLINK("https://www.britishcycling.org.uk/points?person_id=28777&amp;year=2022&amp;type=national&amp;d=6","Results")</f>
        <v/>
      </c>
    </row>
    <row r="129">
      <c r="A129" t="inlineStr">
        <is>
          <t>128</t>
        </is>
      </c>
      <c r="B129" t="inlineStr">
        <is>
          <t>Anna McGorum</t>
        </is>
      </c>
      <c r="C129" t="inlineStr">
        <is>
          <t>Edinburgh University CC</t>
        </is>
      </c>
      <c r="D129" t="inlineStr">
        <is>
          <t>80</t>
        </is>
      </c>
      <c r="E129">
        <f>HYPERLINK("https://www.britishcycling.org.uk/points?person_id=105484&amp;year=2022&amp;type=national&amp;d=6","Results")</f>
        <v/>
      </c>
    </row>
    <row r="130">
      <c r="A130" t="inlineStr">
        <is>
          <t>129</t>
        </is>
      </c>
      <c r="B130" t="inlineStr">
        <is>
          <t>Phoebe Skinner</t>
        </is>
      </c>
      <c r="C130" t="inlineStr">
        <is>
          <t>Derwentside CC</t>
        </is>
      </c>
      <c r="D130" t="inlineStr">
        <is>
          <t>79</t>
        </is>
      </c>
      <c r="E130">
        <f>HYPERLINK("https://www.britishcycling.org.uk/points?person_id=736104&amp;year=2022&amp;type=national&amp;d=6","Results")</f>
        <v/>
      </c>
    </row>
    <row r="131">
      <c r="A131" t="inlineStr">
        <is>
          <t>130</t>
        </is>
      </c>
      <c r="B131" t="inlineStr">
        <is>
          <t>Charlotte Davies</t>
        </is>
      </c>
      <c r="C131" t="inlineStr">
        <is>
          <t>FTP-Fulfil The Potential-Racing</t>
        </is>
      </c>
      <c r="D131" t="inlineStr">
        <is>
          <t>76</t>
        </is>
      </c>
      <c r="E131">
        <f>HYPERLINK("https://www.britishcycling.org.uk/points?person_id=987565&amp;year=2022&amp;type=national&amp;d=6","Results")</f>
        <v/>
      </c>
    </row>
    <row r="132">
      <c r="A132" t="inlineStr">
        <is>
          <t>131</t>
        </is>
      </c>
      <c r="B132" t="inlineStr">
        <is>
          <t>Lotty Dawson</t>
        </is>
      </c>
      <c r="C132" t="inlineStr">
        <is>
          <t>Backstedt Bike Performance JRT</t>
        </is>
      </c>
      <c r="D132" t="inlineStr">
        <is>
          <t>76</t>
        </is>
      </c>
      <c r="E132">
        <f>HYPERLINK("https://www.britishcycling.org.uk/points?person_id=666529&amp;year=2022&amp;type=national&amp;d=6","Results")</f>
        <v/>
      </c>
    </row>
    <row r="133">
      <c r="A133" t="inlineStr">
        <is>
          <t>132</t>
        </is>
      </c>
      <c r="B133" t="inlineStr">
        <is>
          <t>Laura Fenwick</t>
        </is>
      </c>
      <c r="C133" t="inlineStr">
        <is>
          <t>Cowley Road Condors</t>
        </is>
      </c>
      <c r="D133" t="inlineStr">
        <is>
          <t>76</t>
        </is>
      </c>
      <c r="E133">
        <f>HYPERLINK("https://www.britishcycling.org.uk/points?person_id=232699&amp;year=2022&amp;type=national&amp;d=6","Results")</f>
        <v/>
      </c>
    </row>
    <row r="134">
      <c r="A134" t="inlineStr">
        <is>
          <t>133</t>
        </is>
      </c>
      <c r="B134" t="inlineStr">
        <is>
          <t>Elizabeth McKinnon</t>
        </is>
      </c>
      <c r="C134" t="inlineStr">
        <is>
          <t>Montezuma's Race Team</t>
        </is>
      </c>
      <c r="D134" t="inlineStr">
        <is>
          <t>76</t>
        </is>
      </c>
      <c r="E134">
        <f>HYPERLINK("https://www.britishcycling.org.uk/points?person_id=388144&amp;year=2022&amp;type=national&amp;d=6","Results")</f>
        <v/>
      </c>
    </row>
    <row r="135">
      <c r="A135" t="inlineStr">
        <is>
          <t>134</t>
        </is>
      </c>
      <c r="B135" t="inlineStr">
        <is>
          <t>Catherine Hughes</t>
        </is>
      </c>
      <c r="C135" t="inlineStr">
        <is>
          <t>Ilkeston Cycle Club</t>
        </is>
      </c>
      <c r="D135" t="inlineStr">
        <is>
          <t>75</t>
        </is>
      </c>
      <c r="E135">
        <f>HYPERLINK("https://www.britishcycling.org.uk/points?person_id=478788&amp;year=2022&amp;type=national&amp;d=6","Results")</f>
        <v/>
      </c>
    </row>
    <row r="136">
      <c r="A136" t="inlineStr">
        <is>
          <t>135</t>
        </is>
      </c>
      <c r="B136" t="inlineStr">
        <is>
          <t>Grace Whitehouse</t>
        </is>
      </c>
      <c r="C136" t="inlineStr">
        <is>
          <t>WarVena Racing Team</t>
        </is>
      </c>
      <c r="D136" t="inlineStr">
        <is>
          <t>75</t>
        </is>
      </c>
      <c r="E136">
        <f>HYPERLINK("https://www.britishcycling.org.uk/points?person_id=178440&amp;year=2022&amp;type=national&amp;d=6","Results")</f>
        <v/>
      </c>
    </row>
    <row r="137">
      <c r="A137" t="inlineStr">
        <is>
          <t>136</t>
        </is>
      </c>
      <c r="B137" t="inlineStr">
        <is>
          <t>Tracy Wilkinson-Begg</t>
        </is>
      </c>
      <c r="C137" t="inlineStr">
        <is>
          <t>TWB - ON TIME RACE TEAM</t>
        </is>
      </c>
      <c r="D137" t="inlineStr">
        <is>
          <t>75</t>
        </is>
      </c>
      <c r="E137">
        <f>HYPERLINK("https://www.britishcycling.org.uk/points?person_id=604772&amp;year=2022&amp;type=national&amp;d=6","Results")</f>
        <v/>
      </c>
    </row>
    <row r="138">
      <c r="A138" t="inlineStr">
        <is>
          <t>137</t>
        </is>
      </c>
      <c r="B138" t="inlineStr">
        <is>
          <t>Jessica Hobson-Taylor</t>
        </is>
      </c>
      <c r="C138" t="inlineStr">
        <is>
          <t>Pembrokeshire Velo</t>
        </is>
      </c>
      <c r="D138" t="inlineStr">
        <is>
          <t>74</t>
        </is>
      </c>
      <c r="E138">
        <f>HYPERLINK("https://www.britishcycling.org.uk/points?person_id=418414&amp;year=2022&amp;type=national&amp;d=6","Results")</f>
        <v/>
      </c>
    </row>
    <row r="139">
      <c r="A139" t="inlineStr">
        <is>
          <t>138</t>
        </is>
      </c>
      <c r="B139" t="inlineStr">
        <is>
          <t>Lucy Dalgleish</t>
        </is>
      </c>
      <c r="C139" t="inlineStr">
        <is>
          <t>Cog Set Papyrus Racing Club</t>
        </is>
      </c>
      <c r="D139" t="inlineStr">
        <is>
          <t>72</t>
        </is>
      </c>
      <c r="E139">
        <f>HYPERLINK("https://www.britishcycling.org.uk/points?person_id=253518&amp;year=2022&amp;type=national&amp;d=6","Results")</f>
        <v/>
      </c>
    </row>
    <row r="140">
      <c r="A140" t="inlineStr">
        <is>
          <t>139</t>
        </is>
      </c>
      <c r="B140" t="inlineStr">
        <is>
          <t>Sally Devlin</t>
        </is>
      </c>
      <c r="C140" t="inlineStr"/>
      <c r="D140" t="inlineStr">
        <is>
          <t>71</t>
        </is>
      </c>
      <c r="E140">
        <f>HYPERLINK("https://www.britishcycling.org.uk/points?person_id=309134&amp;year=2022&amp;type=national&amp;d=6","Results")</f>
        <v/>
      </c>
    </row>
    <row r="141">
      <c r="A141" t="inlineStr">
        <is>
          <t>140</t>
        </is>
      </c>
      <c r="B141" t="inlineStr">
        <is>
          <t>Anna Flynn</t>
        </is>
      </c>
      <c r="C141" t="inlineStr">
        <is>
          <t>Spectra Wiggle p/b Vitus</t>
        </is>
      </c>
      <c r="D141" t="inlineStr">
        <is>
          <t>70</t>
        </is>
      </c>
      <c r="E141">
        <f>HYPERLINK("https://www.britishcycling.org.uk/points?person_id=127808&amp;year=2022&amp;type=national&amp;d=6","Results")</f>
        <v/>
      </c>
    </row>
    <row r="142">
      <c r="A142" t="inlineStr">
        <is>
          <t>141</t>
        </is>
      </c>
      <c r="B142" t="inlineStr">
        <is>
          <t>Lynsey Whitley</t>
        </is>
      </c>
      <c r="C142" t="inlineStr">
        <is>
          <t>Chester RC</t>
        </is>
      </c>
      <c r="D142" t="inlineStr">
        <is>
          <t>69</t>
        </is>
      </c>
      <c r="E142">
        <f>HYPERLINK("https://www.britishcycling.org.uk/points?person_id=411912&amp;year=2022&amp;type=national&amp;d=6","Results")</f>
        <v/>
      </c>
    </row>
    <row r="143">
      <c r="A143" t="inlineStr">
        <is>
          <t>142</t>
        </is>
      </c>
      <c r="B143" t="inlineStr">
        <is>
          <t>Jamie Leigh Lloyd</t>
        </is>
      </c>
      <c r="C143" t="inlineStr">
        <is>
          <t>Liverpool Braveheart Bicycle Club</t>
        </is>
      </c>
      <c r="D143" t="inlineStr">
        <is>
          <t>67</t>
        </is>
      </c>
      <c r="E143">
        <f>HYPERLINK("https://www.britishcycling.org.uk/points?person_id=817227&amp;year=2022&amp;type=national&amp;d=6","Results")</f>
        <v/>
      </c>
    </row>
    <row r="144">
      <c r="A144" t="inlineStr">
        <is>
          <t>143</t>
        </is>
      </c>
      <c r="B144" t="inlineStr">
        <is>
          <t>Phoebe Sneddon</t>
        </is>
      </c>
      <c r="C144" t="inlineStr">
        <is>
          <t>Magspeed Racing</t>
        </is>
      </c>
      <c r="D144" t="inlineStr">
        <is>
          <t>67</t>
        </is>
      </c>
      <c r="E144">
        <f>HYPERLINK("https://www.britishcycling.org.uk/points?person_id=121201&amp;year=2022&amp;type=national&amp;d=6","Results")</f>
        <v/>
      </c>
    </row>
    <row r="145">
      <c r="A145" t="inlineStr">
        <is>
          <t>144</t>
        </is>
      </c>
      <c r="B145" t="inlineStr">
        <is>
          <t>Donna Short</t>
        </is>
      </c>
      <c r="C145" t="inlineStr">
        <is>
          <t>Cotswold Veldrijden</t>
        </is>
      </c>
      <c r="D145" t="inlineStr">
        <is>
          <t>66</t>
        </is>
      </c>
      <c r="E145">
        <f>HYPERLINK("https://www.britishcycling.org.uk/points?person_id=98988&amp;year=2022&amp;type=national&amp;d=6","Results")</f>
        <v/>
      </c>
    </row>
    <row r="146">
      <c r="A146" t="inlineStr">
        <is>
          <t>145</t>
        </is>
      </c>
      <c r="B146" t="inlineStr">
        <is>
          <t>Maddie Heywood</t>
        </is>
      </c>
      <c r="C146" t="inlineStr">
        <is>
          <t>FTP-Fulfil The Potential-Racing</t>
        </is>
      </c>
      <c r="D146" t="inlineStr">
        <is>
          <t>65</t>
        </is>
      </c>
      <c r="E146">
        <f>HYPERLINK("https://www.britishcycling.org.uk/points?person_id=821532&amp;year=2022&amp;type=national&amp;d=6","Results")</f>
        <v/>
      </c>
    </row>
    <row r="147">
      <c r="A147" t="inlineStr">
        <is>
          <t>146</t>
        </is>
      </c>
      <c r="B147" t="inlineStr">
        <is>
          <t>Claire Jones</t>
        </is>
      </c>
      <c r="C147" t="inlineStr">
        <is>
          <t>Clifton CC</t>
        </is>
      </c>
      <c r="D147" t="inlineStr">
        <is>
          <t>65</t>
        </is>
      </c>
      <c r="E147">
        <f>HYPERLINK("https://www.britishcycling.org.uk/points?person_id=1028416&amp;year=2022&amp;type=national&amp;d=6","Results")</f>
        <v/>
      </c>
    </row>
    <row r="148">
      <c r="A148" t="inlineStr">
        <is>
          <t>147</t>
        </is>
      </c>
      <c r="B148" t="inlineStr">
        <is>
          <t>Laura Lawson</t>
        </is>
      </c>
      <c r="C148" t="inlineStr">
        <is>
          <t>Velobants.cc</t>
        </is>
      </c>
      <c r="D148" t="inlineStr">
        <is>
          <t>65</t>
        </is>
      </c>
      <c r="E148">
        <f>HYPERLINK("https://www.britishcycling.org.uk/points?person_id=130359&amp;year=2022&amp;type=national&amp;d=6","Results")</f>
        <v/>
      </c>
    </row>
    <row r="149">
      <c r="A149" t="inlineStr">
        <is>
          <t>148</t>
        </is>
      </c>
      <c r="B149" t="inlineStr">
        <is>
          <t>Isabel Wallace</t>
        </is>
      </c>
      <c r="C149" t="inlineStr">
        <is>
          <t>Lee Velo (South East London)</t>
        </is>
      </c>
      <c r="D149" t="inlineStr">
        <is>
          <t>65</t>
        </is>
      </c>
      <c r="E149">
        <f>HYPERLINK("https://www.britishcycling.org.uk/points?person_id=899655&amp;year=2022&amp;type=national&amp;d=6","Results")</f>
        <v/>
      </c>
    </row>
    <row r="150">
      <c r="A150" t="inlineStr">
        <is>
          <t>149</t>
        </is>
      </c>
      <c r="B150" t="inlineStr">
        <is>
          <t>Libby Bell</t>
        </is>
      </c>
      <c r="C150" t="inlineStr">
        <is>
          <t>Garden Shed UK-Ribble-Verge Sport</t>
        </is>
      </c>
      <c r="D150" t="inlineStr">
        <is>
          <t>64</t>
        </is>
      </c>
      <c r="E150">
        <f>HYPERLINK("https://www.britishcycling.org.uk/points?person_id=441969&amp;year=2022&amp;type=national&amp;d=6","Results")</f>
        <v/>
      </c>
    </row>
    <row r="151">
      <c r="A151" t="inlineStr">
        <is>
          <t>150</t>
        </is>
      </c>
      <c r="B151" t="inlineStr">
        <is>
          <t>Olivia Campbell</t>
        </is>
      </c>
      <c r="C151" t="inlineStr">
        <is>
          <t>Dulwich Paragon CC</t>
        </is>
      </c>
      <c r="D151" t="inlineStr">
        <is>
          <t>64</t>
        </is>
      </c>
      <c r="E151">
        <f>HYPERLINK("https://www.britishcycling.org.uk/points?person_id=316710&amp;year=2022&amp;type=national&amp;d=6","Results")</f>
        <v/>
      </c>
    </row>
    <row r="152">
      <c r="A152" t="inlineStr">
        <is>
          <t>151</t>
        </is>
      </c>
      <c r="B152" t="inlineStr">
        <is>
          <t>Joanne Clay</t>
        </is>
      </c>
      <c r="C152" t="inlineStr">
        <is>
          <t>TORQ Performance</t>
        </is>
      </c>
      <c r="D152" t="inlineStr">
        <is>
          <t>64</t>
        </is>
      </c>
      <c r="E152">
        <f>HYPERLINK("https://www.britishcycling.org.uk/points?person_id=130758&amp;year=2022&amp;type=national&amp;d=6","Results")</f>
        <v/>
      </c>
    </row>
    <row r="153">
      <c r="A153" t="inlineStr">
        <is>
          <t>152</t>
        </is>
      </c>
      <c r="B153" t="inlineStr">
        <is>
          <t>Michelle Paget</t>
        </is>
      </c>
      <c r="C153" t="inlineStr">
        <is>
          <t>Peddlamaniacs Cycle Club</t>
        </is>
      </c>
      <c r="D153" t="inlineStr">
        <is>
          <t>64</t>
        </is>
      </c>
      <c r="E153">
        <f>HYPERLINK("https://www.britishcycling.org.uk/points?person_id=98016&amp;year=2022&amp;type=national&amp;d=6","Results")</f>
        <v/>
      </c>
    </row>
    <row r="154">
      <c r="A154" t="inlineStr">
        <is>
          <t>153</t>
        </is>
      </c>
      <c r="B154" t="inlineStr">
        <is>
          <t>Mia Rutterford</t>
        </is>
      </c>
      <c r="C154" t="inlineStr">
        <is>
          <t>Montezuma's Race Team</t>
        </is>
      </c>
      <c r="D154" t="inlineStr">
        <is>
          <t>64</t>
        </is>
      </c>
      <c r="E154">
        <f>HYPERLINK("https://www.britishcycling.org.uk/points?person_id=351824&amp;year=2022&amp;type=national&amp;d=6","Results")</f>
        <v/>
      </c>
    </row>
    <row r="155">
      <c r="A155" t="inlineStr">
        <is>
          <t>154</t>
        </is>
      </c>
      <c r="B155" t="inlineStr">
        <is>
          <t>Sian Botteley</t>
        </is>
      </c>
      <c r="C155" t="inlineStr">
        <is>
          <t>Team LDN - Brother UK</t>
        </is>
      </c>
      <c r="D155" t="inlineStr">
        <is>
          <t>63</t>
        </is>
      </c>
      <c r="E155">
        <f>HYPERLINK("https://www.britishcycling.org.uk/points?person_id=123730&amp;year=2022&amp;type=national&amp;d=6","Results")</f>
        <v/>
      </c>
    </row>
    <row r="156">
      <c r="A156" t="inlineStr">
        <is>
          <t>155</t>
        </is>
      </c>
      <c r="B156" t="inlineStr">
        <is>
          <t>Florence Lissaman</t>
        </is>
      </c>
      <c r="C156" t="inlineStr">
        <is>
          <t>Newark Castle CC</t>
        </is>
      </c>
      <c r="D156" t="inlineStr">
        <is>
          <t>63</t>
        </is>
      </c>
      <c r="E156">
        <f>HYPERLINK("https://www.britishcycling.org.uk/points?person_id=318895&amp;year=2022&amp;type=national&amp;d=6","Results")</f>
        <v/>
      </c>
    </row>
    <row r="157">
      <c r="A157" t="inlineStr">
        <is>
          <t>156</t>
        </is>
      </c>
      <c r="B157" t="inlineStr">
        <is>
          <t>Sophie Ramsden</t>
        </is>
      </c>
      <c r="C157" t="inlineStr">
        <is>
          <t>Leicester University Cycling Team</t>
        </is>
      </c>
      <c r="D157" t="inlineStr">
        <is>
          <t>63</t>
        </is>
      </c>
      <c r="E157">
        <f>HYPERLINK("https://www.britishcycling.org.uk/points?person_id=331647&amp;year=2022&amp;type=national&amp;d=6","Results")</f>
        <v/>
      </c>
    </row>
    <row r="158">
      <c r="A158" t="inlineStr">
        <is>
          <t>157</t>
        </is>
      </c>
      <c r="B158" t="inlineStr">
        <is>
          <t>Natalie Smith</t>
        </is>
      </c>
      <c r="C158" t="inlineStr">
        <is>
          <t>ROTOR Race Team</t>
        </is>
      </c>
      <c r="D158" t="inlineStr">
        <is>
          <t>63</t>
        </is>
      </c>
      <c r="E158">
        <f>HYPERLINK("https://www.britishcycling.org.uk/points?person_id=870268&amp;year=2022&amp;type=national&amp;d=6","Results")</f>
        <v/>
      </c>
    </row>
    <row r="159">
      <c r="A159" t="inlineStr">
        <is>
          <t>158</t>
        </is>
      </c>
      <c r="B159" t="inlineStr">
        <is>
          <t>Ruby Carleton</t>
        </is>
      </c>
      <c r="C159" t="inlineStr">
        <is>
          <t>Abergavenny Road Club</t>
        </is>
      </c>
      <c r="D159" t="inlineStr">
        <is>
          <t>62</t>
        </is>
      </c>
      <c r="E159">
        <f>HYPERLINK("https://www.britishcycling.org.uk/points?person_id=789763&amp;year=2022&amp;type=national&amp;d=6","Results")</f>
        <v/>
      </c>
    </row>
    <row r="160">
      <c r="A160" t="inlineStr">
        <is>
          <t>159</t>
        </is>
      </c>
      <c r="B160" t="inlineStr">
        <is>
          <t>Rosalind Willicombe</t>
        </is>
      </c>
      <c r="C160" t="inlineStr"/>
      <c r="D160" t="inlineStr">
        <is>
          <t>62</t>
        </is>
      </c>
      <c r="E160">
        <f>HYPERLINK("https://www.britishcycling.org.uk/points?person_id=108088&amp;year=2022&amp;type=national&amp;d=6","Results")</f>
        <v/>
      </c>
    </row>
    <row r="161">
      <c r="A161" t="inlineStr">
        <is>
          <t>160</t>
        </is>
      </c>
      <c r="B161" t="inlineStr">
        <is>
          <t>Adeline Moreau</t>
        </is>
      </c>
      <c r="C161" t="inlineStr">
        <is>
          <t>Magspeed Racing</t>
        </is>
      </c>
      <c r="D161" t="inlineStr">
        <is>
          <t>61</t>
        </is>
      </c>
      <c r="E161">
        <f>HYPERLINK("https://www.britishcycling.org.uk/points?person_id=324229&amp;year=2022&amp;type=national&amp;d=6","Results")</f>
        <v/>
      </c>
    </row>
    <row r="162">
      <c r="A162" t="inlineStr">
        <is>
          <t>161</t>
        </is>
      </c>
      <c r="B162" t="inlineStr">
        <is>
          <t>Ailsa Neely</t>
        </is>
      </c>
      <c r="C162" t="inlineStr">
        <is>
          <t>Solihull CC</t>
        </is>
      </c>
      <c r="D162" t="inlineStr">
        <is>
          <t>61</t>
        </is>
      </c>
      <c r="E162">
        <f>HYPERLINK("https://www.britishcycling.org.uk/points?person_id=660755&amp;year=2022&amp;type=national&amp;d=6","Results")</f>
        <v/>
      </c>
    </row>
    <row r="163">
      <c r="A163" t="inlineStr">
        <is>
          <t>162</t>
        </is>
      </c>
      <c r="B163" t="inlineStr">
        <is>
          <t>Clare Parkin</t>
        </is>
      </c>
      <c r="C163" t="inlineStr">
        <is>
          <t>Bath Cycling Club</t>
        </is>
      </c>
      <c r="D163" t="inlineStr">
        <is>
          <t>61</t>
        </is>
      </c>
      <c r="E163">
        <f>HYPERLINK("https://www.britishcycling.org.uk/points?person_id=425837&amp;year=2022&amp;type=national&amp;d=6","Results")</f>
        <v/>
      </c>
    </row>
    <row r="164">
      <c r="A164" t="inlineStr">
        <is>
          <t>163</t>
        </is>
      </c>
      <c r="B164" t="inlineStr">
        <is>
          <t>Caroline Cunningham</t>
        </is>
      </c>
      <c r="C164" t="inlineStr">
        <is>
          <t>North Tyneside Riders</t>
        </is>
      </c>
      <c r="D164" t="inlineStr">
        <is>
          <t>58</t>
        </is>
      </c>
      <c r="E164">
        <f>HYPERLINK("https://www.britishcycling.org.uk/points?person_id=524130&amp;year=2022&amp;type=national&amp;d=6","Results")</f>
        <v/>
      </c>
    </row>
    <row r="165">
      <c r="A165" t="inlineStr">
        <is>
          <t>164</t>
        </is>
      </c>
      <c r="B165" t="inlineStr">
        <is>
          <t>Sophie Halhead</t>
        </is>
      </c>
      <c r="C165" t="inlineStr"/>
      <c r="D165" t="inlineStr">
        <is>
          <t>58</t>
        </is>
      </c>
      <c r="E165">
        <f>HYPERLINK("https://www.britishcycling.org.uk/points?person_id=545991&amp;year=2022&amp;type=national&amp;d=6","Results")</f>
        <v/>
      </c>
    </row>
    <row r="166">
      <c r="A166" t="inlineStr">
        <is>
          <t>165</t>
        </is>
      </c>
      <c r="B166" t="inlineStr">
        <is>
          <t>Denise Burrows</t>
        </is>
      </c>
      <c r="C166" t="inlineStr"/>
      <c r="D166" t="inlineStr">
        <is>
          <t>57</t>
        </is>
      </c>
      <c r="E166">
        <f>HYPERLINK("https://www.britishcycling.org.uk/points?person_id=399906&amp;year=2022&amp;type=national&amp;d=6","Results")</f>
        <v/>
      </c>
    </row>
    <row r="167">
      <c r="A167" t="inlineStr">
        <is>
          <t>166</t>
        </is>
      </c>
      <c r="B167" t="inlineStr">
        <is>
          <t>Florence Greenhalgh</t>
        </is>
      </c>
      <c r="C167" t="inlineStr">
        <is>
          <t>Paul Milnes - Bradford Olympic RC</t>
        </is>
      </c>
      <c r="D167" t="inlineStr">
        <is>
          <t>56</t>
        </is>
      </c>
      <c r="E167">
        <f>HYPERLINK("https://www.britishcycling.org.uk/points?person_id=339045&amp;year=2022&amp;type=national&amp;d=6","Results")</f>
        <v/>
      </c>
    </row>
    <row r="168">
      <c r="A168" t="inlineStr">
        <is>
          <t>167</t>
        </is>
      </c>
      <c r="B168" t="inlineStr">
        <is>
          <t>Cheri Mills</t>
        </is>
      </c>
      <c r="C168" t="inlineStr">
        <is>
          <t>Fibrax Wrexham Roads Club</t>
        </is>
      </c>
      <c r="D168" t="inlineStr">
        <is>
          <t>56</t>
        </is>
      </c>
      <c r="E168">
        <f>HYPERLINK("https://www.britishcycling.org.uk/points?person_id=42047&amp;year=2022&amp;type=national&amp;d=6","Results")</f>
        <v/>
      </c>
    </row>
    <row r="169">
      <c r="A169" t="inlineStr">
        <is>
          <t>168</t>
        </is>
      </c>
      <c r="B169" t="inlineStr">
        <is>
          <t>Claire Nott</t>
        </is>
      </c>
      <c r="C169" t="inlineStr">
        <is>
          <t>Army Cycling Union</t>
        </is>
      </c>
      <c r="D169" t="inlineStr">
        <is>
          <t>56</t>
        </is>
      </c>
      <c r="E169">
        <f>HYPERLINK("https://www.britishcycling.org.uk/points?person_id=554230&amp;year=2022&amp;type=national&amp;d=6","Results")</f>
        <v/>
      </c>
    </row>
    <row r="170">
      <c r="A170" t="inlineStr">
        <is>
          <t>169</t>
        </is>
      </c>
      <c r="B170" t="inlineStr">
        <is>
          <t>Lucy Siddle</t>
        </is>
      </c>
      <c r="C170" t="inlineStr">
        <is>
          <t>Reifen Racing</t>
        </is>
      </c>
      <c r="D170" t="inlineStr">
        <is>
          <t>56</t>
        </is>
      </c>
      <c r="E170">
        <f>HYPERLINK("https://www.britishcycling.org.uk/points?person_id=400718&amp;year=2022&amp;type=national&amp;d=6","Results")</f>
        <v/>
      </c>
    </row>
    <row r="171">
      <c r="A171" t="inlineStr">
        <is>
          <t>170</t>
        </is>
      </c>
      <c r="B171" t="inlineStr">
        <is>
          <t>Laura Sheppard</t>
        </is>
      </c>
      <c r="C171" t="inlineStr">
        <is>
          <t>Royal Air Force CA</t>
        </is>
      </c>
      <c r="D171" t="inlineStr">
        <is>
          <t>54</t>
        </is>
      </c>
      <c r="E171">
        <f>HYPERLINK("https://www.britishcycling.org.uk/points?person_id=1015226&amp;year=2022&amp;type=national&amp;d=6","Results")</f>
        <v/>
      </c>
    </row>
    <row r="172">
      <c r="A172" t="inlineStr">
        <is>
          <t>171</t>
        </is>
      </c>
      <c r="B172" t="inlineStr">
        <is>
          <t>Ellie Harrison</t>
        </is>
      </c>
      <c r="C172" t="inlineStr">
        <is>
          <t>Clifton CC</t>
        </is>
      </c>
      <c r="D172" t="inlineStr">
        <is>
          <t>53</t>
        </is>
      </c>
      <c r="E172">
        <f>HYPERLINK("https://www.britishcycling.org.uk/points?person_id=661953&amp;year=2022&amp;type=national&amp;d=6","Results")</f>
        <v/>
      </c>
    </row>
    <row r="173">
      <c r="A173" t="inlineStr">
        <is>
          <t>172</t>
        </is>
      </c>
      <c r="B173" t="inlineStr">
        <is>
          <t>Lydia Brookes</t>
        </is>
      </c>
      <c r="C173" t="inlineStr">
        <is>
          <t>Les Filles Racing Team</t>
        </is>
      </c>
      <c r="D173" t="inlineStr">
        <is>
          <t>52</t>
        </is>
      </c>
      <c r="E173">
        <f>HYPERLINK("https://www.britishcycling.org.uk/points?person_id=272508&amp;year=2022&amp;type=national&amp;d=6","Results")</f>
        <v/>
      </c>
    </row>
    <row r="174">
      <c r="A174" t="inlineStr">
        <is>
          <t>173</t>
        </is>
      </c>
      <c r="B174" t="inlineStr">
        <is>
          <t>Madeleine Gammons</t>
        </is>
      </c>
      <c r="C174" t="inlineStr">
        <is>
          <t>Loughborough Lightning</t>
        </is>
      </c>
      <c r="D174" t="inlineStr">
        <is>
          <t>52</t>
        </is>
      </c>
      <c r="E174">
        <f>HYPERLINK("https://www.britishcycling.org.uk/points?person_id=176509&amp;year=2022&amp;type=national&amp;d=6","Results")</f>
        <v/>
      </c>
    </row>
    <row r="175">
      <c r="A175" t="inlineStr">
        <is>
          <t>174</t>
        </is>
      </c>
      <c r="B175" t="inlineStr">
        <is>
          <t>Philippa Jenkins</t>
        </is>
      </c>
      <c r="C175" t="inlineStr">
        <is>
          <t>1904 RT</t>
        </is>
      </c>
      <c r="D175" t="inlineStr">
        <is>
          <t>52</t>
        </is>
      </c>
      <c r="E175">
        <f>HYPERLINK("https://www.britishcycling.org.uk/points?person_id=320215&amp;year=2022&amp;type=national&amp;d=6","Results")</f>
        <v/>
      </c>
    </row>
    <row r="176">
      <c r="A176" t="inlineStr">
        <is>
          <t>175</t>
        </is>
      </c>
      <c r="B176" t="inlineStr">
        <is>
          <t>Heather Robinson</t>
        </is>
      </c>
      <c r="C176" t="inlineStr">
        <is>
          <t>Hetton Hawks Cycling Club</t>
        </is>
      </c>
      <c r="D176" t="inlineStr">
        <is>
          <t>52</t>
        </is>
      </c>
      <c r="E176">
        <f>HYPERLINK("https://www.britishcycling.org.uk/points?person_id=402642&amp;year=2022&amp;type=national&amp;d=6","Results")</f>
        <v/>
      </c>
    </row>
    <row r="177">
      <c r="A177" t="inlineStr">
        <is>
          <t>176</t>
        </is>
      </c>
      <c r="B177" t="inlineStr">
        <is>
          <t>Grace Cooper</t>
        </is>
      </c>
      <c r="C177" t="inlineStr">
        <is>
          <t>Barrow Central Wheelers</t>
        </is>
      </c>
      <c r="D177" t="inlineStr">
        <is>
          <t>51</t>
        </is>
      </c>
      <c r="E177">
        <f>HYPERLINK("https://www.britishcycling.org.uk/points?person_id=1028117&amp;year=2022&amp;type=national&amp;d=6","Results")</f>
        <v/>
      </c>
    </row>
    <row r="178">
      <c r="A178" t="inlineStr">
        <is>
          <t>177</t>
        </is>
      </c>
      <c r="B178" t="inlineStr">
        <is>
          <t>Sasha Smith</t>
        </is>
      </c>
      <c r="C178" t="inlineStr">
        <is>
          <t>FTP-Fulfil The Potential-Racing</t>
        </is>
      </c>
      <c r="D178" t="inlineStr">
        <is>
          <t>51</t>
        </is>
      </c>
      <c r="E178">
        <f>HYPERLINK("https://www.britishcycling.org.uk/points?person_id=557911&amp;year=2022&amp;type=national&amp;d=6","Results")</f>
        <v/>
      </c>
    </row>
    <row r="179">
      <c r="A179" t="inlineStr">
        <is>
          <t>178</t>
        </is>
      </c>
      <c r="B179" t="inlineStr">
        <is>
          <t>Charlotte Evans</t>
        </is>
      </c>
      <c r="C179" t="inlineStr">
        <is>
          <t>Cwmcarn Paragon Cycling Club</t>
        </is>
      </c>
      <c r="D179" t="inlineStr">
        <is>
          <t>49</t>
        </is>
      </c>
      <c r="E179">
        <f>HYPERLINK("https://www.britishcycling.org.uk/points?person_id=566711&amp;year=2022&amp;type=national&amp;d=6","Results")</f>
        <v/>
      </c>
    </row>
    <row r="180">
      <c r="A180" t="inlineStr">
        <is>
          <t>179</t>
        </is>
      </c>
      <c r="B180" t="inlineStr">
        <is>
          <t>Lauren Higham</t>
        </is>
      </c>
      <c r="C180" t="inlineStr">
        <is>
          <t>Team LDN - Brother UK</t>
        </is>
      </c>
      <c r="D180" t="inlineStr">
        <is>
          <t>49</t>
        </is>
      </c>
      <c r="E180">
        <f>HYPERLINK("https://www.britishcycling.org.uk/points?person_id=199104&amp;year=2022&amp;type=national&amp;d=6","Results")</f>
        <v/>
      </c>
    </row>
    <row r="181">
      <c r="A181" t="inlineStr">
        <is>
          <t>180</t>
        </is>
      </c>
      <c r="B181" t="inlineStr">
        <is>
          <t>Lizzie Jewitt</t>
        </is>
      </c>
      <c r="C181" t="inlineStr">
        <is>
          <t>WestSide Coaching</t>
        </is>
      </c>
      <c r="D181" t="inlineStr">
        <is>
          <t>49</t>
        </is>
      </c>
      <c r="E181">
        <f>HYPERLINK("https://www.britishcycling.org.uk/points?person_id=844519&amp;year=2022&amp;type=national&amp;d=6","Results")</f>
        <v/>
      </c>
    </row>
    <row r="182">
      <c r="A182" t="inlineStr">
        <is>
          <t>181</t>
        </is>
      </c>
      <c r="B182" t="inlineStr">
        <is>
          <t>Nicola Powell</t>
        </is>
      </c>
      <c r="C182" t="inlineStr">
        <is>
          <t>Stowmarket &amp; District CC</t>
        </is>
      </c>
      <c r="D182" t="inlineStr">
        <is>
          <t>49</t>
        </is>
      </c>
      <c r="E182">
        <f>HYPERLINK("https://www.britishcycling.org.uk/points?person_id=506772&amp;year=2022&amp;type=national&amp;d=6","Results")</f>
        <v/>
      </c>
    </row>
    <row r="183">
      <c r="A183" t="inlineStr">
        <is>
          <t>182</t>
        </is>
      </c>
      <c r="B183" t="inlineStr">
        <is>
          <t>Sally Reid</t>
        </is>
      </c>
      <c r="C183" t="inlineStr">
        <is>
          <t>Magspeed Racing</t>
        </is>
      </c>
      <c r="D183" t="inlineStr">
        <is>
          <t>49</t>
        </is>
      </c>
      <c r="E183">
        <f>HYPERLINK("https://www.britishcycling.org.uk/points?person_id=333365&amp;year=2022&amp;type=national&amp;d=6","Results")</f>
        <v/>
      </c>
    </row>
    <row r="184">
      <c r="A184" t="inlineStr">
        <is>
          <t>183</t>
        </is>
      </c>
      <c r="B184" t="inlineStr">
        <is>
          <t>Natasha Caleia-Ramos</t>
        </is>
      </c>
      <c r="C184" t="inlineStr"/>
      <c r="D184" t="inlineStr">
        <is>
          <t>47</t>
        </is>
      </c>
      <c r="E184">
        <f>HYPERLINK("https://www.britishcycling.org.uk/points?person_id=397512&amp;year=2022&amp;type=national&amp;d=6","Results")</f>
        <v/>
      </c>
    </row>
    <row r="185">
      <c r="A185" t="inlineStr">
        <is>
          <t>184</t>
        </is>
      </c>
      <c r="B185" t="inlineStr">
        <is>
          <t>Jackie Shute</t>
        </is>
      </c>
      <c r="C185" t="inlineStr">
        <is>
          <t>Mid Devon CC</t>
        </is>
      </c>
      <c r="D185" t="inlineStr">
        <is>
          <t>47</t>
        </is>
      </c>
      <c r="E185">
        <f>HYPERLINK("https://www.britishcycling.org.uk/points?person_id=395528&amp;year=2022&amp;type=national&amp;d=6","Results")</f>
        <v/>
      </c>
    </row>
    <row r="186">
      <c r="A186" t="inlineStr">
        <is>
          <t>185</t>
        </is>
      </c>
      <c r="B186" t="inlineStr">
        <is>
          <t>Gemma Felstead</t>
        </is>
      </c>
      <c r="C186" t="inlineStr">
        <is>
          <t>Veloccino Squadra Donne</t>
        </is>
      </c>
      <c r="D186" t="inlineStr">
        <is>
          <t>46</t>
        </is>
      </c>
      <c r="E186">
        <f>HYPERLINK("https://www.britishcycling.org.uk/points?person_id=585180&amp;year=2022&amp;type=national&amp;d=6","Results")</f>
        <v/>
      </c>
    </row>
    <row r="187">
      <c r="A187" t="inlineStr">
        <is>
          <t>186</t>
        </is>
      </c>
      <c r="B187" t="inlineStr">
        <is>
          <t>Kathryn Gohl</t>
        </is>
      </c>
      <c r="C187" t="inlineStr">
        <is>
          <t>Nice Brew Racing</t>
        </is>
      </c>
      <c r="D187" t="inlineStr">
        <is>
          <t>46</t>
        </is>
      </c>
      <c r="E187">
        <f>HYPERLINK("https://www.britishcycling.org.uk/points?person_id=732383&amp;year=2022&amp;type=national&amp;d=6","Results")</f>
        <v/>
      </c>
    </row>
    <row r="188">
      <c r="A188" t="inlineStr">
        <is>
          <t>187</t>
        </is>
      </c>
      <c r="B188" t="inlineStr">
        <is>
          <t>Karen Payton</t>
        </is>
      </c>
      <c r="C188" t="inlineStr"/>
      <c r="D188" t="inlineStr">
        <is>
          <t>46</t>
        </is>
      </c>
      <c r="E188">
        <f>HYPERLINK("https://www.britishcycling.org.uk/points?person_id=37432&amp;year=2022&amp;type=national&amp;d=6","Results")</f>
        <v/>
      </c>
    </row>
    <row r="189">
      <c r="A189" t="inlineStr">
        <is>
          <t>188</t>
        </is>
      </c>
      <c r="B189" t="inlineStr">
        <is>
          <t>Millie Thomson</t>
        </is>
      </c>
      <c r="C189" t="inlineStr">
        <is>
          <t>Deeside Thistle CC</t>
        </is>
      </c>
      <c r="D189" t="inlineStr">
        <is>
          <t>46</t>
        </is>
      </c>
      <c r="E189">
        <f>HYPERLINK("https://www.britishcycling.org.uk/points?person_id=454300&amp;year=2022&amp;type=national&amp;d=6","Results")</f>
        <v/>
      </c>
    </row>
    <row r="190">
      <c r="A190" t="inlineStr">
        <is>
          <t>189</t>
        </is>
      </c>
      <c r="B190" t="inlineStr">
        <is>
          <t>Nikola Matthews</t>
        </is>
      </c>
      <c r="C190" t="inlineStr">
        <is>
          <t>Shibden Cycling Club</t>
        </is>
      </c>
      <c r="D190" t="inlineStr">
        <is>
          <t>45</t>
        </is>
      </c>
      <c r="E190">
        <f>HYPERLINK("https://www.britishcycling.org.uk/points?person_id=104952&amp;year=2022&amp;type=national&amp;d=6","Results")</f>
        <v/>
      </c>
    </row>
    <row r="191">
      <c r="A191" t="inlineStr">
        <is>
          <t>190</t>
        </is>
      </c>
      <c r="B191" t="inlineStr">
        <is>
          <t>Joanne Clarke</t>
        </is>
      </c>
      <c r="C191" t="inlineStr">
        <is>
          <t>Velo Club Venta</t>
        </is>
      </c>
      <c r="D191" t="inlineStr">
        <is>
          <t>44</t>
        </is>
      </c>
      <c r="E191">
        <f>HYPERLINK("https://www.britishcycling.org.uk/points?person_id=869514&amp;year=2022&amp;type=national&amp;d=6","Results")</f>
        <v/>
      </c>
    </row>
    <row r="192">
      <c r="A192" t="inlineStr">
        <is>
          <t>191</t>
        </is>
      </c>
      <c r="B192" t="inlineStr">
        <is>
          <t>Abigail Corsie</t>
        </is>
      </c>
      <c r="C192" t="inlineStr">
        <is>
          <t>Forth Velo</t>
        </is>
      </c>
      <c r="D192" t="inlineStr">
        <is>
          <t>44</t>
        </is>
      </c>
      <c r="E192">
        <f>HYPERLINK("https://www.britishcycling.org.uk/points?person_id=823847&amp;year=2022&amp;type=national&amp;d=6","Results")</f>
        <v/>
      </c>
    </row>
    <row r="193">
      <c r="A193" t="inlineStr">
        <is>
          <t>192</t>
        </is>
      </c>
      <c r="B193" t="inlineStr">
        <is>
          <t>Donna Goodwin</t>
        </is>
      </c>
      <c r="C193" t="inlineStr">
        <is>
          <t>Louth Cycle Centre RT</t>
        </is>
      </c>
      <c r="D193" t="inlineStr">
        <is>
          <t>44</t>
        </is>
      </c>
      <c r="E193">
        <f>HYPERLINK("https://www.britishcycling.org.uk/points?person_id=423791&amp;year=2022&amp;type=national&amp;d=6","Results")</f>
        <v/>
      </c>
    </row>
    <row r="194">
      <c r="A194" t="inlineStr">
        <is>
          <t>193</t>
        </is>
      </c>
      <c r="B194" t="inlineStr">
        <is>
          <t>Amelia Walton</t>
        </is>
      </c>
      <c r="C194" t="inlineStr">
        <is>
          <t>ESV Manchester</t>
        </is>
      </c>
      <c r="D194" t="inlineStr">
        <is>
          <t>42</t>
        </is>
      </c>
      <c r="E194">
        <f>HYPERLINK("https://www.britishcycling.org.uk/points?person_id=227275&amp;year=2022&amp;type=national&amp;d=6","Results")</f>
        <v/>
      </c>
    </row>
    <row r="195">
      <c r="A195" t="inlineStr">
        <is>
          <t>194</t>
        </is>
      </c>
      <c r="B195" t="inlineStr">
        <is>
          <t>Lucy Cotman</t>
        </is>
      </c>
      <c r="C195" t="inlineStr">
        <is>
          <t>Royal Air Force CA</t>
        </is>
      </c>
      <c r="D195" t="inlineStr">
        <is>
          <t>41</t>
        </is>
      </c>
      <c r="E195">
        <f>HYPERLINK("https://www.britishcycling.org.uk/points?person_id=327703&amp;year=2022&amp;type=national&amp;d=6","Results")</f>
        <v/>
      </c>
    </row>
    <row r="196">
      <c r="A196" t="inlineStr">
        <is>
          <t>195</t>
        </is>
      </c>
      <c r="B196" t="inlineStr">
        <is>
          <t>Hannah Rainger</t>
        </is>
      </c>
      <c r="C196" t="inlineStr">
        <is>
          <t>North Devon Wheelers</t>
        </is>
      </c>
      <c r="D196" t="inlineStr">
        <is>
          <t>41</t>
        </is>
      </c>
      <c r="E196">
        <f>HYPERLINK("https://www.britishcycling.org.uk/points?person_id=540568&amp;year=2022&amp;type=national&amp;d=6","Results")</f>
        <v/>
      </c>
    </row>
    <row r="197">
      <c r="A197" t="inlineStr">
        <is>
          <t>196</t>
        </is>
      </c>
      <c r="B197" t="inlineStr">
        <is>
          <t>Sam Burman</t>
        </is>
      </c>
      <c r="C197" t="inlineStr">
        <is>
          <t>WNT Development Team</t>
        </is>
      </c>
      <c r="D197" t="inlineStr">
        <is>
          <t>40</t>
        </is>
      </c>
      <c r="E197">
        <f>HYPERLINK("https://www.britishcycling.org.uk/points?person_id=246195&amp;year=2022&amp;type=national&amp;d=6","Results")</f>
        <v/>
      </c>
    </row>
    <row r="198">
      <c r="A198" t="inlineStr">
        <is>
          <t>197</t>
        </is>
      </c>
      <c r="B198" t="inlineStr">
        <is>
          <t>Emily Carrick-Anderson</t>
        </is>
      </c>
      <c r="C198" t="inlineStr">
        <is>
          <t>T-Mo Racing</t>
        </is>
      </c>
      <c r="D198" t="inlineStr">
        <is>
          <t>40</t>
        </is>
      </c>
      <c r="E198">
        <f>HYPERLINK("https://www.britishcycling.org.uk/points?person_id=254522&amp;year=2022&amp;type=national&amp;d=6","Results")</f>
        <v/>
      </c>
    </row>
    <row r="199">
      <c r="A199" t="inlineStr">
        <is>
          <t>198</t>
        </is>
      </c>
      <c r="B199" t="inlineStr">
        <is>
          <t>Lucy Gadd</t>
        </is>
      </c>
      <c r="C199" t="inlineStr">
        <is>
          <t>Storey Racing</t>
        </is>
      </c>
      <c r="D199" t="inlineStr">
        <is>
          <t>40</t>
        </is>
      </c>
      <c r="E199">
        <f>HYPERLINK("https://www.britishcycling.org.uk/points?person_id=178473&amp;year=2022&amp;type=national&amp;d=6","Results")</f>
        <v/>
      </c>
    </row>
    <row r="200">
      <c r="A200" t="inlineStr">
        <is>
          <t>199</t>
        </is>
      </c>
      <c r="B200" t="inlineStr">
        <is>
          <t>Abbie Manley</t>
        </is>
      </c>
      <c r="C200" t="inlineStr">
        <is>
          <t>Montezuma's Race Team</t>
        </is>
      </c>
      <c r="D200" t="inlineStr">
        <is>
          <t>40</t>
        </is>
      </c>
      <c r="E200">
        <f>HYPERLINK("https://www.britishcycling.org.uk/points?person_id=229554&amp;year=2022&amp;type=national&amp;d=6","Results")</f>
        <v/>
      </c>
    </row>
    <row r="201">
      <c r="A201" t="inlineStr">
        <is>
          <t>200</t>
        </is>
      </c>
      <c r="B201" t="inlineStr">
        <is>
          <t>Marie Meldrum</t>
        </is>
      </c>
      <c r="C201" t="inlineStr">
        <is>
          <t>Nevis Cycles Racing Team</t>
        </is>
      </c>
      <c r="D201" t="inlineStr">
        <is>
          <t>40</t>
        </is>
      </c>
      <c r="E201">
        <f>HYPERLINK("https://www.britishcycling.org.uk/points?person_id=266383&amp;year=2022&amp;type=national&amp;d=6","Results")</f>
        <v/>
      </c>
    </row>
    <row r="202">
      <c r="A202" t="inlineStr">
        <is>
          <t>201</t>
        </is>
      </c>
      <c r="B202" t="inlineStr">
        <is>
          <t>Eline Smit</t>
        </is>
      </c>
      <c r="C202" t="inlineStr">
        <is>
          <t>LAKA Pedal Mafia RT</t>
        </is>
      </c>
      <c r="D202" t="inlineStr">
        <is>
          <t>40</t>
        </is>
      </c>
      <c r="E202">
        <f>HYPERLINK("https://www.britishcycling.org.uk/points?person_id=1038934&amp;year=2022&amp;type=national&amp;d=6","Results")</f>
        <v/>
      </c>
    </row>
    <row r="203">
      <c r="A203" t="inlineStr">
        <is>
          <t>202</t>
        </is>
      </c>
      <c r="B203" t="inlineStr">
        <is>
          <t>Maddie Wadsworth</t>
        </is>
      </c>
      <c r="C203" t="inlineStr">
        <is>
          <t>AWOL- O'Shea</t>
        </is>
      </c>
      <c r="D203" t="inlineStr">
        <is>
          <t>40</t>
        </is>
      </c>
      <c r="E203">
        <f>HYPERLINK("https://www.britishcycling.org.uk/points?person_id=101805&amp;year=2022&amp;type=national&amp;d=6","Results")</f>
        <v/>
      </c>
    </row>
    <row r="204">
      <c r="A204" t="inlineStr">
        <is>
          <t>203</t>
        </is>
      </c>
      <c r="B204" t="inlineStr">
        <is>
          <t>Caroline Harvey</t>
        </is>
      </c>
      <c r="C204" t="inlineStr">
        <is>
          <t>Peebles CC</t>
        </is>
      </c>
      <c r="D204" t="inlineStr">
        <is>
          <t>39</t>
        </is>
      </c>
      <c r="E204">
        <f>HYPERLINK("https://www.britishcycling.org.uk/points?person_id=508653&amp;year=2022&amp;type=national&amp;d=6","Results")</f>
        <v/>
      </c>
    </row>
    <row r="205">
      <c r="A205" t="inlineStr">
        <is>
          <t>204</t>
        </is>
      </c>
      <c r="B205" t="inlineStr">
        <is>
          <t>Lauren Johnston</t>
        </is>
      </c>
      <c r="C205" t="inlineStr">
        <is>
          <t>Hervelo Cycling</t>
        </is>
      </c>
      <c r="D205" t="inlineStr">
        <is>
          <t>39</t>
        </is>
      </c>
      <c r="E205">
        <f>HYPERLINK("https://www.britishcycling.org.uk/points?person_id=731761&amp;year=2022&amp;type=national&amp;d=6","Results")</f>
        <v/>
      </c>
    </row>
    <row r="206">
      <c r="A206" t="inlineStr">
        <is>
          <t>205</t>
        </is>
      </c>
      <c r="B206" t="inlineStr">
        <is>
          <t>Ellie-Mae Pledger</t>
        </is>
      </c>
      <c r="C206" t="inlineStr">
        <is>
          <t>Colchester Rovers CC</t>
        </is>
      </c>
      <c r="D206" t="inlineStr">
        <is>
          <t>39</t>
        </is>
      </c>
      <c r="E206">
        <f>HYPERLINK("https://www.britishcycling.org.uk/points?person_id=205209&amp;year=2022&amp;type=national&amp;d=6","Results")</f>
        <v/>
      </c>
    </row>
    <row r="207">
      <c r="A207" t="inlineStr">
        <is>
          <t>206</t>
        </is>
      </c>
      <c r="B207" t="inlineStr">
        <is>
          <t>Harriette Taylor</t>
        </is>
      </c>
      <c r="C207" t="inlineStr">
        <is>
          <t>Chase Racing</t>
        </is>
      </c>
      <c r="D207" t="inlineStr">
        <is>
          <t>39</t>
        </is>
      </c>
      <c r="E207">
        <f>HYPERLINK("https://www.britishcycling.org.uk/points?person_id=669204&amp;year=2022&amp;type=national&amp;d=6","Results")</f>
        <v/>
      </c>
    </row>
    <row r="208">
      <c r="A208" t="inlineStr">
        <is>
          <t>207</t>
        </is>
      </c>
      <c r="B208" t="inlineStr">
        <is>
          <t>Alison Bagnall</t>
        </is>
      </c>
      <c r="C208" t="inlineStr">
        <is>
          <t>ROTOR Race Team</t>
        </is>
      </c>
      <c r="D208" t="inlineStr">
        <is>
          <t>38</t>
        </is>
      </c>
      <c r="E208">
        <f>HYPERLINK("https://www.britishcycling.org.uk/points?person_id=540393&amp;year=2022&amp;type=national&amp;d=6","Results")</f>
        <v/>
      </c>
    </row>
    <row r="209">
      <c r="A209" t="inlineStr">
        <is>
          <t>208</t>
        </is>
      </c>
      <c r="B209" t="inlineStr">
        <is>
          <t>Melanie Annable</t>
        </is>
      </c>
      <c r="C209" t="inlineStr">
        <is>
          <t>Allen Valley Velo</t>
        </is>
      </c>
      <c r="D209" t="inlineStr">
        <is>
          <t>37</t>
        </is>
      </c>
      <c r="E209">
        <f>HYPERLINK("https://www.britishcycling.org.uk/points?person_id=527440&amp;year=2022&amp;type=national&amp;d=6","Results")</f>
        <v/>
      </c>
    </row>
    <row r="210">
      <c r="A210" t="inlineStr">
        <is>
          <t>209</t>
        </is>
      </c>
      <c r="B210" t="inlineStr">
        <is>
          <t>Lauren Humphreys</t>
        </is>
      </c>
      <c r="C210" t="inlineStr">
        <is>
          <t>ROTOR Race Team</t>
        </is>
      </c>
      <c r="D210" t="inlineStr">
        <is>
          <t>37</t>
        </is>
      </c>
      <c r="E210">
        <f>HYPERLINK("https://www.britishcycling.org.uk/points?person_id=76028&amp;year=2022&amp;type=national&amp;d=6","Results")</f>
        <v/>
      </c>
    </row>
    <row r="211">
      <c r="A211" t="inlineStr">
        <is>
          <t>210</t>
        </is>
      </c>
      <c r="B211" t="inlineStr">
        <is>
          <t>Shona Mosley</t>
        </is>
      </c>
      <c r="C211" t="inlineStr">
        <is>
          <t>JRC-INTERFLON Race Team</t>
        </is>
      </c>
      <c r="D211" t="inlineStr">
        <is>
          <t>37</t>
        </is>
      </c>
      <c r="E211">
        <f>HYPERLINK("https://www.britishcycling.org.uk/points?person_id=300945&amp;year=2022&amp;type=national&amp;d=6","Results")</f>
        <v/>
      </c>
    </row>
    <row r="212">
      <c r="A212" t="inlineStr">
        <is>
          <t>211</t>
        </is>
      </c>
      <c r="B212" t="inlineStr">
        <is>
          <t>Grace Norman</t>
        </is>
      </c>
      <c r="C212" t="inlineStr">
        <is>
          <t>Jadan - Vive le Velo</t>
        </is>
      </c>
      <c r="D212" t="inlineStr">
        <is>
          <t>37</t>
        </is>
      </c>
      <c r="E212">
        <f>HYPERLINK("https://www.britishcycling.org.uk/points?person_id=970370&amp;year=2022&amp;type=national&amp;d=6","Results")</f>
        <v/>
      </c>
    </row>
    <row r="213">
      <c r="A213" t="inlineStr">
        <is>
          <t>212</t>
        </is>
      </c>
      <c r="B213" t="inlineStr">
        <is>
          <t>Julie Hughes</t>
        </is>
      </c>
      <c r="C213" t="inlineStr">
        <is>
          <t>North Hampshire RC</t>
        </is>
      </c>
      <c r="D213" t="inlineStr">
        <is>
          <t>36</t>
        </is>
      </c>
      <c r="E213">
        <f>HYPERLINK("https://www.britishcycling.org.uk/points?person_id=1002092&amp;year=2022&amp;type=national&amp;d=6","Results")</f>
        <v/>
      </c>
    </row>
    <row r="214">
      <c r="A214" t="inlineStr">
        <is>
          <t>213</t>
        </is>
      </c>
      <c r="B214" t="inlineStr">
        <is>
          <t>Lucy Hart</t>
        </is>
      </c>
      <c r="C214" t="inlineStr">
        <is>
          <t>Cero - Cycle Division Racing Team</t>
        </is>
      </c>
      <c r="D214" t="inlineStr">
        <is>
          <t>35</t>
        </is>
      </c>
      <c r="E214">
        <f>HYPERLINK("https://www.britishcycling.org.uk/points?person_id=387650&amp;year=2022&amp;type=national&amp;d=6","Results")</f>
        <v/>
      </c>
    </row>
    <row r="215">
      <c r="A215" t="inlineStr">
        <is>
          <t>214</t>
        </is>
      </c>
      <c r="B215" t="inlineStr">
        <is>
          <t>Helen Taylor-Carter</t>
        </is>
      </c>
      <c r="C215" t="inlineStr">
        <is>
          <t>Bedfordshire Road Cycling Club</t>
        </is>
      </c>
      <c r="D215" t="inlineStr">
        <is>
          <t>35</t>
        </is>
      </c>
      <c r="E215">
        <f>HYPERLINK("https://www.britishcycling.org.uk/points?person_id=952103&amp;year=2022&amp;type=national&amp;d=6","Results")</f>
        <v/>
      </c>
    </row>
    <row r="216">
      <c r="A216" t="inlineStr">
        <is>
          <t>215</t>
        </is>
      </c>
      <c r="B216" t="inlineStr">
        <is>
          <t>Claire Buttivant</t>
        </is>
      </c>
      <c r="C216" t="inlineStr">
        <is>
          <t>Amersham Road Cycling Club</t>
        </is>
      </c>
      <c r="D216" t="inlineStr">
        <is>
          <t>34</t>
        </is>
      </c>
      <c r="E216">
        <f>HYPERLINK("https://www.britishcycling.org.uk/points?person_id=1019734&amp;year=2022&amp;type=national&amp;d=6","Results")</f>
        <v/>
      </c>
    </row>
    <row r="217">
      <c r="A217" t="inlineStr">
        <is>
          <t>216</t>
        </is>
      </c>
      <c r="B217" t="inlineStr">
        <is>
          <t>Holly Jones</t>
        </is>
      </c>
      <c r="C217" t="inlineStr">
        <is>
          <t>VC Londres</t>
        </is>
      </c>
      <c r="D217" t="inlineStr">
        <is>
          <t>34</t>
        </is>
      </c>
      <c r="E217">
        <f>HYPERLINK("https://www.britishcycling.org.uk/points?person_id=498608&amp;year=2022&amp;type=national&amp;d=6","Results")</f>
        <v/>
      </c>
    </row>
    <row r="218">
      <c r="A218" t="inlineStr">
        <is>
          <t>217</t>
        </is>
      </c>
      <c r="B218" t="inlineStr">
        <is>
          <t>Isabel Mayes</t>
        </is>
      </c>
      <c r="C218" t="inlineStr">
        <is>
          <t>JRC-INTERFLON Race Team</t>
        </is>
      </c>
      <c r="D218" t="inlineStr">
        <is>
          <t>34</t>
        </is>
      </c>
      <c r="E218">
        <f>HYPERLINK("https://www.britishcycling.org.uk/points?person_id=541628&amp;year=2022&amp;type=national&amp;d=6","Results")</f>
        <v/>
      </c>
    </row>
    <row r="219">
      <c r="A219" t="inlineStr">
        <is>
          <t>218</t>
        </is>
      </c>
      <c r="B219" t="inlineStr">
        <is>
          <t>Josie Nelson</t>
        </is>
      </c>
      <c r="C219" t="inlineStr">
        <is>
          <t>Team Coop-Hitec Products</t>
        </is>
      </c>
      <c r="D219" t="inlineStr">
        <is>
          <t>34</t>
        </is>
      </c>
      <c r="E219">
        <f>HYPERLINK("https://www.britishcycling.org.uk/points?person_id=57038&amp;year=2022&amp;type=national&amp;d=6","Results")</f>
        <v/>
      </c>
    </row>
    <row r="220">
      <c r="A220" t="inlineStr">
        <is>
          <t>219</t>
        </is>
      </c>
      <c r="B220" t="inlineStr">
        <is>
          <t>E. Victoria Walker</t>
        </is>
      </c>
      <c r="C220" t="inlineStr"/>
      <c r="D220" t="inlineStr">
        <is>
          <t>34</t>
        </is>
      </c>
      <c r="E220">
        <f>HYPERLINK("https://www.britishcycling.org.uk/points?person_id=578615&amp;year=2022&amp;type=national&amp;d=6","Results")</f>
        <v/>
      </c>
    </row>
    <row r="221">
      <c r="A221" t="inlineStr">
        <is>
          <t>220</t>
        </is>
      </c>
      <c r="B221" t="inlineStr">
        <is>
          <t>Imogen Wolff</t>
        </is>
      </c>
      <c r="C221" t="inlineStr">
        <is>
          <t>Shibden Cycling Club</t>
        </is>
      </c>
      <c r="D221" t="inlineStr">
        <is>
          <t>34</t>
        </is>
      </c>
      <c r="E221">
        <f>HYPERLINK("https://www.britishcycling.org.uk/points?person_id=757738&amp;year=2022&amp;type=national&amp;d=6","Results")</f>
        <v/>
      </c>
    </row>
    <row r="222">
      <c r="A222" t="inlineStr">
        <is>
          <t>221</t>
        </is>
      </c>
      <c r="B222" t="inlineStr">
        <is>
          <t>Frances Bonikowski</t>
        </is>
      </c>
      <c r="C222" t="inlineStr">
        <is>
          <t>Penge Cycle Club</t>
        </is>
      </c>
      <c r="D222" t="inlineStr">
        <is>
          <t>33</t>
        </is>
      </c>
      <c r="E222">
        <f>HYPERLINK("https://www.britishcycling.org.uk/points?person_id=662169&amp;year=2022&amp;type=national&amp;d=6","Results")</f>
        <v/>
      </c>
    </row>
    <row r="223">
      <c r="A223" t="inlineStr">
        <is>
          <t>222</t>
        </is>
      </c>
      <c r="B223" t="inlineStr">
        <is>
          <t>Lynne Coldray</t>
        </is>
      </c>
      <c r="C223" t="inlineStr">
        <is>
          <t>Club Corley Cycles RC</t>
        </is>
      </c>
      <c r="D223" t="inlineStr">
        <is>
          <t>33</t>
        </is>
      </c>
      <c r="E223">
        <f>HYPERLINK("https://www.britishcycling.org.uk/points?person_id=602957&amp;year=2022&amp;type=national&amp;d=6","Results")</f>
        <v/>
      </c>
    </row>
    <row r="224">
      <c r="A224" t="inlineStr">
        <is>
          <t>223</t>
        </is>
      </c>
      <c r="B224" t="inlineStr">
        <is>
          <t>Rosie Day</t>
        </is>
      </c>
      <c r="C224" t="inlineStr">
        <is>
          <t>Brixton Cycles Club</t>
        </is>
      </c>
      <c r="D224" t="inlineStr">
        <is>
          <t>33</t>
        </is>
      </c>
      <c r="E224">
        <f>HYPERLINK("https://www.britishcycling.org.uk/points?person_id=952034&amp;year=2022&amp;type=national&amp;d=6","Results")</f>
        <v/>
      </c>
    </row>
    <row r="225">
      <c r="A225" t="inlineStr">
        <is>
          <t>224</t>
        </is>
      </c>
      <c r="B225" t="inlineStr">
        <is>
          <t>Ashia Reeder</t>
        </is>
      </c>
      <c r="C225" t="inlineStr">
        <is>
          <t>Orwell Velo</t>
        </is>
      </c>
      <c r="D225" t="inlineStr">
        <is>
          <t>33</t>
        </is>
      </c>
      <c r="E225">
        <f>HYPERLINK("https://www.britishcycling.org.uk/points?person_id=232697&amp;year=2022&amp;type=national&amp;d=6","Results")</f>
        <v/>
      </c>
    </row>
    <row r="226">
      <c r="A226" t="inlineStr">
        <is>
          <t>225</t>
        </is>
      </c>
      <c r="B226" t="inlineStr">
        <is>
          <t>Ruth Stapleton</t>
        </is>
      </c>
      <c r="C226" t="inlineStr">
        <is>
          <t>Harlow CC</t>
        </is>
      </c>
      <c r="D226" t="inlineStr">
        <is>
          <t>33</t>
        </is>
      </c>
      <c r="E226">
        <f>HYPERLINK("https://www.britishcycling.org.uk/points?person_id=253328&amp;year=2022&amp;type=national&amp;d=6","Results")</f>
        <v/>
      </c>
    </row>
    <row r="227">
      <c r="A227" t="inlineStr">
        <is>
          <t>226</t>
        </is>
      </c>
      <c r="B227" t="inlineStr">
        <is>
          <t>Imogen Cox</t>
        </is>
      </c>
      <c r="C227" t="inlineStr">
        <is>
          <t>Bicester Millennium CC</t>
        </is>
      </c>
      <c r="D227" t="inlineStr">
        <is>
          <t>32</t>
        </is>
      </c>
      <c r="E227">
        <f>HYPERLINK("https://www.britishcycling.org.uk/points?person_id=381051&amp;year=2022&amp;type=national&amp;d=6","Results")</f>
        <v/>
      </c>
    </row>
    <row r="228">
      <c r="A228" t="inlineStr">
        <is>
          <t>227</t>
        </is>
      </c>
      <c r="B228" t="inlineStr">
        <is>
          <t>Tricia Freeland</t>
        </is>
      </c>
      <c r="C228" t="inlineStr">
        <is>
          <t>CX Cartel</t>
        </is>
      </c>
      <c r="D228" t="inlineStr">
        <is>
          <t>32</t>
        </is>
      </c>
      <c r="E228">
        <f>HYPERLINK("https://www.britishcycling.org.uk/points?person_id=407744&amp;year=2022&amp;type=national&amp;d=6","Results")</f>
        <v/>
      </c>
    </row>
    <row r="229">
      <c r="A229" t="inlineStr">
        <is>
          <t>228</t>
        </is>
      </c>
      <c r="B229" t="inlineStr">
        <is>
          <t>Catherine Litherland</t>
        </is>
      </c>
      <c r="C229" t="inlineStr">
        <is>
          <t>Holmfirth Cycling Club</t>
        </is>
      </c>
      <c r="D229" t="inlineStr">
        <is>
          <t>32</t>
        </is>
      </c>
      <c r="E229">
        <f>HYPERLINK("https://www.britishcycling.org.uk/points?person_id=200360&amp;year=2022&amp;type=national&amp;d=6","Results")</f>
        <v/>
      </c>
    </row>
    <row r="230">
      <c r="A230" t="inlineStr">
        <is>
          <t>229</t>
        </is>
      </c>
      <c r="B230" t="inlineStr">
        <is>
          <t>Maggie McPhillips</t>
        </is>
      </c>
      <c r="C230" t="inlineStr">
        <is>
          <t>Stockport Clarion CC</t>
        </is>
      </c>
      <c r="D230" t="inlineStr">
        <is>
          <t>32</t>
        </is>
      </c>
      <c r="E230">
        <f>HYPERLINK("https://www.britishcycling.org.uk/points?person_id=543783&amp;year=2022&amp;type=national&amp;d=6","Results")</f>
        <v/>
      </c>
    </row>
    <row r="231">
      <c r="A231" t="inlineStr">
        <is>
          <t>230</t>
        </is>
      </c>
      <c r="B231" t="inlineStr">
        <is>
          <t>Lisa Stephenson</t>
        </is>
      </c>
      <c r="C231" t="inlineStr">
        <is>
          <t>Beaconsfield Cycling Club</t>
        </is>
      </c>
      <c r="D231" t="inlineStr">
        <is>
          <t>32</t>
        </is>
      </c>
      <c r="E231">
        <f>HYPERLINK("https://www.britishcycling.org.uk/points?person_id=591813&amp;year=2022&amp;type=national&amp;d=6","Results")</f>
        <v/>
      </c>
    </row>
    <row r="232">
      <c r="A232" t="inlineStr">
        <is>
          <t>231</t>
        </is>
      </c>
      <c r="B232" t="inlineStr">
        <is>
          <t>Vickie Wilkinson</t>
        </is>
      </c>
      <c r="C232" t="inlineStr">
        <is>
          <t>Cheltenham &amp; County Cycling Club</t>
        </is>
      </c>
      <c r="D232" t="inlineStr">
        <is>
          <t>32</t>
        </is>
      </c>
      <c r="E232">
        <f>HYPERLINK("https://www.britishcycling.org.uk/points?person_id=352359&amp;year=2022&amp;type=national&amp;d=6","Results")</f>
        <v/>
      </c>
    </row>
    <row r="233">
      <c r="A233" t="inlineStr">
        <is>
          <t>232</t>
        </is>
      </c>
      <c r="B233" t="inlineStr">
        <is>
          <t>Bethany Barnett</t>
        </is>
      </c>
      <c r="C233" t="inlineStr">
        <is>
          <t>AWOL- O'Shea</t>
        </is>
      </c>
      <c r="D233" t="inlineStr">
        <is>
          <t>30</t>
        </is>
      </c>
      <c r="E233">
        <f>HYPERLINK("https://www.britishcycling.org.uk/points?person_id=463514&amp;year=2022&amp;type=national&amp;d=6","Results")</f>
        <v/>
      </c>
    </row>
    <row r="234">
      <c r="A234" t="inlineStr">
        <is>
          <t>233</t>
        </is>
      </c>
      <c r="B234" t="inlineStr">
        <is>
          <t>Cindy Beynon</t>
        </is>
      </c>
      <c r="C234" t="inlineStr">
        <is>
          <t>ROTOR Race Team</t>
        </is>
      </c>
      <c r="D234" t="inlineStr">
        <is>
          <t>30</t>
        </is>
      </c>
      <c r="E234">
        <f>HYPERLINK("https://www.britishcycling.org.uk/points?person_id=487592&amp;year=2022&amp;type=national&amp;d=6","Results")</f>
        <v/>
      </c>
    </row>
    <row r="235">
      <c r="A235" t="inlineStr">
        <is>
          <t>234</t>
        </is>
      </c>
      <c r="B235" t="inlineStr">
        <is>
          <t>Katie Burgess</t>
        </is>
      </c>
      <c r="C235" t="inlineStr">
        <is>
          <t>Oscar Bravo</t>
        </is>
      </c>
      <c r="D235" t="inlineStr">
        <is>
          <t>30</t>
        </is>
      </c>
      <c r="E235">
        <f>HYPERLINK("https://www.britishcycling.org.uk/points?person_id=55991&amp;year=2022&amp;type=national&amp;d=6","Results")</f>
        <v/>
      </c>
    </row>
    <row r="236">
      <c r="A236" t="inlineStr">
        <is>
          <t>235</t>
        </is>
      </c>
      <c r="B236" t="inlineStr">
        <is>
          <t>Clare Hoskins</t>
        </is>
      </c>
      <c r="C236" t="inlineStr">
        <is>
          <t>Cardiff JIF</t>
        </is>
      </c>
      <c r="D236" t="inlineStr">
        <is>
          <t>30</t>
        </is>
      </c>
      <c r="E236">
        <f>HYPERLINK("https://www.britishcycling.org.uk/points?person_id=64594&amp;year=2022&amp;type=national&amp;d=6","Results")</f>
        <v/>
      </c>
    </row>
    <row r="237">
      <c r="A237" t="inlineStr">
        <is>
          <t>236</t>
        </is>
      </c>
      <c r="B237" t="inlineStr">
        <is>
          <t>Daisy Taylor</t>
        </is>
      </c>
      <c r="C237" t="inlineStr">
        <is>
          <t>Royal Albert CC</t>
        </is>
      </c>
      <c r="D237" t="inlineStr">
        <is>
          <t>30</t>
        </is>
      </c>
      <c r="E237">
        <f>HYPERLINK("https://www.britishcycling.org.uk/points?person_id=297674&amp;year=2022&amp;type=national&amp;d=6","Results")</f>
        <v/>
      </c>
    </row>
    <row r="238">
      <c r="A238" t="inlineStr">
        <is>
          <t>237</t>
        </is>
      </c>
      <c r="B238" t="inlineStr">
        <is>
          <t>Alexandra Hayden</t>
        </is>
      </c>
      <c r="C238" t="inlineStr">
        <is>
          <t>Vanelli-Project Go</t>
        </is>
      </c>
      <c r="D238" t="inlineStr">
        <is>
          <t>29</t>
        </is>
      </c>
      <c r="E238">
        <f>HYPERLINK("https://www.britishcycling.org.uk/points?person_id=975139&amp;year=2022&amp;type=national&amp;d=6","Results")</f>
        <v/>
      </c>
    </row>
    <row r="239">
      <c r="A239" t="inlineStr">
        <is>
          <t>238</t>
        </is>
      </c>
      <c r="B239" t="inlineStr">
        <is>
          <t>Jayati Hine</t>
        </is>
      </c>
      <c r="C239" t="inlineStr">
        <is>
          <t>University of Sheffield CC</t>
        </is>
      </c>
      <c r="D239" t="inlineStr">
        <is>
          <t>29</t>
        </is>
      </c>
      <c r="E239">
        <f>HYPERLINK("https://www.britishcycling.org.uk/points?person_id=188871&amp;year=2022&amp;type=national&amp;d=6","Results")</f>
        <v/>
      </c>
    </row>
    <row r="240">
      <c r="A240" t="inlineStr">
        <is>
          <t>239</t>
        </is>
      </c>
      <c r="B240" t="inlineStr">
        <is>
          <t>Florence Whiteley</t>
        </is>
      </c>
      <c r="C240" t="inlineStr">
        <is>
          <t>Huddersfield Star Wheelers</t>
        </is>
      </c>
      <c r="D240" t="inlineStr">
        <is>
          <t>29</t>
        </is>
      </c>
      <c r="E240">
        <f>HYPERLINK("https://www.britishcycling.org.uk/points?person_id=263990&amp;year=2022&amp;type=national&amp;d=6","Results")</f>
        <v/>
      </c>
    </row>
    <row r="241">
      <c r="A241" t="inlineStr">
        <is>
          <t>240</t>
        </is>
      </c>
      <c r="B241" t="inlineStr">
        <is>
          <t>Emily Ashwood</t>
        </is>
      </c>
      <c r="C241" t="inlineStr">
        <is>
          <t>WXC World Racing</t>
        </is>
      </c>
      <c r="D241" t="inlineStr">
        <is>
          <t>28</t>
        </is>
      </c>
      <c r="E241">
        <f>HYPERLINK("https://www.britishcycling.org.uk/points?person_id=116772&amp;year=2022&amp;type=national&amp;d=6","Results")</f>
        <v/>
      </c>
    </row>
    <row r="242">
      <c r="A242" t="inlineStr">
        <is>
          <t>241</t>
        </is>
      </c>
      <c r="B242" t="inlineStr">
        <is>
          <t>Julia Behnsen</t>
        </is>
      </c>
      <c r="C242" t="inlineStr">
        <is>
          <t>Port Sunlight Wheelers</t>
        </is>
      </c>
      <c r="D242" t="inlineStr">
        <is>
          <t>28</t>
        </is>
      </c>
      <c r="E242">
        <f>HYPERLINK("https://www.britishcycling.org.uk/points?person_id=527263&amp;year=2022&amp;type=national&amp;d=6","Results")</f>
        <v/>
      </c>
    </row>
    <row r="243">
      <c r="A243" t="inlineStr">
        <is>
          <t>242</t>
        </is>
      </c>
      <c r="B243" t="inlineStr">
        <is>
          <t>Emma Bexson</t>
        </is>
      </c>
      <c r="C243" t="inlineStr">
        <is>
          <t>Stratford CC</t>
        </is>
      </c>
      <c r="D243" t="inlineStr">
        <is>
          <t>28</t>
        </is>
      </c>
      <c r="E243">
        <f>HYPERLINK("https://www.britishcycling.org.uk/points?person_id=189726&amp;year=2022&amp;type=national&amp;d=6","Results")</f>
        <v/>
      </c>
    </row>
    <row r="244">
      <c r="A244" t="inlineStr">
        <is>
          <t>243</t>
        </is>
      </c>
      <c r="B244" t="inlineStr">
        <is>
          <t>Beth Harley-Jepson</t>
        </is>
      </c>
      <c r="C244" t="inlineStr">
        <is>
          <t>Jadan - Vive le Velo</t>
        </is>
      </c>
      <c r="D244" t="inlineStr">
        <is>
          <t>28</t>
        </is>
      </c>
      <c r="E244">
        <f>HYPERLINK("https://www.britishcycling.org.uk/points?person_id=809867&amp;year=2022&amp;type=national&amp;d=6","Results")</f>
        <v/>
      </c>
    </row>
    <row r="245">
      <c r="A245" t="inlineStr">
        <is>
          <t>244</t>
        </is>
      </c>
      <c r="B245" t="inlineStr">
        <is>
          <t>Karen McGrath</t>
        </is>
      </c>
      <c r="C245" t="inlineStr">
        <is>
          <t>Worthing Excelsior CC</t>
        </is>
      </c>
      <c r="D245" t="inlineStr">
        <is>
          <t>28</t>
        </is>
      </c>
      <c r="E245">
        <f>HYPERLINK("https://www.britishcycling.org.uk/points?person_id=228737&amp;year=2022&amp;type=national&amp;d=6","Results")</f>
        <v/>
      </c>
    </row>
    <row r="246">
      <c r="A246" t="inlineStr">
        <is>
          <t>245</t>
        </is>
      </c>
      <c r="B246" t="inlineStr">
        <is>
          <t>Floella Phillips</t>
        </is>
      </c>
      <c r="C246" t="inlineStr">
        <is>
          <t>Clifton CC</t>
        </is>
      </c>
      <c r="D246" t="inlineStr">
        <is>
          <t>28</t>
        </is>
      </c>
      <c r="E246">
        <f>HYPERLINK("https://www.britishcycling.org.uk/points?person_id=883399&amp;year=2022&amp;type=national&amp;d=6","Results")</f>
        <v/>
      </c>
    </row>
    <row r="247">
      <c r="A247" t="inlineStr">
        <is>
          <t>246</t>
        </is>
      </c>
      <c r="B247" t="inlineStr">
        <is>
          <t>Jessica Rhodes-Jones</t>
        </is>
      </c>
      <c r="C247" t="inlineStr">
        <is>
          <t>AeroCoach</t>
        </is>
      </c>
      <c r="D247" t="inlineStr">
        <is>
          <t>28</t>
        </is>
      </c>
      <c r="E247">
        <f>HYPERLINK("https://www.britishcycling.org.uk/points?person_id=307577&amp;year=2022&amp;type=national&amp;d=6","Results")</f>
        <v/>
      </c>
    </row>
    <row r="248">
      <c r="A248" t="inlineStr">
        <is>
          <t>247</t>
        </is>
      </c>
      <c r="B248" t="inlineStr">
        <is>
          <t>Kate Robinson</t>
        </is>
      </c>
      <c r="C248" t="inlineStr">
        <is>
          <t>Velobants.cc</t>
        </is>
      </c>
      <c r="D248" t="inlineStr">
        <is>
          <t>28</t>
        </is>
      </c>
      <c r="E248">
        <f>HYPERLINK("https://www.britishcycling.org.uk/points?person_id=339738&amp;year=2022&amp;type=national&amp;d=6","Results")</f>
        <v/>
      </c>
    </row>
    <row r="249">
      <c r="A249" t="inlineStr">
        <is>
          <t>248</t>
        </is>
      </c>
      <c r="B249" t="inlineStr">
        <is>
          <t>Alexandra Sheehan</t>
        </is>
      </c>
      <c r="C249" t="inlineStr">
        <is>
          <t>TEKKERZ CC</t>
        </is>
      </c>
      <c r="D249" t="inlineStr">
        <is>
          <t>28</t>
        </is>
      </c>
      <c r="E249">
        <f>HYPERLINK("https://www.britishcycling.org.uk/points?person_id=101822&amp;year=2022&amp;type=national&amp;d=6","Results")</f>
        <v/>
      </c>
    </row>
    <row r="250">
      <c r="A250" t="inlineStr">
        <is>
          <t>249</t>
        </is>
      </c>
      <c r="B250" t="inlineStr">
        <is>
          <t>Evie Bellingall</t>
        </is>
      </c>
      <c r="C250" t="inlineStr">
        <is>
          <t>Matlock CC</t>
        </is>
      </c>
      <c r="D250" t="inlineStr">
        <is>
          <t>27</t>
        </is>
      </c>
      <c r="E250">
        <f>HYPERLINK("https://www.britishcycling.org.uk/points?person_id=854538&amp;year=2022&amp;type=national&amp;d=6","Results")</f>
        <v/>
      </c>
    </row>
    <row r="251">
      <c r="A251" t="inlineStr">
        <is>
          <t>250</t>
        </is>
      </c>
      <c r="B251" t="inlineStr">
        <is>
          <t>Holly Bradbrook</t>
        </is>
      </c>
      <c r="C251" t="inlineStr">
        <is>
          <t>Marsh Tracks Racing - Trek</t>
        </is>
      </c>
      <c r="D251" t="inlineStr">
        <is>
          <t>27</t>
        </is>
      </c>
      <c r="E251">
        <f>HYPERLINK("https://www.britishcycling.org.uk/points?person_id=447920&amp;year=2022&amp;type=national&amp;d=6","Results")</f>
        <v/>
      </c>
    </row>
    <row r="252">
      <c r="A252" t="inlineStr">
        <is>
          <t>251</t>
        </is>
      </c>
      <c r="B252" t="inlineStr">
        <is>
          <t>Isla Glossop</t>
        </is>
      </c>
      <c r="C252" t="inlineStr">
        <is>
          <t>Bolton Hot Wheels CC</t>
        </is>
      </c>
      <c r="D252" t="inlineStr">
        <is>
          <t>27</t>
        </is>
      </c>
      <c r="E252">
        <f>HYPERLINK("https://www.britishcycling.org.uk/points?person_id=411793&amp;year=2022&amp;type=national&amp;d=6","Results")</f>
        <v/>
      </c>
    </row>
    <row r="253">
      <c r="A253" t="inlineStr">
        <is>
          <t>252</t>
        </is>
      </c>
      <c r="B253" t="inlineStr">
        <is>
          <t>Greta Carey</t>
        </is>
      </c>
      <c r="C253" t="inlineStr">
        <is>
          <t>Pedalon.co.uk</t>
        </is>
      </c>
      <c r="D253" t="inlineStr">
        <is>
          <t>26</t>
        </is>
      </c>
      <c r="E253">
        <f>HYPERLINK("https://www.britishcycling.org.uk/points?person_id=173176&amp;year=2022&amp;type=national&amp;d=6","Results")</f>
        <v/>
      </c>
    </row>
    <row r="254">
      <c r="A254" t="inlineStr">
        <is>
          <t>253</t>
        </is>
      </c>
      <c r="B254" t="inlineStr">
        <is>
          <t>Monica Greenwood</t>
        </is>
      </c>
      <c r="C254" t="inlineStr">
        <is>
          <t>Team Boompods</t>
        </is>
      </c>
      <c r="D254" t="inlineStr">
        <is>
          <t>26</t>
        </is>
      </c>
      <c r="E254">
        <f>HYPERLINK("https://www.britishcycling.org.uk/points?person_id=67517&amp;year=2022&amp;type=national&amp;d=6","Results")</f>
        <v/>
      </c>
    </row>
    <row r="255">
      <c r="A255" t="inlineStr">
        <is>
          <t>254</t>
        </is>
      </c>
      <c r="B255" t="inlineStr">
        <is>
          <t>Elizabeth Hughes</t>
        </is>
      </c>
      <c r="C255" t="inlineStr">
        <is>
          <t>Team Watto-LDN</t>
        </is>
      </c>
      <c r="D255" t="inlineStr">
        <is>
          <t>25</t>
        </is>
      </c>
      <c r="E255">
        <f>HYPERLINK("https://www.britishcycling.org.uk/points?person_id=409283&amp;year=2022&amp;type=national&amp;d=6","Results")</f>
        <v/>
      </c>
    </row>
    <row r="256">
      <c r="A256" t="inlineStr">
        <is>
          <t>255</t>
        </is>
      </c>
      <c r="B256" t="inlineStr">
        <is>
          <t>Kari Eilertsen</t>
        </is>
      </c>
      <c r="C256" t="inlineStr">
        <is>
          <t>Alltrax Cycling Club</t>
        </is>
      </c>
      <c r="D256" t="inlineStr">
        <is>
          <t>24</t>
        </is>
      </c>
      <c r="E256">
        <f>HYPERLINK("https://www.britishcycling.org.uk/points?person_id=607682&amp;year=2022&amp;type=national&amp;d=6","Results")</f>
        <v/>
      </c>
    </row>
    <row r="257">
      <c r="A257" t="inlineStr">
        <is>
          <t>256</t>
        </is>
      </c>
      <c r="B257" t="inlineStr">
        <is>
          <t>Lydia Gould</t>
        </is>
      </c>
      <c r="C257" t="inlineStr">
        <is>
          <t>Velo Club Venta</t>
        </is>
      </c>
      <c r="D257" t="inlineStr">
        <is>
          <t>24</t>
        </is>
      </c>
      <c r="E257">
        <f>HYPERLINK("https://www.britishcycling.org.uk/points?person_id=25383&amp;year=2022&amp;type=national&amp;d=6","Results")</f>
        <v/>
      </c>
    </row>
    <row r="258">
      <c r="A258" t="inlineStr">
        <is>
          <t>257</t>
        </is>
      </c>
      <c r="B258" t="inlineStr">
        <is>
          <t>Hilary Ireland</t>
        </is>
      </c>
      <c r="C258" t="inlineStr"/>
      <c r="D258" t="inlineStr">
        <is>
          <t>24</t>
        </is>
      </c>
      <c r="E258">
        <f>HYPERLINK("https://www.britishcycling.org.uk/points?person_id=567844&amp;year=2022&amp;type=national&amp;d=6","Results")</f>
        <v/>
      </c>
    </row>
    <row r="259">
      <c r="A259" t="inlineStr">
        <is>
          <t>258</t>
        </is>
      </c>
      <c r="B259" t="inlineStr">
        <is>
          <t>Amy Kolbert</t>
        </is>
      </c>
      <c r="C259" t="inlineStr">
        <is>
          <t>Witham Wheelers Cycling Club</t>
        </is>
      </c>
      <c r="D259" t="inlineStr">
        <is>
          <t>24</t>
        </is>
      </c>
      <c r="E259">
        <f>HYPERLINK("https://www.britishcycling.org.uk/points?person_id=521460&amp;year=2022&amp;type=national&amp;d=6","Results")</f>
        <v/>
      </c>
    </row>
    <row r="260">
      <c r="A260" t="inlineStr">
        <is>
          <t>259</t>
        </is>
      </c>
      <c r="B260" t="inlineStr">
        <is>
          <t>Amy Henchoz</t>
        </is>
      </c>
      <c r="C260" t="inlineStr"/>
      <c r="D260" t="inlineStr">
        <is>
          <t>23</t>
        </is>
      </c>
      <c r="E260">
        <f>HYPERLINK("https://www.britishcycling.org.uk/points?person_id=1012336&amp;year=2022&amp;type=national&amp;d=6","Results")</f>
        <v/>
      </c>
    </row>
    <row r="261">
      <c r="A261" t="inlineStr">
        <is>
          <t>260</t>
        </is>
      </c>
      <c r="B261" t="inlineStr">
        <is>
          <t>Liz Rylott</t>
        </is>
      </c>
      <c r="C261" t="inlineStr">
        <is>
          <t>York Cycleworks</t>
        </is>
      </c>
      <c r="D261" t="inlineStr">
        <is>
          <t>23</t>
        </is>
      </c>
      <c r="E261">
        <f>HYPERLINK("https://www.britishcycling.org.uk/points?person_id=237085&amp;year=2022&amp;type=national&amp;d=6","Results")</f>
        <v/>
      </c>
    </row>
    <row r="262">
      <c r="A262" t="inlineStr">
        <is>
          <t>261</t>
        </is>
      </c>
      <c r="B262" t="inlineStr">
        <is>
          <t>Clare Spencer</t>
        </is>
      </c>
      <c r="C262" t="inlineStr"/>
      <c r="D262" t="inlineStr">
        <is>
          <t>23</t>
        </is>
      </c>
      <c r="E262">
        <f>HYPERLINK("https://www.britishcycling.org.uk/points?person_id=307685&amp;year=2022&amp;type=national&amp;d=6","Results")</f>
        <v/>
      </c>
    </row>
    <row r="263">
      <c r="A263" t="inlineStr">
        <is>
          <t>262</t>
        </is>
      </c>
      <c r="B263" t="inlineStr">
        <is>
          <t>Lillie Swan</t>
        </is>
      </c>
      <c r="C263" t="inlineStr">
        <is>
          <t>Veloccino Squadra Donne</t>
        </is>
      </c>
      <c r="D263" t="inlineStr">
        <is>
          <t>23</t>
        </is>
      </c>
      <c r="E263">
        <f>HYPERLINK("https://www.britishcycling.org.uk/points?person_id=534833&amp;year=2022&amp;type=national&amp;d=6","Results")</f>
        <v/>
      </c>
    </row>
    <row r="264">
      <c r="A264" t="inlineStr">
        <is>
          <t>263</t>
        </is>
      </c>
      <c r="B264" t="inlineStr">
        <is>
          <t>Suzanne Warren</t>
        </is>
      </c>
      <c r="C264" t="inlineStr">
        <is>
          <t>Cardiff Ajax CC</t>
        </is>
      </c>
      <c r="D264" t="inlineStr">
        <is>
          <t>22</t>
        </is>
      </c>
      <c r="E264">
        <f>HYPERLINK("https://www.britishcycling.org.uk/points?person_id=105889&amp;year=2022&amp;type=national&amp;d=6","Results")</f>
        <v/>
      </c>
    </row>
    <row r="265">
      <c r="A265" t="inlineStr">
        <is>
          <t>264</t>
        </is>
      </c>
      <c r="B265" t="inlineStr">
        <is>
          <t>Daisy Barnes</t>
        </is>
      </c>
      <c r="C265" t="inlineStr">
        <is>
          <t>Brother UK-Orientation Marketing</t>
        </is>
      </c>
      <c r="D265" t="inlineStr">
        <is>
          <t>21</t>
        </is>
      </c>
      <c r="E265">
        <f>HYPERLINK("https://www.britishcycling.org.uk/points?person_id=689678&amp;year=2022&amp;type=national&amp;d=6","Results")</f>
        <v/>
      </c>
    </row>
    <row r="266">
      <c r="A266" t="inlineStr">
        <is>
          <t>265</t>
        </is>
      </c>
      <c r="B266" t="inlineStr">
        <is>
          <t>Nicola Davies</t>
        </is>
      </c>
      <c r="C266" t="inlineStr">
        <is>
          <t>www.cyclocrossrider.com</t>
        </is>
      </c>
      <c r="D266" t="inlineStr">
        <is>
          <t>21</t>
        </is>
      </c>
      <c r="E266">
        <f>HYPERLINK("https://www.britishcycling.org.uk/points?person_id=23143&amp;year=2022&amp;type=national&amp;d=6","Results")</f>
        <v/>
      </c>
    </row>
    <row r="267">
      <c r="A267" t="inlineStr">
        <is>
          <t>266</t>
        </is>
      </c>
      <c r="B267" t="inlineStr">
        <is>
          <t>Celia Brown</t>
        </is>
      </c>
      <c r="C267" t="inlineStr">
        <is>
          <t>Beacon Roads CC</t>
        </is>
      </c>
      <c r="D267" t="inlineStr">
        <is>
          <t>20</t>
        </is>
      </c>
      <c r="E267">
        <f>HYPERLINK("https://www.britishcycling.org.uk/points?person_id=35533&amp;year=2022&amp;type=national&amp;d=6","Results")</f>
        <v/>
      </c>
    </row>
    <row r="268">
      <c r="A268" t="inlineStr">
        <is>
          <t>267</t>
        </is>
      </c>
      <c r="B268" t="inlineStr">
        <is>
          <t>Clare Dallimore</t>
        </is>
      </c>
      <c r="C268" t="inlineStr">
        <is>
          <t>Cardiff Ajax CC</t>
        </is>
      </c>
      <c r="D268" t="inlineStr">
        <is>
          <t>20</t>
        </is>
      </c>
      <c r="E268">
        <f>HYPERLINK("https://www.britishcycling.org.uk/points?person_id=315252&amp;year=2022&amp;type=national&amp;d=6","Results")</f>
        <v/>
      </c>
    </row>
    <row r="269">
      <c r="A269" t="inlineStr">
        <is>
          <t>268</t>
        </is>
      </c>
      <c r="B269" t="inlineStr">
        <is>
          <t>Sian Dillon</t>
        </is>
      </c>
      <c r="C269" t="inlineStr"/>
      <c r="D269" t="inlineStr">
        <is>
          <t>20</t>
        </is>
      </c>
      <c r="E269">
        <f>HYPERLINK("https://www.britishcycling.org.uk/points?person_id=1022572&amp;year=2022&amp;type=national&amp;d=6","Results")</f>
        <v/>
      </c>
    </row>
    <row r="270">
      <c r="A270" t="inlineStr">
        <is>
          <t>269</t>
        </is>
      </c>
      <c r="B270" t="inlineStr">
        <is>
          <t>Leah Dixon</t>
        </is>
      </c>
      <c r="C270" t="inlineStr">
        <is>
          <t>BIANCHI HUNT MORVELO</t>
        </is>
      </c>
      <c r="D270" t="inlineStr">
        <is>
          <t>20</t>
        </is>
      </c>
      <c r="E270">
        <f>HYPERLINK("https://www.britishcycling.org.uk/points?person_id=614452&amp;year=2022&amp;type=national&amp;d=6","Results")</f>
        <v/>
      </c>
    </row>
    <row r="271">
      <c r="A271" t="inlineStr">
        <is>
          <t>270</t>
        </is>
      </c>
      <c r="B271" t="inlineStr">
        <is>
          <t>Freya Eccleston</t>
        </is>
      </c>
      <c r="C271" t="inlineStr">
        <is>
          <t>Brother UK-Orientation Marketing</t>
        </is>
      </c>
      <c r="D271" t="inlineStr">
        <is>
          <t>20</t>
        </is>
      </c>
      <c r="E271">
        <f>HYPERLINK("https://www.britishcycling.org.uk/points?person_id=619987&amp;year=2022&amp;type=national&amp;d=6","Results")</f>
        <v/>
      </c>
    </row>
    <row r="272">
      <c r="A272" t="inlineStr">
        <is>
          <t>271</t>
        </is>
      </c>
      <c r="B272" t="inlineStr">
        <is>
          <t>Tracy Henderson</t>
        </is>
      </c>
      <c r="C272" t="inlineStr"/>
      <c r="D272" t="inlineStr">
        <is>
          <t>20</t>
        </is>
      </c>
      <c r="E272">
        <f>HYPERLINK("https://www.britishcycling.org.uk/points?person_id=646606&amp;year=2022&amp;type=national&amp;d=6","Results")</f>
        <v/>
      </c>
    </row>
    <row r="273">
      <c r="A273" t="inlineStr">
        <is>
          <t>272</t>
        </is>
      </c>
      <c r="B273" t="inlineStr">
        <is>
          <t>Sharn Hooper</t>
        </is>
      </c>
      <c r="C273" t="inlineStr">
        <is>
          <t>WXC World Racing</t>
        </is>
      </c>
      <c r="D273" t="inlineStr">
        <is>
          <t>20</t>
        </is>
      </c>
      <c r="E273">
        <f>HYPERLINK("https://www.britishcycling.org.uk/points?person_id=318484&amp;year=2022&amp;type=national&amp;d=6","Results")</f>
        <v/>
      </c>
    </row>
    <row r="274">
      <c r="A274" t="inlineStr">
        <is>
          <t>273</t>
        </is>
      </c>
      <c r="B274" t="inlineStr">
        <is>
          <t>Mari Porton</t>
        </is>
      </c>
      <c r="C274" t="inlineStr">
        <is>
          <t>Halesowen A &amp; CC</t>
        </is>
      </c>
      <c r="D274" t="inlineStr">
        <is>
          <t>20</t>
        </is>
      </c>
      <c r="E274">
        <f>HYPERLINK("https://www.britishcycling.org.uk/points?person_id=177314&amp;year=2022&amp;type=national&amp;d=6","Results")</f>
        <v/>
      </c>
    </row>
    <row r="275">
      <c r="A275" t="inlineStr">
        <is>
          <t>274</t>
        </is>
      </c>
      <c r="B275" t="inlineStr">
        <is>
          <t>Ella Roper</t>
        </is>
      </c>
      <c r="C275" t="inlineStr">
        <is>
          <t>Abingdon Race Team</t>
        </is>
      </c>
      <c r="D275" t="inlineStr">
        <is>
          <t>20</t>
        </is>
      </c>
      <c r="E275">
        <f>HYPERLINK("https://www.britishcycling.org.uk/points?person_id=644291&amp;year=2022&amp;type=national&amp;d=6","Results")</f>
        <v/>
      </c>
    </row>
    <row r="276">
      <c r="A276" t="inlineStr">
        <is>
          <t>275</t>
        </is>
      </c>
      <c r="B276" t="inlineStr">
        <is>
          <t>Jules Toone</t>
        </is>
      </c>
      <c r="C276" t="inlineStr"/>
      <c r="D276" t="inlineStr">
        <is>
          <t>20</t>
        </is>
      </c>
      <c r="E276">
        <f>HYPERLINK("https://www.britishcycling.org.uk/points?person_id=22805&amp;year=2022&amp;type=national&amp;d=6","Results")</f>
        <v/>
      </c>
    </row>
    <row r="277">
      <c r="A277" t="inlineStr">
        <is>
          <t>276</t>
        </is>
      </c>
      <c r="B277" t="inlineStr">
        <is>
          <t>Helen Webb</t>
        </is>
      </c>
      <c r="C277" t="inlineStr">
        <is>
          <t>Pine Sport</t>
        </is>
      </c>
      <c r="D277" t="inlineStr">
        <is>
          <t>20</t>
        </is>
      </c>
      <c r="E277">
        <f>HYPERLINK("https://www.britishcycling.org.uk/points?person_id=556296&amp;year=2022&amp;type=national&amp;d=6","Results")</f>
        <v/>
      </c>
    </row>
    <row r="278">
      <c r="A278" t="inlineStr">
        <is>
          <t>277</t>
        </is>
      </c>
      <c r="B278" t="inlineStr">
        <is>
          <t>Alison Ford</t>
        </is>
      </c>
      <c r="C278" t="inlineStr">
        <is>
          <t>GS Vecchi</t>
        </is>
      </c>
      <c r="D278" t="inlineStr">
        <is>
          <t>19</t>
        </is>
      </c>
      <c r="E278">
        <f>HYPERLINK("https://www.britishcycling.org.uk/points?person_id=47037&amp;year=2022&amp;type=national&amp;d=6","Results")</f>
        <v/>
      </c>
    </row>
    <row r="279">
      <c r="A279" t="inlineStr">
        <is>
          <t>278</t>
        </is>
      </c>
      <c r="B279" t="inlineStr">
        <is>
          <t>Louise Crossman</t>
        </is>
      </c>
      <c r="C279" t="inlineStr">
        <is>
          <t>Minehead Cycling Club</t>
        </is>
      </c>
      <c r="D279" t="inlineStr">
        <is>
          <t>18</t>
        </is>
      </c>
      <c r="E279">
        <f>HYPERLINK("https://www.britishcycling.org.uk/points?person_id=425849&amp;year=2022&amp;type=national&amp;d=6","Results")</f>
        <v/>
      </c>
    </row>
    <row r="280">
      <c r="A280" t="inlineStr">
        <is>
          <t>279</t>
        </is>
      </c>
      <c r="B280" t="inlineStr">
        <is>
          <t>Elena McGorum</t>
        </is>
      </c>
      <c r="C280" t="inlineStr">
        <is>
          <t>Peebles CC</t>
        </is>
      </c>
      <c r="D280" t="inlineStr">
        <is>
          <t>18</t>
        </is>
      </c>
      <c r="E280">
        <f>HYPERLINK("https://www.britishcycling.org.uk/points?person_id=134753&amp;year=2022&amp;type=national&amp;d=6","Results")</f>
        <v/>
      </c>
    </row>
    <row r="281">
      <c r="A281" t="inlineStr">
        <is>
          <t>280</t>
        </is>
      </c>
      <c r="B281" t="inlineStr">
        <is>
          <t>Claire Sharp</t>
        </is>
      </c>
      <c r="C281" t="inlineStr">
        <is>
          <t>Verulam CC</t>
        </is>
      </c>
      <c r="D281" t="inlineStr">
        <is>
          <t>18</t>
        </is>
      </c>
      <c r="E281">
        <f>HYPERLINK("https://www.britishcycling.org.uk/points?person_id=304742&amp;year=2022&amp;type=national&amp;d=6","Results")</f>
        <v/>
      </c>
    </row>
    <row r="282">
      <c r="A282" t="inlineStr">
        <is>
          <t>281</t>
        </is>
      </c>
      <c r="B282" t="inlineStr">
        <is>
          <t>Rachael Connall</t>
        </is>
      </c>
      <c r="C282" t="inlineStr">
        <is>
          <t>Velobants.cc</t>
        </is>
      </c>
      <c r="D282" t="inlineStr">
        <is>
          <t>17</t>
        </is>
      </c>
      <c r="E282">
        <f>HYPERLINK("https://www.britishcycling.org.uk/points?person_id=737066&amp;year=2022&amp;type=national&amp;d=6","Results")</f>
        <v/>
      </c>
    </row>
    <row r="283">
      <c r="A283" t="inlineStr">
        <is>
          <t>282</t>
        </is>
      </c>
      <c r="B283" t="inlineStr">
        <is>
          <t>Honor Elliott</t>
        </is>
      </c>
      <c r="C283" t="inlineStr">
        <is>
          <t>TEKKERZ CC</t>
        </is>
      </c>
      <c r="D283" t="inlineStr">
        <is>
          <t>17</t>
        </is>
      </c>
      <c r="E283">
        <f>HYPERLINK("https://www.britishcycling.org.uk/points?person_id=617730&amp;year=2022&amp;type=national&amp;d=6","Results")</f>
        <v/>
      </c>
    </row>
    <row r="284">
      <c r="A284" t="inlineStr">
        <is>
          <t>283</t>
        </is>
      </c>
      <c r="B284" t="inlineStr">
        <is>
          <t>Lola Ellis</t>
        </is>
      </c>
      <c r="C284" t="inlineStr">
        <is>
          <t>Jadan - Vive le Velo</t>
        </is>
      </c>
      <c r="D284" t="inlineStr">
        <is>
          <t>17</t>
        </is>
      </c>
      <c r="E284">
        <f>HYPERLINK("https://www.britishcycling.org.uk/points?person_id=539187&amp;year=2022&amp;type=national&amp;d=6","Results")</f>
        <v/>
      </c>
    </row>
    <row r="285">
      <c r="A285" t="inlineStr">
        <is>
          <t>284</t>
        </is>
      </c>
      <c r="B285" t="inlineStr">
        <is>
          <t>Charlotte Fox</t>
        </is>
      </c>
      <c r="C285" t="inlineStr">
        <is>
          <t>RFDA</t>
        </is>
      </c>
      <c r="D285" t="inlineStr">
        <is>
          <t>17</t>
        </is>
      </c>
      <c r="E285">
        <f>HYPERLINK("https://www.britishcycling.org.uk/points?person_id=430080&amp;year=2022&amp;type=national&amp;d=6","Results")</f>
        <v/>
      </c>
    </row>
    <row r="286">
      <c r="A286" t="inlineStr">
        <is>
          <t>285</t>
        </is>
      </c>
      <c r="B286" t="inlineStr">
        <is>
          <t>Lucia Bruton</t>
        </is>
      </c>
      <c r="C286" t="inlineStr">
        <is>
          <t>Nova Race Team</t>
        </is>
      </c>
      <c r="D286" t="inlineStr">
        <is>
          <t>16</t>
        </is>
      </c>
      <c r="E286">
        <f>HYPERLINK("https://www.britishcycling.org.uk/points?person_id=308069&amp;year=2022&amp;type=national&amp;d=6","Results")</f>
        <v/>
      </c>
    </row>
    <row r="287">
      <c r="A287" t="inlineStr">
        <is>
          <t>286</t>
        </is>
      </c>
      <c r="B287" t="inlineStr">
        <is>
          <t>Emily Conn</t>
        </is>
      </c>
      <c r="C287" t="inlineStr">
        <is>
          <t>University of Exeter Cycling Club</t>
        </is>
      </c>
      <c r="D287" t="inlineStr">
        <is>
          <t>16</t>
        </is>
      </c>
      <c r="E287">
        <f>HYPERLINK("https://www.britishcycling.org.uk/points?person_id=64818&amp;year=2022&amp;type=national&amp;d=6","Results")</f>
        <v/>
      </c>
    </row>
    <row r="288">
      <c r="A288" t="inlineStr">
        <is>
          <t>287</t>
        </is>
      </c>
      <c r="B288" t="inlineStr">
        <is>
          <t>Rachel Connerney</t>
        </is>
      </c>
      <c r="C288" t="inlineStr">
        <is>
          <t>Klatsch.</t>
        </is>
      </c>
      <c r="D288" t="inlineStr">
        <is>
          <t>16</t>
        </is>
      </c>
      <c r="E288">
        <f>HYPERLINK("https://www.britishcycling.org.uk/points?person_id=390259&amp;year=2022&amp;type=national&amp;d=6","Results")</f>
        <v/>
      </c>
    </row>
    <row r="289">
      <c r="A289" t="inlineStr">
        <is>
          <t>288</t>
        </is>
      </c>
      <c r="B289" t="inlineStr">
        <is>
          <t>Nicola Kent</t>
        </is>
      </c>
      <c r="C289" t="inlineStr">
        <is>
          <t>Whitby Wheelers CC</t>
        </is>
      </c>
      <c r="D289" t="inlineStr">
        <is>
          <t>16</t>
        </is>
      </c>
      <c r="E289">
        <f>HYPERLINK("https://www.britishcycling.org.uk/points?person_id=487749&amp;year=2022&amp;type=national&amp;d=6","Results")</f>
        <v/>
      </c>
    </row>
    <row r="290">
      <c r="A290" t="inlineStr">
        <is>
          <t>289</t>
        </is>
      </c>
      <c r="B290" t="inlineStr">
        <is>
          <t>Amy McQueen</t>
        </is>
      </c>
      <c r="C290" t="inlineStr">
        <is>
          <t>Ronde Cycling Club</t>
        </is>
      </c>
      <c r="D290" t="inlineStr">
        <is>
          <t>16</t>
        </is>
      </c>
      <c r="E290">
        <f>HYPERLINK("https://www.britishcycling.org.uk/points?person_id=818330&amp;year=2022&amp;type=national&amp;d=6","Results")</f>
        <v/>
      </c>
    </row>
    <row r="291">
      <c r="A291" t="inlineStr">
        <is>
          <t>290</t>
        </is>
      </c>
      <c r="B291" t="inlineStr">
        <is>
          <t>Chloe Parrington</t>
        </is>
      </c>
      <c r="C291" t="inlineStr">
        <is>
          <t>UF Rowe &amp; King</t>
        </is>
      </c>
      <c r="D291" t="inlineStr">
        <is>
          <t>16</t>
        </is>
      </c>
      <c r="E291">
        <f>HYPERLINK("https://www.britishcycling.org.uk/points?person_id=43777&amp;year=2022&amp;type=national&amp;d=6","Results")</f>
        <v/>
      </c>
    </row>
    <row r="292">
      <c r="A292" t="inlineStr">
        <is>
          <t>291</t>
        </is>
      </c>
      <c r="B292" t="inlineStr">
        <is>
          <t>Stevie Potter</t>
        </is>
      </c>
      <c r="C292" t="inlineStr"/>
      <c r="D292" t="inlineStr">
        <is>
          <t>16</t>
        </is>
      </c>
      <c r="E292">
        <f>HYPERLINK("https://www.britishcycling.org.uk/points?person_id=1035948&amp;year=2022&amp;type=national&amp;d=6","Results")</f>
        <v/>
      </c>
    </row>
    <row r="293">
      <c r="A293" t="inlineStr">
        <is>
          <t>292</t>
        </is>
      </c>
      <c r="B293" t="inlineStr">
        <is>
          <t>Sian Tovey</t>
        </is>
      </c>
      <c r="C293" t="inlineStr"/>
      <c r="D293" t="inlineStr">
        <is>
          <t>16</t>
        </is>
      </c>
      <c r="E293">
        <f>HYPERLINK("https://www.britishcycling.org.uk/points?person_id=71413&amp;year=2022&amp;type=national&amp;d=6","Results")</f>
        <v/>
      </c>
    </row>
    <row r="294">
      <c r="A294" t="inlineStr">
        <is>
          <t>293</t>
        </is>
      </c>
      <c r="B294" t="inlineStr">
        <is>
          <t>Lindsay Toy</t>
        </is>
      </c>
      <c r="C294" t="inlineStr">
        <is>
          <t>Beeston RC</t>
        </is>
      </c>
      <c r="D294" t="inlineStr">
        <is>
          <t>16</t>
        </is>
      </c>
      <c r="E294">
        <f>HYPERLINK("https://www.britishcycling.org.uk/points?person_id=463061&amp;year=2022&amp;type=national&amp;d=6","Results")</f>
        <v/>
      </c>
    </row>
    <row r="295">
      <c r="A295" t="inlineStr">
        <is>
          <t>294</t>
        </is>
      </c>
      <c r="B295" t="inlineStr">
        <is>
          <t>Katie Helsby</t>
        </is>
      </c>
      <c r="C295" t="inlineStr">
        <is>
          <t>WTOS Delft</t>
        </is>
      </c>
      <c r="D295" t="inlineStr">
        <is>
          <t>15</t>
        </is>
      </c>
      <c r="E295">
        <f>HYPERLINK("https://www.britishcycling.org.uk/points?person_id=138357&amp;year=2022&amp;type=national&amp;d=6","Results")</f>
        <v/>
      </c>
    </row>
    <row r="296">
      <c r="A296" t="inlineStr">
        <is>
          <t>295</t>
        </is>
      </c>
      <c r="B296" t="inlineStr">
        <is>
          <t>Megan Plews</t>
        </is>
      </c>
      <c r="C296" t="inlineStr">
        <is>
          <t>Hetton Hawks Cycling Club</t>
        </is>
      </c>
      <c r="D296" t="inlineStr">
        <is>
          <t>15</t>
        </is>
      </c>
      <c r="E296">
        <f>HYPERLINK("https://www.britishcycling.org.uk/points?person_id=646049&amp;year=2022&amp;type=national&amp;d=6","Results")</f>
        <v/>
      </c>
    </row>
    <row r="297">
      <c r="A297" t="inlineStr">
        <is>
          <t>296</t>
        </is>
      </c>
      <c r="B297" t="inlineStr">
        <is>
          <t>Maddy Pope</t>
        </is>
      </c>
      <c r="C297" t="inlineStr">
        <is>
          <t>GreenlightPT</t>
        </is>
      </c>
      <c r="D297" t="inlineStr">
        <is>
          <t>15</t>
        </is>
      </c>
      <c r="E297">
        <f>HYPERLINK("https://www.britishcycling.org.uk/points?person_id=1024204&amp;year=2022&amp;type=national&amp;d=6","Results")</f>
        <v/>
      </c>
    </row>
    <row r="298">
      <c r="A298" t="inlineStr">
        <is>
          <t>297</t>
        </is>
      </c>
      <c r="B298" t="inlineStr">
        <is>
          <t>Christine Robson</t>
        </is>
      </c>
      <c r="C298" t="inlineStr">
        <is>
          <t>VC Londres</t>
        </is>
      </c>
      <c r="D298" t="inlineStr">
        <is>
          <t>15</t>
        </is>
      </c>
      <c r="E298">
        <f>HYPERLINK("https://www.britishcycling.org.uk/points?person_id=286615&amp;year=2022&amp;type=national&amp;d=6","Results")</f>
        <v/>
      </c>
    </row>
    <row r="299">
      <c r="A299" t="inlineStr">
        <is>
          <t>298</t>
        </is>
      </c>
      <c r="B299" t="inlineStr">
        <is>
          <t>Christine Lutsch</t>
        </is>
      </c>
      <c r="C299" t="inlineStr">
        <is>
          <t>Windrush Triathlon Club</t>
        </is>
      </c>
      <c r="D299" t="inlineStr">
        <is>
          <t>14</t>
        </is>
      </c>
      <c r="E299">
        <f>HYPERLINK("https://www.britishcycling.org.uk/points?person_id=85969&amp;year=2022&amp;type=national&amp;d=6","Results")</f>
        <v/>
      </c>
    </row>
    <row r="300">
      <c r="A300" t="inlineStr">
        <is>
          <t>299</t>
        </is>
      </c>
      <c r="B300" t="inlineStr">
        <is>
          <t>Lucy Buckley</t>
        </is>
      </c>
      <c r="C300" t="inlineStr">
        <is>
          <t>Team Empella Cyclo-Cross.Com</t>
        </is>
      </c>
      <c r="D300" t="inlineStr">
        <is>
          <t>13</t>
        </is>
      </c>
      <c r="E300">
        <f>HYPERLINK("https://www.britishcycling.org.uk/points?person_id=527316&amp;year=2022&amp;type=national&amp;d=6","Results")</f>
        <v/>
      </c>
    </row>
    <row r="301">
      <c r="A301" t="inlineStr">
        <is>
          <t>300</t>
        </is>
      </c>
      <c r="B301" t="inlineStr">
        <is>
          <t>Annabel Shunburne</t>
        </is>
      </c>
      <c r="C301" t="inlineStr">
        <is>
          <t>Team Empella Cyclo-Cross.Com</t>
        </is>
      </c>
      <c r="D301" t="inlineStr">
        <is>
          <t>13</t>
        </is>
      </c>
      <c r="E301">
        <f>HYPERLINK("https://www.britishcycling.org.uk/points?person_id=548540&amp;year=2022&amp;type=national&amp;d=6","Results")</f>
        <v/>
      </c>
    </row>
    <row r="302">
      <c r="A302" t="inlineStr">
        <is>
          <t>301</t>
        </is>
      </c>
      <c r="B302" t="inlineStr">
        <is>
          <t>Jacqui Simcock</t>
        </is>
      </c>
      <c r="C302" t="inlineStr">
        <is>
          <t>Team JMC</t>
        </is>
      </c>
      <c r="D302" t="inlineStr">
        <is>
          <t>13</t>
        </is>
      </c>
      <c r="E302">
        <f>HYPERLINK("https://www.britishcycling.org.uk/points?person_id=357380&amp;year=2022&amp;type=national&amp;d=6","Results")</f>
        <v/>
      </c>
    </row>
    <row r="303">
      <c r="A303" t="inlineStr">
        <is>
          <t>302</t>
        </is>
      </c>
      <c r="B303" t="inlineStr">
        <is>
          <t>Monica Anderson</t>
        </is>
      </c>
      <c r="C303" t="inlineStr"/>
      <c r="D303" t="inlineStr">
        <is>
          <t>12</t>
        </is>
      </c>
      <c r="E303">
        <f>HYPERLINK("https://www.britishcycling.org.uk/points?person_id=1032074&amp;year=2022&amp;type=national&amp;d=6","Results")</f>
        <v/>
      </c>
    </row>
    <row r="304">
      <c r="A304" t="inlineStr">
        <is>
          <t>303</t>
        </is>
      </c>
      <c r="B304" t="inlineStr">
        <is>
          <t>Florence Barnett</t>
        </is>
      </c>
      <c r="C304" t="inlineStr"/>
      <c r="D304" t="inlineStr">
        <is>
          <t>12</t>
        </is>
      </c>
      <c r="E304">
        <f>HYPERLINK("https://www.britishcycling.org.uk/points?person_id=463519&amp;year=2022&amp;type=national&amp;d=6","Results")</f>
        <v/>
      </c>
    </row>
    <row r="305">
      <c r="A305" t="inlineStr">
        <is>
          <t>304</t>
        </is>
      </c>
      <c r="B305" t="inlineStr">
        <is>
          <t>Jean Bergin</t>
        </is>
      </c>
      <c r="C305" t="inlineStr">
        <is>
          <t>De Laune CC</t>
        </is>
      </c>
      <c r="D305" t="inlineStr">
        <is>
          <t>12</t>
        </is>
      </c>
      <c r="E305">
        <f>HYPERLINK("https://www.britishcycling.org.uk/points?person_id=416871&amp;year=2022&amp;type=national&amp;d=6","Results")</f>
        <v/>
      </c>
    </row>
    <row r="306">
      <c r="A306" t="inlineStr">
        <is>
          <t>305</t>
        </is>
      </c>
      <c r="B306" t="inlineStr">
        <is>
          <t>Amy Bos</t>
        </is>
      </c>
      <c r="C306" t="inlineStr">
        <is>
          <t>Brown Cow Buckaroos</t>
        </is>
      </c>
      <c r="D306" t="inlineStr">
        <is>
          <t>12</t>
        </is>
      </c>
      <c r="E306">
        <f>HYPERLINK("https://www.britishcycling.org.uk/points?person_id=1033258&amp;year=2022&amp;type=national&amp;d=6","Results")</f>
        <v/>
      </c>
    </row>
    <row r="307">
      <c r="A307" t="inlineStr">
        <is>
          <t>306</t>
        </is>
      </c>
      <c r="B307" t="inlineStr">
        <is>
          <t>Kirsten Cameron</t>
        </is>
      </c>
      <c r="C307" t="inlineStr">
        <is>
          <t>Team Andrew Allan Architecture</t>
        </is>
      </c>
      <c r="D307" t="inlineStr">
        <is>
          <t>12</t>
        </is>
      </c>
      <c r="E307">
        <f>HYPERLINK("https://www.britishcycling.org.uk/points?person_id=432086&amp;year=2022&amp;type=national&amp;d=6","Results")</f>
        <v/>
      </c>
    </row>
    <row r="308">
      <c r="A308" t="inlineStr">
        <is>
          <t>307</t>
        </is>
      </c>
      <c r="B308" t="inlineStr">
        <is>
          <t>Isabel Ellis</t>
        </is>
      </c>
      <c r="C308" t="inlineStr">
        <is>
          <t>University of Nottingham CC</t>
        </is>
      </c>
      <c r="D308" t="inlineStr">
        <is>
          <t>12</t>
        </is>
      </c>
      <c r="E308">
        <f>HYPERLINK("https://www.britishcycling.org.uk/points?person_id=255811&amp;year=2022&amp;type=national&amp;d=6","Results")</f>
        <v/>
      </c>
    </row>
    <row r="309">
      <c r="A309" t="inlineStr">
        <is>
          <t>308</t>
        </is>
      </c>
      <c r="B309" t="inlineStr">
        <is>
          <t>Catherine Gaskell</t>
        </is>
      </c>
      <c r="C309" t="inlineStr">
        <is>
          <t>Brixton Cycles Club</t>
        </is>
      </c>
      <c r="D309" t="inlineStr">
        <is>
          <t>12</t>
        </is>
      </c>
      <c r="E309">
        <f>HYPERLINK("https://www.britishcycling.org.uk/points?person_id=314983&amp;year=2022&amp;type=national&amp;d=6","Results")</f>
        <v/>
      </c>
    </row>
    <row r="310">
      <c r="A310" t="inlineStr">
        <is>
          <t>309</t>
        </is>
      </c>
      <c r="B310" t="inlineStr">
        <is>
          <t>Rebecca Jones</t>
        </is>
      </c>
      <c r="C310" t="inlineStr">
        <is>
          <t>Klatsch.</t>
        </is>
      </c>
      <c r="D310" t="inlineStr">
        <is>
          <t>12</t>
        </is>
      </c>
      <c r="E310">
        <f>HYPERLINK("https://www.britishcycling.org.uk/points?person_id=79398&amp;year=2022&amp;type=national&amp;d=6","Results")</f>
        <v/>
      </c>
    </row>
    <row r="311">
      <c r="A311" t="inlineStr">
        <is>
          <t>310</t>
        </is>
      </c>
      <c r="B311" t="inlineStr">
        <is>
          <t>Laura Kaar</t>
        </is>
      </c>
      <c r="C311" t="inlineStr">
        <is>
          <t>Brixton Cycles Club</t>
        </is>
      </c>
      <c r="D311" t="inlineStr">
        <is>
          <t>12</t>
        </is>
      </c>
      <c r="E311">
        <f>HYPERLINK("https://www.britishcycling.org.uk/points?person_id=980136&amp;year=2022&amp;type=national&amp;d=6","Results")</f>
        <v/>
      </c>
    </row>
    <row r="312">
      <c r="A312" t="inlineStr">
        <is>
          <t>311</t>
        </is>
      </c>
      <c r="B312" t="inlineStr">
        <is>
          <t>Madeleine Pope</t>
        </is>
      </c>
      <c r="C312" t="inlineStr">
        <is>
          <t>Hors Catégorie (HC)</t>
        </is>
      </c>
      <c r="D312" t="inlineStr">
        <is>
          <t>12</t>
        </is>
      </c>
      <c r="E312">
        <f>HYPERLINK("https://www.britishcycling.org.uk/points?person_id=6793&amp;year=2022&amp;type=national&amp;d=6","Results")</f>
        <v/>
      </c>
    </row>
    <row r="313">
      <c r="A313" t="inlineStr">
        <is>
          <t>312</t>
        </is>
      </c>
      <c r="B313" t="inlineStr">
        <is>
          <t>Zoe Snow</t>
        </is>
      </c>
      <c r="C313" t="inlineStr">
        <is>
          <t>Liss Cycling Club</t>
        </is>
      </c>
      <c r="D313" t="inlineStr">
        <is>
          <t>12</t>
        </is>
      </c>
      <c r="E313">
        <f>HYPERLINK("https://www.britishcycling.org.uk/points?person_id=735848&amp;year=2022&amp;type=national&amp;d=6","Results")</f>
        <v/>
      </c>
    </row>
    <row r="314">
      <c r="A314" t="inlineStr">
        <is>
          <t>313</t>
        </is>
      </c>
      <c r="B314" t="inlineStr">
        <is>
          <t>Eilidh Shaw</t>
        </is>
      </c>
      <c r="C314" t="inlineStr">
        <is>
          <t>Tofauti Everyone Active</t>
        </is>
      </c>
      <c r="D314" t="inlineStr">
        <is>
          <t>11</t>
        </is>
      </c>
      <c r="E314">
        <f>HYPERLINK("https://www.britishcycling.org.uk/points?person_id=303264&amp;year=2022&amp;type=national&amp;d=6","Results")</f>
        <v/>
      </c>
    </row>
    <row r="315">
      <c r="A315" t="inlineStr">
        <is>
          <t>314</t>
        </is>
      </c>
      <c r="B315" t="inlineStr">
        <is>
          <t>Kara Weir</t>
        </is>
      </c>
      <c r="C315" t="inlineStr">
        <is>
          <t>Peddlamaniacs Cycle Club</t>
        </is>
      </c>
      <c r="D315" t="inlineStr">
        <is>
          <t>11</t>
        </is>
      </c>
      <c r="E315">
        <f>HYPERLINK("https://www.britishcycling.org.uk/points?person_id=1021586&amp;year=2022&amp;type=national&amp;d=6","Results")</f>
        <v/>
      </c>
    </row>
    <row r="316">
      <c r="A316" t="inlineStr">
        <is>
          <t>315</t>
        </is>
      </c>
      <c r="B316" t="inlineStr">
        <is>
          <t>Katie Bain</t>
        </is>
      </c>
      <c r="C316" t="inlineStr"/>
      <c r="D316" t="inlineStr">
        <is>
          <t>10</t>
        </is>
      </c>
      <c r="E316">
        <f>HYPERLINK("https://www.britishcycling.org.uk/points?person_id=691392&amp;year=2022&amp;type=national&amp;d=6","Results")</f>
        <v/>
      </c>
    </row>
    <row r="317">
      <c r="A317" t="inlineStr">
        <is>
          <t>316</t>
        </is>
      </c>
      <c r="B317" t="inlineStr">
        <is>
          <t>Marta Cooper</t>
        </is>
      </c>
      <c r="C317" t="inlineStr">
        <is>
          <t>Brixton Cycles Club</t>
        </is>
      </c>
      <c r="D317" t="inlineStr">
        <is>
          <t>10</t>
        </is>
      </c>
      <c r="E317">
        <f>HYPERLINK("https://www.britishcycling.org.uk/points?person_id=774082&amp;year=2022&amp;type=national&amp;d=6","Results")</f>
        <v/>
      </c>
    </row>
    <row r="318">
      <c r="A318" t="inlineStr">
        <is>
          <t>317</t>
        </is>
      </c>
      <c r="B318" t="inlineStr">
        <is>
          <t>Christine Fischer</t>
        </is>
      </c>
      <c r="C318" t="inlineStr">
        <is>
          <t>Stirling Bike Club</t>
        </is>
      </c>
      <c r="D318" t="inlineStr">
        <is>
          <t>10</t>
        </is>
      </c>
      <c r="E318">
        <f>HYPERLINK("https://www.britishcycling.org.uk/points?person_id=372829&amp;year=2022&amp;type=national&amp;d=6","Results")</f>
        <v/>
      </c>
    </row>
    <row r="319">
      <c r="A319" t="inlineStr">
        <is>
          <t>318</t>
        </is>
      </c>
      <c r="B319" t="inlineStr">
        <is>
          <t>Joanne Howes</t>
        </is>
      </c>
      <c r="C319" t="inlineStr">
        <is>
          <t>Sleaford Wheelers Cycling Club</t>
        </is>
      </c>
      <c r="D319" t="inlineStr">
        <is>
          <t>10</t>
        </is>
      </c>
      <c r="E319">
        <f>HYPERLINK("https://www.britishcycling.org.uk/points?person_id=751391&amp;year=2022&amp;type=national&amp;d=6","Results")</f>
        <v/>
      </c>
    </row>
    <row r="320">
      <c r="A320" t="inlineStr">
        <is>
          <t>319</t>
        </is>
      </c>
      <c r="B320" t="inlineStr">
        <is>
          <t>Ruth Miller</t>
        </is>
      </c>
      <c r="C320" t="inlineStr">
        <is>
          <t>Ben Thomas Coaching Club</t>
        </is>
      </c>
      <c r="D320" t="inlineStr">
        <is>
          <t>10</t>
        </is>
      </c>
      <c r="E320">
        <f>HYPERLINK("https://www.britishcycling.org.uk/points?person_id=176803&amp;year=2022&amp;type=national&amp;d=6","Results")</f>
        <v/>
      </c>
    </row>
    <row r="321">
      <c r="A321" t="inlineStr">
        <is>
          <t>320</t>
        </is>
      </c>
      <c r="B321" t="inlineStr">
        <is>
          <t>Abigail Coles</t>
        </is>
      </c>
      <c r="C321" t="inlineStr">
        <is>
          <t>North Road CC</t>
        </is>
      </c>
      <c r="D321" t="inlineStr">
        <is>
          <t>9</t>
        </is>
      </c>
      <c r="E321">
        <f>HYPERLINK("https://www.britishcycling.org.uk/points?person_id=74234&amp;year=2022&amp;type=national&amp;d=6","Results")</f>
        <v/>
      </c>
    </row>
    <row r="322">
      <c r="A322" t="inlineStr">
        <is>
          <t>321</t>
        </is>
      </c>
      <c r="B322" t="inlineStr">
        <is>
          <t>Luzelle Davies</t>
        </is>
      </c>
      <c r="C322" t="inlineStr">
        <is>
          <t>Coalville Wheelers CC</t>
        </is>
      </c>
      <c r="D322" t="inlineStr">
        <is>
          <t>9</t>
        </is>
      </c>
      <c r="E322">
        <f>HYPERLINK("https://www.britishcycling.org.uk/points?person_id=951630&amp;year=2022&amp;type=national&amp;d=6","Results")</f>
        <v/>
      </c>
    </row>
    <row r="323">
      <c r="A323" t="inlineStr">
        <is>
          <t>322</t>
        </is>
      </c>
      <c r="B323" t="inlineStr">
        <is>
          <t>Jaime Nicholson</t>
        </is>
      </c>
      <c r="C323" t="inlineStr">
        <is>
          <t>Hoddom Velo</t>
        </is>
      </c>
      <c r="D323" t="inlineStr">
        <is>
          <t>9</t>
        </is>
      </c>
      <c r="E323">
        <f>HYPERLINK("https://www.britishcycling.org.uk/points?person_id=359776&amp;year=2022&amp;type=national&amp;d=6","Results")</f>
        <v/>
      </c>
    </row>
    <row r="324">
      <c r="A324" t="inlineStr">
        <is>
          <t>323</t>
        </is>
      </c>
      <c r="B324" t="inlineStr">
        <is>
          <t>Amy Renwick</t>
        </is>
      </c>
      <c r="C324" t="inlineStr">
        <is>
          <t>Moray Firth Cycling Club</t>
        </is>
      </c>
      <c r="D324" t="inlineStr">
        <is>
          <t>9</t>
        </is>
      </c>
      <c r="E324">
        <f>HYPERLINK("https://www.britishcycling.org.uk/points?person_id=864173&amp;year=2022&amp;type=national&amp;d=6","Results")</f>
        <v/>
      </c>
    </row>
    <row r="325">
      <c r="A325" t="inlineStr">
        <is>
          <t>324</t>
        </is>
      </c>
      <c r="B325" t="inlineStr">
        <is>
          <t>Emily Smith</t>
        </is>
      </c>
      <c r="C325" t="inlineStr"/>
      <c r="D325" t="inlineStr">
        <is>
          <t>9</t>
        </is>
      </c>
      <c r="E325">
        <f>HYPERLINK("https://www.britishcycling.org.uk/points?person_id=380645&amp;year=2022&amp;type=national&amp;d=6","Results")</f>
        <v/>
      </c>
    </row>
    <row r="326">
      <c r="A326" t="inlineStr">
        <is>
          <t>325</t>
        </is>
      </c>
      <c r="B326" t="inlineStr">
        <is>
          <t>Eleanor Williams</t>
        </is>
      </c>
      <c r="C326" t="inlineStr">
        <is>
          <t>Bioracer UK RT</t>
        </is>
      </c>
      <c r="D326" t="inlineStr">
        <is>
          <t>9</t>
        </is>
      </c>
      <c r="E326">
        <f>HYPERLINK("https://www.britishcycling.org.uk/points?person_id=406174&amp;year=2022&amp;type=national&amp;d=6","Results")</f>
        <v/>
      </c>
    </row>
    <row r="327">
      <c r="A327" t="inlineStr">
        <is>
          <t>326</t>
        </is>
      </c>
      <c r="B327" t="inlineStr">
        <is>
          <t>Pamela Challen</t>
        </is>
      </c>
      <c r="C327" t="inlineStr">
        <is>
          <t>VC VELDRIJDEN</t>
        </is>
      </c>
      <c r="D327" t="inlineStr">
        <is>
          <t>8</t>
        </is>
      </c>
      <c r="E327">
        <f>HYPERLINK("https://www.britishcycling.org.uk/points?person_id=406992&amp;year=2022&amp;type=national&amp;d=6","Results")</f>
        <v/>
      </c>
    </row>
    <row r="328">
      <c r="A328" t="inlineStr">
        <is>
          <t>327</t>
        </is>
      </c>
      <c r="B328" t="inlineStr">
        <is>
          <t>Melissa Denman</t>
        </is>
      </c>
      <c r="C328" t="inlineStr">
        <is>
          <t>Ilkeston Cycle Club</t>
        </is>
      </c>
      <c r="D328" t="inlineStr">
        <is>
          <t>8</t>
        </is>
      </c>
      <c r="E328">
        <f>HYPERLINK("https://www.britishcycling.org.uk/points?person_id=562393&amp;year=2022&amp;type=national&amp;d=6","Results")</f>
        <v/>
      </c>
    </row>
    <row r="329">
      <c r="A329" t="inlineStr">
        <is>
          <t>328</t>
        </is>
      </c>
      <c r="B329" t="inlineStr">
        <is>
          <t>Rosina Digne-Malcolm</t>
        </is>
      </c>
      <c r="C329" t="inlineStr">
        <is>
          <t>Team Watto-LDN</t>
        </is>
      </c>
      <c r="D329" t="inlineStr">
        <is>
          <t>8</t>
        </is>
      </c>
      <c r="E329">
        <f>HYPERLINK("https://www.britishcycling.org.uk/points?person_id=463085&amp;year=2022&amp;type=national&amp;d=6","Results")</f>
        <v/>
      </c>
    </row>
    <row r="330">
      <c r="A330" t="inlineStr">
        <is>
          <t>329</t>
        </is>
      </c>
      <c r="B330" t="inlineStr">
        <is>
          <t>Jennifer Forrester</t>
        </is>
      </c>
      <c r="C330" t="inlineStr">
        <is>
          <t>www.Zepnat.com RT - Lazer helmets</t>
        </is>
      </c>
      <c r="D330" t="inlineStr">
        <is>
          <t>8</t>
        </is>
      </c>
      <c r="E330">
        <f>HYPERLINK("https://www.britishcycling.org.uk/points?person_id=58880&amp;year=2022&amp;type=national&amp;d=6","Results")</f>
        <v/>
      </c>
    </row>
    <row r="331">
      <c r="A331" t="inlineStr">
        <is>
          <t>330</t>
        </is>
      </c>
      <c r="B331" t="inlineStr">
        <is>
          <t>Alicia Lisle</t>
        </is>
      </c>
      <c r="C331" t="inlineStr">
        <is>
          <t>Team Empella Cyclo-Cross.Com</t>
        </is>
      </c>
      <c r="D331" t="inlineStr">
        <is>
          <t>8</t>
        </is>
      </c>
      <c r="E331">
        <f>HYPERLINK("https://www.britishcycling.org.uk/points?person_id=497812&amp;year=2022&amp;type=national&amp;d=6","Results")</f>
        <v/>
      </c>
    </row>
    <row r="332">
      <c r="A332" t="inlineStr">
        <is>
          <t>331</t>
        </is>
      </c>
      <c r="B332" t="inlineStr">
        <is>
          <t>Lindsey Lyes</t>
        </is>
      </c>
      <c r="C332" t="inlineStr">
        <is>
          <t>The Ark Cycles</t>
        </is>
      </c>
      <c r="D332" t="inlineStr">
        <is>
          <t>8</t>
        </is>
      </c>
      <c r="E332">
        <f>HYPERLINK("https://www.britishcycling.org.uk/points?person_id=1085557&amp;year=2022&amp;type=national&amp;d=6","Results")</f>
        <v/>
      </c>
    </row>
    <row r="333">
      <c r="A333" t="inlineStr">
        <is>
          <t>332</t>
        </is>
      </c>
      <c r="B333" t="inlineStr">
        <is>
          <t>Nicky Quant</t>
        </is>
      </c>
      <c r="C333" t="inlineStr">
        <is>
          <t>Mid Devon CC</t>
        </is>
      </c>
      <c r="D333" t="inlineStr">
        <is>
          <t>8</t>
        </is>
      </c>
      <c r="E333">
        <f>HYPERLINK("https://www.britishcycling.org.uk/points?person_id=342828&amp;year=2022&amp;type=national&amp;d=6","Results")</f>
        <v/>
      </c>
    </row>
    <row r="334">
      <c r="A334" t="inlineStr">
        <is>
          <t>333</t>
        </is>
      </c>
      <c r="B334" t="inlineStr">
        <is>
          <t>Lynne Scofield</t>
        </is>
      </c>
      <c r="C334" t="inlineStr">
        <is>
          <t>Rockingham Forest Whls</t>
        </is>
      </c>
      <c r="D334" t="inlineStr">
        <is>
          <t>8</t>
        </is>
      </c>
      <c r="E334">
        <f>HYPERLINK("https://www.britishcycling.org.uk/points?person_id=1036194&amp;year=2022&amp;type=national&amp;d=6","Results")</f>
        <v/>
      </c>
    </row>
    <row r="335">
      <c r="A335" t="inlineStr">
        <is>
          <t>334</t>
        </is>
      </c>
      <c r="B335" t="inlineStr">
        <is>
          <t>Carolyn Speirs</t>
        </is>
      </c>
      <c r="C335" t="inlineStr">
        <is>
          <t>Kendal Cycle Club</t>
        </is>
      </c>
      <c r="D335" t="inlineStr">
        <is>
          <t>8</t>
        </is>
      </c>
      <c r="E335">
        <f>HYPERLINK("https://www.britishcycling.org.uk/points?person_id=43271&amp;year=2022&amp;type=national&amp;d=6","Results")</f>
        <v/>
      </c>
    </row>
    <row r="336">
      <c r="A336" t="inlineStr">
        <is>
          <t>335</t>
        </is>
      </c>
      <c r="B336" t="inlineStr">
        <is>
          <t>Ellen Webber</t>
        </is>
      </c>
      <c r="C336" t="inlineStr">
        <is>
          <t>North Devon Velo</t>
        </is>
      </c>
      <c r="D336" t="inlineStr">
        <is>
          <t>8</t>
        </is>
      </c>
      <c r="E336">
        <f>HYPERLINK("https://www.britishcycling.org.uk/points?person_id=538529&amp;year=2022&amp;type=national&amp;d=6","Results")</f>
        <v/>
      </c>
    </row>
    <row r="337">
      <c r="A337" t="inlineStr">
        <is>
          <t>336</t>
        </is>
      </c>
      <c r="B337" t="inlineStr">
        <is>
          <t>Helen Winton</t>
        </is>
      </c>
      <c r="C337" t="inlineStr">
        <is>
          <t>Stirling Bike Club</t>
        </is>
      </c>
      <c r="D337" t="inlineStr">
        <is>
          <t>8</t>
        </is>
      </c>
      <c r="E337">
        <f>HYPERLINK("https://www.britishcycling.org.uk/points?person_id=255001&amp;year=2022&amp;type=national&amp;d=6","Results")</f>
        <v/>
      </c>
    </row>
    <row r="338">
      <c r="A338" t="inlineStr">
        <is>
          <t>337</t>
        </is>
      </c>
      <c r="B338" t="inlineStr">
        <is>
          <t>Kim Baptista</t>
        </is>
      </c>
      <c r="C338" t="inlineStr">
        <is>
          <t>LVIV CYCLING TEAM (Womens)</t>
        </is>
      </c>
      <c r="D338" t="inlineStr">
        <is>
          <t>7</t>
        </is>
      </c>
      <c r="E338">
        <f>HYPERLINK("https://www.britishcycling.org.uk/points?person_id=75027&amp;year=2022&amp;type=national&amp;d=6","Results")</f>
        <v/>
      </c>
    </row>
    <row r="339">
      <c r="A339" t="inlineStr">
        <is>
          <t>338</t>
        </is>
      </c>
      <c r="B339" t="inlineStr">
        <is>
          <t>Nicola Bishop</t>
        </is>
      </c>
      <c r="C339" t="inlineStr"/>
      <c r="D339" t="inlineStr">
        <is>
          <t>7</t>
        </is>
      </c>
      <c r="E339">
        <f>HYPERLINK("https://www.britishcycling.org.uk/points?person_id=1033350&amp;year=2022&amp;type=national&amp;d=6","Results")</f>
        <v/>
      </c>
    </row>
    <row r="340">
      <c r="A340" t="inlineStr">
        <is>
          <t>339</t>
        </is>
      </c>
      <c r="B340" t="inlineStr">
        <is>
          <t>Megan Lewis</t>
        </is>
      </c>
      <c r="C340" t="inlineStr">
        <is>
          <t>Ystwyth Cycling Club</t>
        </is>
      </c>
      <c r="D340" t="inlineStr">
        <is>
          <t>7</t>
        </is>
      </c>
      <c r="E340">
        <f>HYPERLINK("https://www.britishcycling.org.uk/points?person_id=616527&amp;year=2022&amp;type=national&amp;d=6","Results")</f>
        <v/>
      </c>
    </row>
    <row r="341">
      <c r="A341" t="inlineStr">
        <is>
          <t>340</t>
        </is>
      </c>
      <c r="B341" t="inlineStr">
        <is>
          <t>Georgina Pasmore</t>
        </is>
      </c>
      <c r="C341" t="inlineStr">
        <is>
          <t>Velo Myrddin CC powered by Y Beic</t>
        </is>
      </c>
      <c r="D341" t="inlineStr">
        <is>
          <t>7</t>
        </is>
      </c>
      <c r="E341">
        <f>HYPERLINK("https://www.britishcycling.org.uk/points?person_id=615932&amp;year=2022&amp;type=national&amp;d=6","Results")</f>
        <v/>
      </c>
    </row>
    <row r="342">
      <c r="A342" t="inlineStr">
        <is>
          <t>341</t>
        </is>
      </c>
      <c r="B342" t="inlineStr">
        <is>
          <t>Alison Stagg</t>
        </is>
      </c>
      <c r="C342" t="inlineStr">
        <is>
          <t>VC Deal</t>
        </is>
      </c>
      <c r="D342" t="inlineStr">
        <is>
          <t>7</t>
        </is>
      </c>
      <c r="E342">
        <f>HYPERLINK("https://www.britishcycling.org.uk/points?person_id=322677&amp;year=2022&amp;type=national&amp;d=6","Results")</f>
        <v/>
      </c>
    </row>
    <row r="343">
      <c r="A343" t="inlineStr">
        <is>
          <t>342</t>
        </is>
      </c>
      <c r="B343" t="inlineStr">
        <is>
          <t>Abigail Armstrong</t>
        </is>
      </c>
      <c r="C343" t="inlineStr">
        <is>
          <t>Beachy Head Cycling Club</t>
        </is>
      </c>
      <c r="D343" t="inlineStr">
        <is>
          <t>6</t>
        </is>
      </c>
      <c r="E343">
        <f>HYPERLINK("https://www.britishcycling.org.uk/points?person_id=69655&amp;year=2022&amp;type=national&amp;d=6","Results")</f>
        <v/>
      </c>
    </row>
    <row r="344">
      <c r="A344" t="inlineStr">
        <is>
          <t>343</t>
        </is>
      </c>
      <c r="B344" t="inlineStr">
        <is>
          <t>Heidi Blunden</t>
        </is>
      </c>
      <c r="C344" t="inlineStr">
        <is>
          <t>WestSide Coaching</t>
        </is>
      </c>
      <c r="D344" t="inlineStr">
        <is>
          <t>6</t>
        </is>
      </c>
      <c r="E344">
        <f>HYPERLINK("https://www.britishcycling.org.uk/points?person_id=261788&amp;year=2022&amp;type=national&amp;d=6","Results")</f>
        <v/>
      </c>
    </row>
    <row r="345">
      <c r="A345" t="inlineStr">
        <is>
          <t>344</t>
        </is>
      </c>
      <c r="B345" t="inlineStr">
        <is>
          <t>Nicola Cadwallader</t>
        </is>
      </c>
      <c r="C345" t="inlineStr">
        <is>
          <t>360cycling</t>
        </is>
      </c>
      <c r="D345" t="inlineStr">
        <is>
          <t>6</t>
        </is>
      </c>
      <c r="E345">
        <f>HYPERLINK("https://www.britishcycling.org.uk/points?person_id=1044102&amp;year=2022&amp;type=national&amp;d=6","Results")</f>
        <v/>
      </c>
    </row>
    <row r="346">
      <c r="A346" t="inlineStr">
        <is>
          <t>345</t>
        </is>
      </c>
      <c r="B346" t="inlineStr">
        <is>
          <t>Maria Gent</t>
        </is>
      </c>
      <c r="C346" t="inlineStr">
        <is>
          <t>Kettering CC</t>
        </is>
      </c>
      <c r="D346" t="inlineStr">
        <is>
          <t>6</t>
        </is>
      </c>
      <c r="E346">
        <f>HYPERLINK("https://www.britishcycling.org.uk/points?person_id=409698&amp;year=2022&amp;type=national&amp;d=6","Results")</f>
        <v/>
      </c>
    </row>
    <row r="347">
      <c r="A347" t="inlineStr">
        <is>
          <t>346</t>
        </is>
      </c>
      <c r="B347" t="inlineStr">
        <is>
          <t>Zofia Lisowski</t>
        </is>
      </c>
      <c r="C347" t="inlineStr">
        <is>
          <t>Peebles CC</t>
        </is>
      </c>
      <c r="D347" t="inlineStr">
        <is>
          <t>6</t>
        </is>
      </c>
      <c r="E347">
        <f>HYPERLINK("https://www.britishcycling.org.uk/points?person_id=1032701&amp;year=2022&amp;type=national&amp;d=6","Results")</f>
        <v/>
      </c>
    </row>
    <row r="348">
      <c r="A348" t="inlineStr">
        <is>
          <t>347</t>
        </is>
      </c>
      <c r="B348" t="inlineStr">
        <is>
          <t>Caroline Mansfield</t>
        </is>
      </c>
      <c r="C348" t="inlineStr">
        <is>
          <t>Magspeed Racing</t>
        </is>
      </c>
      <c r="D348" t="inlineStr">
        <is>
          <t>6</t>
        </is>
      </c>
      <c r="E348">
        <f>HYPERLINK("https://www.britishcycling.org.uk/points?person_id=179243&amp;year=2022&amp;type=national&amp;d=6","Results")</f>
        <v/>
      </c>
    </row>
    <row r="349">
      <c r="A349" t="inlineStr">
        <is>
          <t>348</t>
        </is>
      </c>
      <c r="B349" t="inlineStr">
        <is>
          <t>Wendy Rees</t>
        </is>
      </c>
      <c r="C349" t="inlineStr">
        <is>
          <t>Bicester Millennium CC</t>
        </is>
      </c>
      <c r="D349" t="inlineStr">
        <is>
          <t>6</t>
        </is>
      </c>
      <c r="E349">
        <f>HYPERLINK("https://www.britishcycling.org.uk/points?person_id=500978&amp;year=2022&amp;type=national&amp;d=6","Results")</f>
        <v/>
      </c>
    </row>
    <row r="350">
      <c r="A350" t="inlineStr">
        <is>
          <t>349</t>
        </is>
      </c>
      <c r="B350" t="inlineStr">
        <is>
          <t>Elizabeth Webb</t>
        </is>
      </c>
      <c r="C350" t="inlineStr">
        <is>
          <t>Cardiff Ajax CC</t>
        </is>
      </c>
      <c r="D350" t="inlineStr">
        <is>
          <t>6</t>
        </is>
      </c>
      <c r="E350">
        <f>HYPERLINK("https://www.britishcycling.org.uk/points?person_id=79422&amp;year=2022&amp;type=national&amp;d=6","Results")</f>
        <v/>
      </c>
    </row>
    <row r="351">
      <c r="A351" t="inlineStr">
        <is>
          <t>350</t>
        </is>
      </c>
      <c r="B351" t="inlineStr">
        <is>
          <t>Elizabeth Archer</t>
        </is>
      </c>
      <c r="C351" t="inlineStr">
        <is>
          <t>Team Milton Keynes</t>
        </is>
      </c>
      <c r="D351" t="inlineStr">
        <is>
          <t>5</t>
        </is>
      </c>
      <c r="E351">
        <f>HYPERLINK("https://www.britishcycling.org.uk/points?person_id=803335&amp;year=2022&amp;type=national&amp;d=6","Results")</f>
        <v/>
      </c>
    </row>
    <row r="352">
      <c r="A352" t="inlineStr">
        <is>
          <t>351</t>
        </is>
      </c>
      <c r="B352" t="inlineStr">
        <is>
          <t>Isobel Beattie</t>
        </is>
      </c>
      <c r="C352" t="inlineStr">
        <is>
          <t>Brighton Mitre CC</t>
        </is>
      </c>
      <c r="D352" t="inlineStr">
        <is>
          <t>5</t>
        </is>
      </c>
      <c r="E352">
        <f>HYPERLINK("https://www.britishcycling.org.uk/points?person_id=559597&amp;year=2022&amp;type=national&amp;d=6","Results")</f>
        <v/>
      </c>
    </row>
    <row r="353">
      <c r="A353" t="inlineStr">
        <is>
          <t>352</t>
        </is>
      </c>
      <c r="B353" t="inlineStr">
        <is>
          <t>Louise Brown</t>
        </is>
      </c>
      <c r="C353" t="inlineStr">
        <is>
          <t>Numplumz Mountainbikers</t>
        </is>
      </c>
      <c r="D353" t="inlineStr">
        <is>
          <t>5</t>
        </is>
      </c>
      <c r="E353">
        <f>HYPERLINK("https://www.britishcycling.org.uk/points?person_id=130268&amp;year=2022&amp;type=national&amp;d=6","Results")</f>
        <v/>
      </c>
    </row>
    <row r="354">
      <c r="A354" t="inlineStr">
        <is>
          <t>353</t>
        </is>
      </c>
      <c r="B354" t="inlineStr">
        <is>
          <t>Alison Brown</t>
        </is>
      </c>
      <c r="C354" t="inlineStr">
        <is>
          <t>Stirling Bike Club</t>
        </is>
      </c>
      <c r="D354" t="inlineStr">
        <is>
          <t>5</t>
        </is>
      </c>
      <c r="E354">
        <f>HYPERLINK("https://www.britishcycling.org.uk/points?person_id=860862&amp;year=2022&amp;type=national&amp;d=6","Results")</f>
        <v/>
      </c>
    </row>
    <row r="355">
      <c r="A355" t="inlineStr">
        <is>
          <t>354</t>
        </is>
      </c>
      <c r="B355" t="inlineStr">
        <is>
          <t>Lisa Chapman</t>
        </is>
      </c>
      <c r="C355" t="inlineStr">
        <is>
          <t>Somerset Road Club</t>
        </is>
      </c>
      <c r="D355" t="inlineStr">
        <is>
          <t>5</t>
        </is>
      </c>
      <c r="E355">
        <f>HYPERLINK("https://www.britishcycling.org.uk/points?person_id=650559&amp;year=2022&amp;type=national&amp;d=6","Results")</f>
        <v/>
      </c>
    </row>
    <row r="356">
      <c r="A356" t="inlineStr">
        <is>
          <t>355</t>
        </is>
      </c>
      <c r="B356" t="inlineStr">
        <is>
          <t>Jackie Field</t>
        </is>
      </c>
      <c r="C356" t="inlineStr">
        <is>
          <t>Cycle Club Ashwell (CCA)</t>
        </is>
      </c>
      <c r="D356" t="inlineStr">
        <is>
          <t>5</t>
        </is>
      </c>
      <c r="E356">
        <f>HYPERLINK("https://www.britishcycling.org.uk/points?person_id=175971&amp;year=2022&amp;type=national&amp;d=6","Results")</f>
        <v/>
      </c>
    </row>
    <row r="357">
      <c r="A357" t="inlineStr">
        <is>
          <t>356</t>
        </is>
      </c>
      <c r="B357" t="inlineStr">
        <is>
          <t>Nicola Hartle</t>
        </is>
      </c>
      <c r="C357" t="inlineStr">
        <is>
          <t>PH-MAS - Paul Milnes Cycles</t>
        </is>
      </c>
      <c r="D357" t="inlineStr">
        <is>
          <t>5</t>
        </is>
      </c>
      <c r="E357">
        <f>HYPERLINK("https://www.britishcycling.org.uk/points?person_id=24304&amp;year=2022&amp;type=national&amp;d=6","Results")</f>
        <v/>
      </c>
    </row>
    <row r="358">
      <c r="A358" t="inlineStr">
        <is>
          <t>357</t>
        </is>
      </c>
      <c r="B358" t="inlineStr">
        <is>
          <t>Samantha Healy</t>
        </is>
      </c>
      <c r="C358" t="inlineStr"/>
      <c r="D358" t="inlineStr">
        <is>
          <t>5</t>
        </is>
      </c>
      <c r="E358">
        <f>HYPERLINK("https://www.britishcycling.org.uk/points?person_id=624964&amp;year=2022&amp;type=national&amp;d=6","Results")</f>
        <v/>
      </c>
    </row>
    <row r="359">
      <c r="A359" t="inlineStr">
        <is>
          <t>358</t>
        </is>
      </c>
      <c r="B359" t="inlineStr">
        <is>
          <t>Cliodhna Kennedy</t>
        </is>
      </c>
      <c r="C359" t="inlineStr">
        <is>
          <t>Reading CC</t>
        </is>
      </c>
      <c r="D359" t="inlineStr">
        <is>
          <t>5</t>
        </is>
      </c>
      <c r="E359">
        <f>HYPERLINK("https://www.britishcycling.org.uk/points?person_id=771275&amp;year=2022&amp;type=national&amp;d=6","Results")</f>
        <v/>
      </c>
    </row>
    <row r="360">
      <c r="A360" t="inlineStr">
        <is>
          <t>359</t>
        </is>
      </c>
      <c r="B360" t="inlineStr">
        <is>
          <t>Anne Murray</t>
        </is>
      </c>
      <c r="C360" t="inlineStr">
        <is>
          <t>Ben Wyvis Cycle Club</t>
        </is>
      </c>
      <c r="D360" t="inlineStr">
        <is>
          <t>5</t>
        </is>
      </c>
      <c r="E360">
        <f>HYPERLINK("https://www.britishcycling.org.uk/points?person_id=60414&amp;year=2022&amp;type=national&amp;d=6","Results")</f>
        <v/>
      </c>
    </row>
    <row r="361">
      <c r="A361" t="inlineStr">
        <is>
          <t>360</t>
        </is>
      </c>
      <c r="B361" t="inlineStr">
        <is>
          <t>Sophie Roberts</t>
        </is>
      </c>
      <c r="C361" t="inlineStr">
        <is>
          <t>Penge Cycle Club</t>
        </is>
      </c>
      <c r="D361" t="inlineStr">
        <is>
          <t>5</t>
        </is>
      </c>
      <c r="E361">
        <f>HYPERLINK("https://www.britishcycling.org.uk/points?person_id=920919&amp;year=2022&amp;type=national&amp;d=6","Results")</f>
        <v/>
      </c>
    </row>
    <row r="362">
      <c r="A362" t="inlineStr">
        <is>
          <t>361</t>
        </is>
      </c>
      <c r="B362" t="inlineStr">
        <is>
          <t>Christina Burns</t>
        </is>
      </c>
      <c r="C362" t="inlineStr">
        <is>
          <t>Derby Mercury RC</t>
        </is>
      </c>
      <c r="D362" t="inlineStr">
        <is>
          <t>4</t>
        </is>
      </c>
      <c r="E362">
        <f>HYPERLINK("https://www.britishcycling.org.uk/points?person_id=394388&amp;year=2022&amp;type=national&amp;d=6","Results")</f>
        <v/>
      </c>
    </row>
    <row r="363">
      <c r="A363" t="inlineStr">
        <is>
          <t>362</t>
        </is>
      </c>
      <c r="B363" t="inlineStr">
        <is>
          <t>Rosine Eisma</t>
        </is>
      </c>
      <c r="C363" t="inlineStr"/>
      <c r="D363" t="inlineStr">
        <is>
          <t>4</t>
        </is>
      </c>
      <c r="E363">
        <f>HYPERLINK("https://www.britishcycling.org.uk/points?person_id=1025819&amp;year=2022&amp;type=national&amp;d=6","Results")</f>
        <v/>
      </c>
    </row>
    <row r="364">
      <c r="A364" t="inlineStr">
        <is>
          <t>363</t>
        </is>
      </c>
      <c r="B364" t="inlineStr">
        <is>
          <t>Izzy Filor</t>
        </is>
      </c>
      <c r="C364" t="inlineStr"/>
      <c r="D364" t="inlineStr">
        <is>
          <t>4</t>
        </is>
      </c>
      <c r="E364">
        <f>HYPERLINK("https://www.britishcycling.org.uk/points?person_id=960592&amp;year=2022&amp;type=national&amp;d=6","Results")</f>
        <v/>
      </c>
    </row>
    <row r="365">
      <c r="A365" t="inlineStr">
        <is>
          <t>364</t>
        </is>
      </c>
      <c r="B365" t="inlineStr">
        <is>
          <t>Charlotte Fisher</t>
        </is>
      </c>
      <c r="C365" t="inlineStr">
        <is>
          <t>Cotswold Veldrijden</t>
        </is>
      </c>
      <c r="D365" t="inlineStr">
        <is>
          <t>4</t>
        </is>
      </c>
      <c r="E365">
        <f>HYPERLINK("https://www.britishcycling.org.uk/points?person_id=612667&amp;year=2022&amp;type=national&amp;d=6","Results")</f>
        <v/>
      </c>
    </row>
    <row r="366">
      <c r="A366" t="inlineStr">
        <is>
          <t>365</t>
        </is>
      </c>
      <c r="B366" t="inlineStr">
        <is>
          <t>Amy Harvey</t>
        </is>
      </c>
      <c r="C366" t="inlineStr">
        <is>
          <t>Brother UK-Orientation Marketing</t>
        </is>
      </c>
      <c r="D366" t="inlineStr">
        <is>
          <t>4</t>
        </is>
      </c>
      <c r="E366">
        <f>HYPERLINK("https://www.britishcycling.org.uk/points?person_id=649057&amp;year=2022&amp;type=national&amp;d=6","Results")</f>
        <v/>
      </c>
    </row>
    <row r="367">
      <c r="A367" t="inlineStr">
        <is>
          <t>366</t>
        </is>
      </c>
      <c r="B367" t="inlineStr">
        <is>
          <t>Georgia Lancaster</t>
        </is>
      </c>
      <c r="C367" t="inlineStr">
        <is>
          <t>Sleaford Wheelers Cycling Club</t>
        </is>
      </c>
      <c r="D367" t="inlineStr">
        <is>
          <t>4</t>
        </is>
      </c>
      <c r="E367">
        <f>HYPERLINK("https://www.britishcycling.org.uk/points?person_id=449662&amp;year=2022&amp;type=national&amp;d=6","Results")</f>
        <v/>
      </c>
    </row>
    <row r="368">
      <c r="A368" t="inlineStr">
        <is>
          <t>367</t>
        </is>
      </c>
      <c r="B368" t="inlineStr">
        <is>
          <t>Sarah Lewthwaite</t>
        </is>
      </c>
      <c r="C368" t="inlineStr">
        <is>
          <t>Born to Bike Racing Team</t>
        </is>
      </c>
      <c r="D368" t="inlineStr">
        <is>
          <t>4</t>
        </is>
      </c>
      <c r="E368">
        <f>HYPERLINK("https://www.britishcycling.org.uk/points?person_id=127921&amp;year=2022&amp;type=national&amp;d=6","Results")</f>
        <v/>
      </c>
    </row>
    <row r="369">
      <c r="A369" t="inlineStr">
        <is>
          <t>368</t>
        </is>
      </c>
      <c r="B369" t="inlineStr">
        <is>
          <t>Rebecca Maynard</t>
        </is>
      </c>
      <c r="C369" t="inlineStr">
        <is>
          <t>Welwyn Wheelers CC</t>
        </is>
      </c>
      <c r="D369" t="inlineStr">
        <is>
          <t>4</t>
        </is>
      </c>
      <c r="E369">
        <f>HYPERLINK("https://www.britishcycling.org.uk/points?person_id=5522&amp;year=2022&amp;type=national&amp;d=6","Results")</f>
        <v/>
      </c>
    </row>
    <row r="370">
      <c r="A370" t="inlineStr">
        <is>
          <t>369</t>
        </is>
      </c>
      <c r="B370" t="inlineStr">
        <is>
          <t>Catherine Pascoe</t>
        </is>
      </c>
      <c r="C370" t="inlineStr">
        <is>
          <t>New Forest CC</t>
        </is>
      </c>
      <c r="D370" t="inlineStr">
        <is>
          <t>4</t>
        </is>
      </c>
      <c r="E370">
        <f>HYPERLINK("https://www.britishcycling.org.uk/points?person_id=67170&amp;year=2022&amp;type=national&amp;d=6","Results")</f>
        <v/>
      </c>
    </row>
    <row r="371">
      <c r="A371" t="inlineStr">
        <is>
          <t>370</t>
        </is>
      </c>
      <c r="B371" t="inlineStr">
        <is>
          <t>Phoebe Perry</t>
        </is>
      </c>
      <c r="C371" t="inlineStr">
        <is>
          <t>Partenza - Nude Espresso RT</t>
        </is>
      </c>
      <c r="D371" t="inlineStr">
        <is>
          <t>4</t>
        </is>
      </c>
      <c r="E371">
        <f>HYPERLINK("https://www.britishcycling.org.uk/points?person_id=981613&amp;year=2022&amp;type=national&amp;d=6","Results")</f>
        <v/>
      </c>
    </row>
    <row r="372">
      <c r="A372" t="inlineStr">
        <is>
          <t>371</t>
        </is>
      </c>
      <c r="B372" t="inlineStr">
        <is>
          <t>Danielle Petersmann</t>
        </is>
      </c>
      <c r="C372" t="inlineStr"/>
      <c r="D372" t="inlineStr">
        <is>
          <t>4</t>
        </is>
      </c>
      <c r="E372">
        <f>HYPERLINK("https://www.britishcycling.org.uk/points?person_id=319198&amp;year=2022&amp;type=national&amp;d=6","Results")</f>
        <v/>
      </c>
    </row>
    <row r="373">
      <c r="A373" t="inlineStr">
        <is>
          <t>372</t>
        </is>
      </c>
      <c r="B373" t="inlineStr">
        <is>
          <t>Steph Rorke</t>
        </is>
      </c>
      <c r="C373" t="inlineStr">
        <is>
          <t>Peebles CC</t>
        </is>
      </c>
      <c r="D373" t="inlineStr">
        <is>
          <t>4</t>
        </is>
      </c>
      <c r="E373">
        <f>HYPERLINK("https://www.britishcycling.org.uk/points?person_id=847627&amp;year=2022&amp;type=national&amp;d=6","Results")</f>
        <v/>
      </c>
    </row>
    <row r="374">
      <c r="A374" t="inlineStr">
        <is>
          <t>373</t>
        </is>
      </c>
      <c r="B374" t="inlineStr">
        <is>
          <t>Kelly Wilby</t>
        </is>
      </c>
      <c r="C374" t="inlineStr">
        <is>
          <t>Shibden Cycling Club</t>
        </is>
      </c>
      <c r="D374" t="inlineStr">
        <is>
          <t>4</t>
        </is>
      </c>
      <c r="E374">
        <f>HYPERLINK("https://www.britishcycling.org.uk/points?person_id=1050312&amp;year=2022&amp;type=national&amp;d=6","Results")</f>
        <v/>
      </c>
    </row>
    <row r="375">
      <c r="A375" t="inlineStr">
        <is>
          <t>374</t>
        </is>
      </c>
      <c r="B375" t="inlineStr">
        <is>
          <t>Hannah Bayes</t>
        </is>
      </c>
      <c r="C375" t="inlineStr">
        <is>
          <t>Saint Piran WRT</t>
        </is>
      </c>
      <c r="D375" t="inlineStr">
        <is>
          <t>3</t>
        </is>
      </c>
      <c r="E375">
        <f>HYPERLINK("https://www.britishcycling.org.uk/points?person_id=497572&amp;year=2022&amp;type=national&amp;d=6","Results")</f>
        <v/>
      </c>
    </row>
    <row r="376">
      <c r="A376" t="inlineStr">
        <is>
          <t>375</t>
        </is>
      </c>
      <c r="B376" t="inlineStr">
        <is>
          <t>Ailsa Curtis</t>
        </is>
      </c>
      <c r="C376" t="inlineStr">
        <is>
          <t>West Lothian Clarion CC</t>
        </is>
      </c>
      <c r="D376" t="inlineStr">
        <is>
          <t>3</t>
        </is>
      </c>
      <c r="E376">
        <f>HYPERLINK("https://www.britishcycling.org.uk/points?person_id=75525&amp;year=2022&amp;type=national&amp;d=6","Results")</f>
        <v/>
      </c>
    </row>
    <row r="377">
      <c r="A377" t="inlineStr">
        <is>
          <t>376</t>
        </is>
      </c>
      <c r="B377" t="inlineStr">
        <is>
          <t>Isla Easto</t>
        </is>
      </c>
      <c r="C377" t="inlineStr">
        <is>
          <t>JRC-INTERFLON Race Team</t>
        </is>
      </c>
      <c r="D377" t="inlineStr">
        <is>
          <t>3</t>
        </is>
      </c>
      <c r="E377">
        <f>HYPERLINK("https://www.britishcycling.org.uk/points?person_id=1030581&amp;year=2022&amp;type=national&amp;d=6","Results")</f>
        <v/>
      </c>
    </row>
    <row r="378">
      <c r="A378" t="inlineStr">
        <is>
          <t>377</t>
        </is>
      </c>
      <c r="B378" t="inlineStr">
        <is>
          <t>Rebecca Howard</t>
        </is>
      </c>
      <c r="C378" t="inlineStr">
        <is>
          <t>Glasgow Track Racing Club</t>
        </is>
      </c>
      <c r="D378" t="inlineStr">
        <is>
          <t>3</t>
        </is>
      </c>
      <c r="E378">
        <f>HYPERLINK("https://www.britishcycling.org.uk/points?person_id=560920&amp;year=2022&amp;type=national&amp;d=6","Results")</f>
        <v/>
      </c>
    </row>
    <row r="379">
      <c r="A379" t="inlineStr">
        <is>
          <t>378</t>
        </is>
      </c>
      <c r="B379" t="inlineStr">
        <is>
          <t>Kate Hoy</t>
        </is>
      </c>
      <c r="C379" t="inlineStr">
        <is>
          <t>Pronto Bikes</t>
        </is>
      </c>
      <c r="D379" t="inlineStr">
        <is>
          <t>3</t>
        </is>
      </c>
      <c r="E379">
        <f>HYPERLINK("https://www.britishcycling.org.uk/points?person_id=874404&amp;year=2022&amp;type=national&amp;d=6","Results")</f>
        <v/>
      </c>
    </row>
    <row r="380">
      <c r="A380" t="inlineStr">
        <is>
          <t>379</t>
        </is>
      </c>
      <c r="B380" t="inlineStr">
        <is>
          <t>Astrid Pot</t>
        </is>
      </c>
      <c r="C380" t="inlineStr">
        <is>
          <t>Seacroft Wheelers</t>
        </is>
      </c>
      <c r="D380" t="inlineStr">
        <is>
          <t>3</t>
        </is>
      </c>
      <c r="E380">
        <f>HYPERLINK("https://www.britishcycling.org.uk/points?person_id=1002089&amp;year=2022&amp;type=national&amp;d=6","Results")</f>
        <v/>
      </c>
    </row>
    <row r="381">
      <c r="A381" t="inlineStr">
        <is>
          <t>380</t>
        </is>
      </c>
      <c r="B381" t="inlineStr">
        <is>
          <t>Rachel Profit</t>
        </is>
      </c>
      <c r="C381" t="inlineStr">
        <is>
          <t>Clevedon &amp; District RC</t>
        </is>
      </c>
      <c r="D381" t="inlineStr">
        <is>
          <t>3</t>
        </is>
      </c>
      <c r="E381">
        <f>HYPERLINK("https://www.britishcycling.org.uk/points?person_id=879272&amp;year=2022&amp;type=national&amp;d=6","Results")</f>
        <v/>
      </c>
    </row>
    <row r="382">
      <c r="A382" t="inlineStr">
        <is>
          <t>381</t>
        </is>
      </c>
      <c r="B382" t="inlineStr">
        <is>
          <t>Claire Riley</t>
        </is>
      </c>
      <c r="C382" t="inlineStr"/>
      <c r="D382" t="inlineStr">
        <is>
          <t>3</t>
        </is>
      </c>
      <c r="E382">
        <f>HYPERLINK("https://www.britishcycling.org.uk/points?person_id=169445&amp;year=2022&amp;type=national&amp;d=6","Results")</f>
        <v/>
      </c>
    </row>
    <row r="383">
      <c r="A383" t="inlineStr">
        <is>
          <t>382</t>
        </is>
      </c>
      <c r="B383" t="inlineStr">
        <is>
          <t>Suzanne Wise</t>
        </is>
      </c>
      <c r="C383" t="inlineStr">
        <is>
          <t>C and N Cycles RT</t>
        </is>
      </c>
      <c r="D383" t="inlineStr">
        <is>
          <t>3</t>
        </is>
      </c>
      <c r="E383">
        <f>HYPERLINK("https://www.britishcycling.org.uk/points?person_id=607451&amp;year=2022&amp;type=national&amp;d=6","Results")</f>
        <v/>
      </c>
    </row>
    <row r="384">
      <c r="A384" t="inlineStr">
        <is>
          <t>383</t>
        </is>
      </c>
      <c r="B384" t="inlineStr">
        <is>
          <t>Amy Bird</t>
        </is>
      </c>
      <c r="C384" t="inlineStr">
        <is>
          <t>Kettering CC</t>
        </is>
      </c>
      <c r="D384" t="inlineStr">
        <is>
          <t>2</t>
        </is>
      </c>
      <c r="E384">
        <f>HYPERLINK("https://www.britishcycling.org.uk/points?person_id=886250&amp;year=2022&amp;type=national&amp;d=6","Results")</f>
        <v/>
      </c>
    </row>
    <row r="385">
      <c r="A385" t="inlineStr">
        <is>
          <t>384</t>
        </is>
      </c>
      <c r="B385" t="inlineStr">
        <is>
          <t>Chloe Dilks</t>
        </is>
      </c>
      <c r="C385" t="inlineStr">
        <is>
          <t>Team Empella Cyclo-Cross.Com</t>
        </is>
      </c>
      <c r="D385" t="inlineStr">
        <is>
          <t>2</t>
        </is>
      </c>
      <c r="E385">
        <f>HYPERLINK("https://www.britishcycling.org.uk/points?person_id=464080&amp;year=2022&amp;type=national&amp;d=6","Results")</f>
        <v/>
      </c>
    </row>
    <row r="386">
      <c r="A386" t="inlineStr">
        <is>
          <t>385</t>
        </is>
      </c>
      <c r="B386" t="inlineStr">
        <is>
          <t>Sean Dodsworth</t>
        </is>
      </c>
      <c r="C386" t="inlineStr">
        <is>
          <t>Army Cycling Union</t>
        </is>
      </c>
      <c r="D386" t="inlineStr">
        <is>
          <t>2</t>
        </is>
      </c>
      <c r="E386">
        <f>HYPERLINK("https://www.britishcycling.org.uk/points?person_id=977010&amp;year=2022&amp;type=national&amp;d=6","Results")</f>
        <v/>
      </c>
    </row>
    <row r="387">
      <c r="A387" t="inlineStr">
        <is>
          <t>386</t>
        </is>
      </c>
      <c r="B387" t="inlineStr">
        <is>
          <t>Kirsteen Ellis</t>
        </is>
      </c>
      <c r="C387" t="inlineStr">
        <is>
          <t>Synergy Cycles</t>
        </is>
      </c>
      <c r="D387" t="inlineStr">
        <is>
          <t>2</t>
        </is>
      </c>
      <c r="E387">
        <f>HYPERLINK("https://www.britishcycling.org.uk/points?person_id=304067&amp;year=2022&amp;type=national&amp;d=6","Results")</f>
        <v/>
      </c>
    </row>
    <row r="388">
      <c r="A388" t="inlineStr">
        <is>
          <t>387</t>
        </is>
      </c>
      <c r="B388" t="inlineStr">
        <is>
          <t>Alison Lewis</t>
        </is>
      </c>
      <c r="C388" t="inlineStr">
        <is>
          <t>Brighton Mitre CC</t>
        </is>
      </c>
      <c r="D388" t="inlineStr">
        <is>
          <t>2</t>
        </is>
      </c>
      <c r="E388">
        <f>HYPERLINK("https://www.britishcycling.org.uk/points?person_id=125276&amp;year=2022&amp;type=national&amp;d=6","Results")</f>
        <v/>
      </c>
    </row>
    <row r="389">
      <c r="A389" t="inlineStr">
        <is>
          <t>388</t>
        </is>
      </c>
      <c r="B389" t="inlineStr">
        <is>
          <t>Eleanor Whalley</t>
        </is>
      </c>
      <c r="C389" t="inlineStr">
        <is>
          <t>Magspeed Racing</t>
        </is>
      </c>
      <c r="D389" t="inlineStr">
        <is>
          <t>2</t>
        </is>
      </c>
      <c r="E389">
        <f>HYPERLINK("https://www.britishcycling.org.uk/points?person_id=766472&amp;year=2022&amp;type=national&amp;d=6","Results")</f>
        <v/>
      </c>
    </row>
    <row r="390">
      <c r="A390" t="inlineStr">
        <is>
          <t>389</t>
        </is>
      </c>
      <c r="B390" t="inlineStr">
        <is>
          <t>Tess Agnew</t>
        </is>
      </c>
      <c r="C390" t="inlineStr">
        <is>
          <t>Brighton Mitre CC</t>
        </is>
      </c>
      <c r="D390" t="inlineStr">
        <is>
          <t>1</t>
        </is>
      </c>
      <c r="E390">
        <f>HYPERLINK("https://www.britishcycling.org.uk/points?person_id=868556&amp;year=2022&amp;type=national&amp;d=6","Results")</f>
        <v/>
      </c>
    </row>
    <row r="391">
      <c r="A391" t="inlineStr">
        <is>
          <t>390</t>
        </is>
      </c>
      <c r="B391" t="inlineStr">
        <is>
          <t>Helen Carrington-Smith</t>
        </is>
      </c>
      <c r="C391" t="inlineStr">
        <is>
          <t>Royal Air Force CA</t>
        </is>
      </c>
      <c r="D391" t="inlineStr">
        <is>
          <t>1</t>
        </is>
      </c>
      <c r="E391">
        <f>HYPERLINK("https://www.britishcycling.org.uk/points?person_id=239073&amp;year=2022&amp;type=national&amp;d=6","Results")</f>
        <v/>
      </c>
    </row>
    <row r="392">
      <c r="A392" t="inlineStr">
        <is>
          <t>391</t>
        </is>
      </c>
      <c r="B392" t="inlineStr">
        <is>
          <t>Kate Dance</t>
        </is>
      </c>
      <c r="C392" t="inlineStr">
        <is>
          <t>Parenesis - TougHuman Cycling</t>
        </is>
      </c>
      <c r="D392" t="inlineStr">
        <is>
          <t>1</t>
        </is>
      </c>
      <c r="E392">
        <f>HYPERLINK("https://www.britishcycling.org.uk/points?person_id=611435&amp;year=2022&amp;type=national&amp;d=6","Results")</f>
        <v/>
      </c>
    </row>
    <row r="393">
      <c r="A393" t="inlineStr">
        <is>
          <t>392</t>
        </is>
      </c>
      <c r="B393" t="inlineStr">
        <is>
          <t>Lisa Green</t>
        </is>
      </c>
      <c r="C393" t="inlineStr">
        <is>
          <t>Huddersfield Star Wheelers</t>
        </is>
      </c>
      <c r="D393" t="inlineStr">
        <is>
          <t>1</t>
        </is>
      </c>
      <c r="E393">
        <f>HYPERLINK("https://www.britishcycling.org.uk/points?person_id=501828&amp;year=2022&amp;type=national&amp;d=6","Results")</f>
        <v/>
      </c>
    </row>
    <row r="394">
      <c r="A394" t="inlineStr">
        <is>
          <t>393</t>
        </is>
      </c>
      <c r="B394" t="inlineStr">
        <is>
          <t>Claire Hughes</t>
        </is>
      </c>
      <c r="C394" t="inlineStr">
        <is>
          <t>Peddlamaniacs Cycle Club</t>
        </is>
      </c>
      <c r="D394" t="inlineStr">
        <is>
          <t>1</t>
        </is>
      </c>
      <c r="E394">
        <f>HYPERLINK("https://www.britishcycling.org.uk/points?person_id=316827&amp;year=2022&amp;type=national&amp;d=6","Results")</f>
        <v/>
      </c>
    </row>
    <row r="395">
      <c r="A395" t="inlineStr">
        <is>
          <t>394</t>
        </is>
      </c>
      <c r="B395" t="inlineStr">
        <is>
          <t>Emma Kwok</t>
        </is>
      </c>
      <c r="C395" t="inlineStr">
        <is>
          <t>Bristol RC</t>
        </is>
      </c>
      <c r="D395" t="inlineStr">
        <is>
          <t>1</t>
        </is>
      </c>
      <c r="E395">
        <f>HYPERLINK("https://www.britishcycling.org.uk/points?person_id=1059226&amp;year=2022&amp;type=national&amp;d=6","Results")</f>
        <v/>
      </c>
    </row>
    <row r="396">
      <c r="A396" t="inlineStr">
        <is>
          <t>395</t>
        </is>
      </c>
      <c r="B396" t="inlineStr">
        <is>
          <t>Samantha Messenger</t>
        </is>
      </c>
      <c r="C396" t="inlineStr">
        <is>
          <t>Bicester Millennium CC</t>
        </is>
      </c>
      <c r="D396" t="inlineStr">
        <is>
          <t>1</t>
        </is>
      </c>
      <c r="E396">
        <f>HYPERLINK("https://www.britishcycling.org.uk/points?person_id=531029&amp;year=2022&amp;type=national&amp;d=6","Results")</f>
        <v/>
      </c>
    </row>
    <row r="397">
      <c r="A397" t="inlineStr">
        <is>
          <t>396</t>
        </is>
      </c>
      <c r="B397" t="inlineStr">
        <is>
          <t>Sara Packer</t>
        </is>
      </c>
      <c r="C397" t="inlineStr"/>
      <c r="D397" t="inlineStr">
        <is>
          <t>1</t>
        </is>
      </c>
      <c r="E397">
        <f>HYPERLINK("https://www.britishcycling.org.uk/points?person_id=745720&amp;year=2022&amp;type=national&amp;d=6","Results")</f>
        <v/>
      </c>
    </row>
    <row r="398">
      <c r="A398" t="inlineStr">
        <is>
          <t>397</t>
        </is>
      </c>
      <c r="B398" t="inlineStr">
        <is>
          <t>Hannah Quay</t>
        </is>
      </c>
      <c r="C398" t="inlineStr">
        <is>
          <t>Reading CC</t>
        </is>
      </c>
      <c r="D398" t="inlineStr">
        <is>
          <t>1</t>
        </is>
      </c>
      <c r="E398">
        <f>HYPERLINK("https://www.britishcycling.org.uk/points?person_id=850579&amp;year=2022&amp;type=national&amp;d=6","Results")</f>
        <v/>
      </c>
    </row>
    <row r="399">
      <c r="A399" t="inlineStr">
        <is>
          <t>398</t>
        </is>
      </c>
      <c r="B399" t="inlineStr">
        <is>
          <t>Tizzie Robinson-Gordon</t>
        </is>
      </c>
      <c r="C399" t="inlineStr">
        <is>
          <t>Avid Sport</t>
        </is>
      </c>
      <c r="D399" t="inlineStr">
        <is>
          <t>1</t>
        </is>
      </c>
      <c r="E399">
        <f>HYPERLINK("https://www.britishcycling.org.uk/points?person_id=1019675&amp;year=2022&amp;type=national&amp;d=6","Results")</f>
        <v/>
      </c>
    </row>
    <row r="400">
      <c r="A400" t="inlineStr">
        <is>
          <t>399</t>
        </is>
      </c>
      <c r="B400" t="inlineStr">
        <is>
          <t>Alison Taylor</t>
        </is>
      </c>
      <c r="C400" t="inlineStr">
        <is>
          <t>Shibden Cycling Club</t>
        </is>
      </c>
      <c r="D400" t="inlineStr">
        <is>
          <t>1</t>
        </is>
      </c>
      <c r="E400">
        <f>HYPERLINK("https://www.britishcycling.org.uk/points?person_id=986885&amp;year=2022&amp;type=national&amp;d=6","Results")</f>
        <v/>
      </c>
    </row>
    <row r="401">
      <c r="A401" t="inlineStr">
        <is>
          <t>400</t>
        </is>
      </c>
      <c r="B401" t="inlineStr">
        <is>
          <t>Maria Weymouth</t>
        </is>
      </c>
      <c r="C401" t="inlineStr">
        <is>
          <t>Mid Devon CC</t>
        </is>
      </c>
      <c r="D401" t="inlineStr">
        <is>
          <t>1</t>
        </is>
      </c>
      <c r="E401">
        <f>HYPERLINK("https://www.britishcycling.org.uk/points?person_id=310708&amp;year=2022&amp;type=national&amp;d=6","Results")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Ceris Styler</t>
        </is>
      </c>
      <c r="C2" t="inlineStr">
        <is>
          <t>Backstedt Bike Performance RC</t>
        </is>
      </c>
      <c r="D2" t="inlineStr">
        <is>
          <t>316</t>
        </is>
      </c>
      <c r="E2">
        <f>HYPERLINK("https://www.britishcycling.org.uk/points?person_id=3867&amp;year=2022&amp;type=national&amp;d=6","Results")</f>
        <v/>
      </c>
    </row>
    <row r="3">
      <c r="A3" t="inlineStr">
        <is>
          <t>2</t>
        </is>
      </c>
      <c r="B3" t="inlineStr">
        <is>
          <t>Alison Kinloch</t>
        </is>
      </c>
      <c r="C3" t="inlineStr">
        <is>
          <t>Shibden Cycling Club</t>
        </is>
      </c>
      <c r="D3" t="inlineStr">
        <is>
          <t>206</t>
        </is>
      </c>
      <c r="E3">
        <f>HYPERLINK("https://www.britishcycling.org.uk/points?person_id=180763&amp;year=2022&amp;type=national&amp;d=6","Results")</f>
        <v/>
      </c>
    </row>
    <row r="4">
      <c r="A4" t="inlineStr">
        <is>
          <t>3</t>
        </is>
      </c>
      <c r="B4" t="inlineStr">
        <is>
          <t>Kate Robson</t>
        </is>
      </c>
      <c r="C4" t="inlineStr">
        <is>
          <t>Pedalon.co.uk</t>
        </is>
      </c>
      <c r="D4" t="inlineStr">
        <is>
          <t>201</t>
        </is>
      </c>
      <c r="E4">
        <f>HYPERLINK("https://www.britishcycling.org.uk/points?person_id=614714&amp;year=2022&amp;type=national&amp;d=6","Results")</f>
        <v/>
      </c>
    </row>
    <row r="5">
      <c r="A5" t="inlineStr">
        <is>
          <t>4</t>
        </is>
      </c>
      <c r="B5" t="inlineStr">
        <is>
          <t>Fran Whyte</t>
        </is>
      </c>
      <c r="C5" t="inlineStr">
        <is>
          <t>Bicester Millennium CC</t>
        </is>
      </c>
      <c r="D5" t="inlineStr">
        <is>
          <t>158</t>
        </is>
      </c>
      <c r="E5">
        <f>HYPERLINK("https://www.britishcycling.org.uk/points?person_id=262068&amp;year=2022&amp;type=national&amp;d=6","Results")</f>
        <v/>
      </c>
    </row>
    <row r="6">
      <c r="A6" t="inlineStr">
        <is>
          <t>5</t>
        </is>
      </c>
      <c r="B6" t="inlineStr">
        <is>
          <t>Sian Tovey</t>
        </is>
      </c>
      <c r="C6" t="inlineStr"/>
      <c r="D6" t="inlineStr">
        <is>
          <t>140</t>
        </is>
      </c>
      <c r="E6">
        <f>HYPERLINK("https://www.britishcycling.org.uk/points?person_id=71413&amp;year=2022&amp;type=national&amp;d=6","Results")</f>
        <v/>
      </c>
    </row>
    <row r="7">
      <c r="A7" t="inlineStr">
        <is>
          <t>6</t>
        </is>
      </c>
      <c r="B7" t="inlineStr">
        <is>
          <t>Helen Jackson</t>
        </is>
      </c>
      <c r="C7" t="inlineStr">
        <is>
          <t>Kendal Cycle Club</t>
        </is>
      </c>
      <c r="D7" t="inlineStr">
        <is>
          <t>123</t>
        </is>
      </c>
      <c r="E7">
        <f>HYPERLINK("https://www.britishcycling.org.uk/points?person_id=74479&amp;year=2022&amp;type=national&amp;d=6","Results")</f>
        <v/>
      </c>
    </row>
    <row r="8">
      <c r="A8" t="inlineStr">
        <is>
          <t>7</t>
        </is>
      </c>
      <c r="B8" t="inlineStr">
        <is>
          <t>Caroline Reuter</t>
        </is>
      </c>
      <c r="C8" t="inlineStr">
        <is>
          <t>Dulwich Paragon CC</t>
        </is>
      </c>
      <c r="D8" t="inlineStr">
        <is>
          <t>117</t>
        </is>
      </c>
      <c r="E8">
        <f>HYPERLINK("https://www.britishcycling.org.uk/points?person_id=387547&amp;year=2022&amp;type=national&amp;d=6","Results")</f>
        <v/>
      </c>
    </row>
    <row r="9">
      <c r="A9" t="inlineStr">
        <is>
          <t>8</t>
        </is>
      </c>
      <c r="B9" t="inlineStr">
        <is>
          <t>Kate Eedy</t>
        </is>
      </c>
      <c r="C9" t="inlineStr">
        <is>
          <t>Team Empella Cyclo-Cross.Com</t>
        </is>
      </c>
      <c r="D9" t="inlineStr">
        <is>
          <t>110</t>
        </is>
      </c>
      <c r="E9">
        <f>HYPERLINK("https://www.britishcycling.org.uk/points?person_id=23987&amp;year=2022&amp;type=national&amp;d=6","Results")</f>
        <v/>
      </c>
    </row>
    <row r="10">
      <c r="A10" t="inlineStr">
        <is>
          <t>9</t>
        </is>
      </c>
      <c r="B10" t="inlineStr">
        <is>
          <t>Deborah Smith</t>
        </is>
      </c>
      <c r="C10" t="inlineStr">
        <is>
          <t>Nova Race Team</t>
        </is>
      </c>
      <c r="D10" t="inlineStr">
        <is>
          <t>109</t>
        </is>
      </c>
      <c r="E10">
        <f>HYPERLINK("https://www.britishcycling.org.uk/points?person_id=643247&amp;year=2022&amp;type=national&amp;d=6","Results")</f>
        <v/>
      </c>
    </row>
    <row r="11">
      <c r="A11" t="inlineStr">
        <is>
          <t>10</t>
        </is>
      </c>
      <c r="B11" t="inlineStr">
        <is>
          <t>Lucy Siddle</t>
        </is>
      </c>
      <c r="C11" t="inlineStr">
        <is>
          <t>Reifen Racing</t>
        </is>
      </c>
      <c r="D11" t="inlineStr">
        <is>
          <t>106</t>
        </is>
      </c>
      <c r="E11">
        <f>HYPERLINK("https://www.britishcycling.org.uk/points?person_id=400718&amp;year=2022&amp;type=national&amp;d=6","Results")</f>
        <v/>
      </c>
    </row>
    <row r="12">
      <c r="A12" t="inlineStr">
        <is>
          <t>11</t>
        </is>
      </c>
      <c r="B12" t="inlineStr">
        <is>
          <t>Tracy Bremner</t>
        </is>
      </c>
      <c r="C12" t="inlineStr">
        <is>
          <t>Pedalon.co.uk</t>
        </is>
      </c>
      <c r="D12" t="inlineStr">
        <is>
          <t>105</t>
        </is>
      </c>
      <c r="E12">
        <f>HYPERLINK("https://www.britishcycling.org.uk/points?person_id=336093&amp;year=2022&amp;type=national&amp;d=6","Results")</f>
        <v/>
      </c>
    </row>
    <row r="13">
      <c r="A13" t="inlineStr">
        <is>
          <t>12</t>
        </is>
      </c>
      <c r="B13" t="inlineStr">
        <is>
          <t>Caroline Goward</t>
        </is>
      </c>
      <c r="C13" t="inlineStr">
        <is>
          <t>GS Vecchi</t>
        </is>
      </c>
      <c r="D13" t="inlineStr">
        <is>
          <t>103</t>
        </is>
      </c>
      <c r="E13">
        <f>HYPERLINK("https://www.britishcycling.org.uk/points?person_id=41795&amp;year=2022&amp;type=national&amp;d=6","Results")</f>
        <v/>
      </c>
    </row>
    <row r="14">
      <c r="A14" t="inlineStr">
        <is>
          <t>13</t>
        </is>
      </c>
      <c r="B14" t="inlineStr">
        <is>
          <t>Gail Dillon</t>
        </is>
      </c>
      <c r="C14" t="inlineStr">
        <is>
          <t>Shibden Cycling Club</t>
        </is>
      </c>
      <c r="D14" t="inlineStr">
        <is>
          <t>99</t>
        </is>
      </c>
      <c r="E14">
        <f>HYPERLINK("https://www.britishcycling.org.uk/points?person_id=1025023&amp;year=2022&amp;type=national&amp;d=6","Results")</f>
        <v/>
      </c>
    </row>
    <row r="15">
      <c r="A15" t="inlineStr">
        <is>
          <t>14</t>
        </is>
      </c>
      <c r="B15" t="inlineStr">
        <is>
          <t>Verity Appleyard</t>
        </is>
      </c>
      <c r="C15" t="inlineStr">
        <is>
          <t>Velo Fixers</t>
        </is>
      </c>
      <c r="D15" t="inlineStr">
        <is>
          <t>95</t>
        </is>
      </c>
      <c r="E15">
        <f>HYPERLINK("https://www.britishcycling.org.uk/points?person_id=72717&amp;year=2022&amp;type=national&amp;d=6","Results")</f>
        <v/>
      </c>
    </row>
    <row r="16">
      <c r="A16" t="inlineStr">
        <is>
          <t>15</t>
        </is>
      </c>
      <c r="B16" t="inlineStr">
        <is>
          <t>Madeleine Pope</t>
        </is>
      </c>
      <c r="C16" t="inlineStr">
        <is>
          <t>Hors Catégorie (HC)</t>
        </is>
      </c>
      <c r="D16" t="inlineStr">
        <is>
          <t>93</t>
        </is>
      </c>
      <c r="E16">
        <f>HYPERLINK("https://www.britishcycling.org.uk/points?person_id=6793&amp;year=2022&amp;type=national&amp;d=6","Results")</f>
        <v/>
      </c>
    </row>
    <row r="17">
      <c r="A17" t="inlineStr">
        <is>
          <t>16</t>
        </is>
      </c>
      <c r="B17" t="inlineStr">
        <is>
          <t>Davina McLelland</t>
        </is>
      </c>
      <c r="C17" t="inlineStr"/>
      <c r="D17" t="inlineStr">
        <is>
          <t>88</t>
        </is>
      </c>
      <c r="E17">
        <f>HYPERLINK("https://www.britishcycling.org.uk/points?person_id=1043010&amp;year=2022&amp;type=national&amp;d=6","Results")</f>
        <v/>
      </c>
    </row>
    <row r="18">
      <c r="A18" t="inlineStr">
        <is>
          <t>17</t>
        </is>
      </c>
      <c r="B18" t="inlineStr">
        <is>
          <t>Karen Heppenstall</t>
        </is>
      </c>
      <c r="C18" t="inlineStr"/>
      <c r="D18" t="inlineStr">
        <is>
          <t>82</t>
        </is>
      </c>
      <c r="E18">
        <f>HYPERLINK("https://www.britishcycling.org.uk/points?person_id=116361&amp;year=2022&amp;type=national&amp;d=6","Results")</f>
        <v/>
      </c>
    </row>
    <row r="19">
      <c r="A19" t="inlineStr">
        <is>
          <t>18</t>
        </is>
      </c>
      <c r="B19" t="inlineStr">
        <is>
          <t>Natalie Jenks</t>
        </is>
      </c>
      <c r="C19" t="inlineStr">
        <is>
          <t>Magspeed Racing</t>
        </is>
      </c>
      <c r="D19" t="inlineStr">
        <is>
          <t>82</t>
        </is>
      </c>
      <c r="E19">
        <f>HYPERLINK("https://www.britishcycling.org.uk/points?person_id=870930&amp;year=2022&amp;type=national&amp;d=6","Results")</f>
        <v/>
      </c>
    </row>
    <row r="20">
      <c r="A20" t="inlineStr">
        <is>
          <t>19</t>
        </is>
      </c>
      <c r="B20" t="inlineStr">
        <is>
          <t>Donna Short</t>
        </is>
      </c>
      <c r="C20" t="inlineStr">
        <is>
          <t>Cotswold Veldrijden</t>
        </is>
      </c>
      <c r="D20" t="inlineStr">
        <is>
          <t>79</t>
        </is>
      </c>
      <c r="E20">
        <f>HYPERLINK("https://www.britishcycling.org.uk/points?person_id=98988&amp;year=2022&amp;type=national&amp;d=6","Results")</f>
        <v/>
      </c>
    </row>
    <row r="21">
      <c r="A21" t="inlineStr">
        <is>
          <t>20</t>
        </is>
      </c>
      <c r="B21" t="inlineStr">
        <is>
          <t>Lydia Brookes</t>
        </is>
      </c>
      <c r="C21" t="inlineStr">
        <is>
          <t>Les Filles Racing Team</t>
        </is>
      </c>
      <c r="D21" t="inlineStr">
        <is>
          <t>77</t>
        </is>
      </c>
      <c r="E21">
        <f>HYPERLINK("https://www.britishcycling.org.uk/points?person_id=272508&amp;year=2022&amp;type=national&amp;d=6","Results")</f>
        <v/>
      </c>
    </row>
    <row r="22">
      <c r="A22" t="inlineStr">
        <is>
          <t>21</t>
        </is>
      </c>
      <c r="B22" t="inlineStr">
        <is>
          <t>Donna Goodwin</t>
        </is>
      </c>
      <c r="C22" t="inlineStr">
        <is>
          <t>Louth Cycle Centre RT</t>
        </is>
      </c>
      <c r="D22" t="inlineStr">
        <is>
          <t>74</t>
        </is>
      </c>
      <c r="E22">
        <f>HYPERLINK("https://www.britishcycling.org.uk/points?person_id=423791&amp;year=2022&amp;type=national&amp;d=6","Results")</f>
        <v/>
      </c>
    </row>
    <row r="23">
      <c r="A23" t="inlineStr">
        <is>
          <t>22</t>
        </is>
      </c>
      <c r="B23" t="inlineStr">
        <is>
          <t>Victoria Strila</t>
        </is>
      </c>
      <c r="C23" t="inlineStr">
        <is>
          <t>Quick Release Cycling Club</t>
        </is>
      </c>
      <c r="D23" t="inlineStr">
        <is>
          <t>71</t>
        </is>
      </c>
      <c r="E23">
        <f>HYPERLINK("https://www.britishcycling.org.uk/points?person_id=202214&amp;year=2022&amp;type=national&amp;d=6","Results")</f>
        <v/>
      </c>
    </row>
    <row r="24">
      <c r="A24" t="inlineStr">
        <is>
          <t>23</t>
        </is>
      </c>
      <c r="B24" t="inlineStr">
        <is>
          <t>Debbie Bradley</t>
        </is>
      </c>
      <c r="C24" t="inlineStr">
        <is>
          <t>Peddlamaniacs Cycle Club</t>
        </is>
      </c>
      <c r="D24" t="inlineStr">
        <is>
          <t>68</t>
        </is>
      </c>
      <c r="E24">
        <f>HYPERLINK("https://www.britishcycling.org.uk/points?person_id=755088&amp;year=2022&amp;type=national&amp;d=6","Results")</f>
        <v/>
      </c>
    </row>
    <row r="25">
      <c r="A25" t="inlineStr">
        <is>
          <t>24</t>
        </is>
      </c>
      <c r="B25" t="inlineStr">
        <is>
          <t>Jennifer Andrews</t>
        </is>
      </c>
      <c r="C25" t="inlineStr">
        <is>
          <t>Cycle Club Ashwell (CCA)</t>
        </is>
      </c>
      <c r="D25" t="inlineStr">
        <is>
          <t>66</t>
        </is>
      </c>
      <c r="E25">
        <f>HYPERLINK("https://www.britishcycling.org.uk/points?person_id=439182&amp;year=2022&amp;type=national&amp;d=6","Results")</f>
        <v/>
      </c>
    </row>
    <row r="26">
      <c r="A26" t="inlineStr">
        <is>
          <t>25</t>
        </is>
      </c>
      <c r="B26" t="inlineStr">
        <is>
          <t>Ailsa Curtis</t>
        </is>
      </c>
      <c r="C26" t="inlineStr">
        <is>
          <t>West Lothian Clarion CC</t>
        </is>
      </c>
      <c r="D26" t="inlineStr">
        <is>
          <t>65</t>
        </is>
      </c>
      <c r="E26">
        <f>HYPERLINK("https://www.britishcycling.org.uk/points?person_id=75525&amp;year=2022&amp;type=national&amp;d=6","Results")</f>
        <v/>
      </c>
    </row>
    <row r="27">
      <c r="A27" t="inlineStr">
        <is>
          <t>26</t>
        </is>
      </c>
      <c r="B27" t="inlineStr">
        <is>
          <t>Rowena Duffield</t>
        </is>
      </c>
      <c r="C27" t="inlineStr">
        <is>
          <t>Cwmcarn Paragon Cycling Club</t>
        </is>
      </c>
      <c r="D27" t="inlineStr">
        <is>
          <t>65</t>
        </is>
      </c>
      <c r="E27">
        <f>HYPERLINK("https://www.britishcycling.org.uk/points?person_id=731423&amp;year=2022&amp;type=national&amp;d=6","Results")</f>
        <v/>
      </c>
    </row>
    <row r="28">
      <c r="A28" t="inlineStr">
        <is>
          <t>27</t>
        </is>
      </c>
      <c r="B28" t="inlineStr">
        <is>
          <t>Melanie Annable</t>
        </is>
      </c>
      <c r="C28" t="inlineStr">
        <is>
          <t>Allen Valley Velo</t>
        </is>
      </c>
      <c r="D28" t="inlineStr">
        <is>
          <t>63</t>
        </is>
      </c>
      <c r="E28">
        <f>HYPERLINK("https://www.britishcycling.org.uk/points?person_id=527440&amp;year=2022&amp;type=national&amp;d=6","Results")</f>
        <v/>
      </c>
    </row>
    <row r="29">
      <c r="A29" t="inlineStr">
        <is>
          <t>28</t>
        </is>
      </c>
      <c r="B29" t="inlineStr">
        <is>
          <t>Lynsey Whitley</t>
        </is>
      </c>
      <c r="C29" t="inlineStr">
        <is>
          <t>Chester RC</t>
        </is>
      </c>
      <c r="D29" t="inlineStr">
        <is>
          <t>63</t>
        </is>
      </c>
      <c r="E29">
        <f>HYPERLINK("https://www.britishcycling.org.uk/points?person_id=411912&amp;year=2022&amp;type=national&amp;d=6","Results")</f>
        <v/>
      </c>
    </row>
    <row r="30">
      <c r="A30" t="inlineStr">
        <is>
          <t>29</t>
        </is>
      </c>
      <c r="B30" t="inlineStr">
        <is>
          <t>Michelle Paget</t>
        </is>
      </c>
      <c r="C30" t="inlineStr">
        <is>
          <t>Peddlamaniacs Cycle Club</t>
        </is>
      </c>
      <c r="D30" t="inlineStr">
        <is>
          <t>60</t>
        </is>
      </c>
      <c r="E30">
        <f>HYPERLINK("https://www.britishcycling.org.uk/points?person_id=98016&amp;year=2022&amp;type=national&amp;d=6","Results")</f>
        <v/>
      </c>
    </row>
    <row r="31">
      <c r="A31" t="inlineStr">
        <is>
          <t>30</t>
        </is>
      </c>
      <c r="B31" t="inlineStr">
        <is>
          <t>Jaime Nicholson</t>
        </is>
      </c>
      <c r="C31" t="inlineStr">
        <is>
          <t>Hoddom Velo</t>
        </is>
      </c>
      <c r="D31" t="inlineStr">
        <is>
          <t>56</t>
        </is>
      </c>
      <c r="E31">
        <f>HYPERLINK("https://www.britishcycling.org.uk/points?person_id=359776&amp;year=2022&amp;type=national&amp;d=6","Results")</f>
        <v/>
      </c>
    </row>
    <row r="32">
      <c r="A32" t="inlineStr">
        <is>
          <t>31</t>
        </is>
      </c>
      <c r="B32" t="inlineStr">
        <is>
          <t>Helen Hutchinson</t>
        </is>
      </c>
      <c r="C32" t="inlineStr">
        <is>
          <t>Derby Mercury RC</t>
        </is>
      </c>
      <c r="D32" t="inlineStr">
        <is>
          <t>55</t>
        </is>
      </c>
      <c r="E32">
        <f>HYPERLINK("https://www.britishcycling.org.uk/points?person_id=425602&amp;year=2022&amp;type=national&amp;d=6","Results")</f>
        <v/>
      </c>
    </row>
    <row r="33">
      <c r="A33" t="inlineStr">
        <is>
          <t>32</t>
        </is>
      </c>
      <c r="B33" t="inlineStr">
        <is>
          <t>Rachel Dunn</t>
        </is>
      </c>
      <c r="C33" t="inlineStr">
        <is>
          <t>Verulam - reallymoving.com</t>
        </is>
      </c>
      <c r="D33" t="inlineStr">
        <is>
          <t>51</t>
        </is>
      </c>
      <c r="E33">
        <f>HYPERLINK("https://www.britishcycling.org.uk/points?person_id=377653&amp;year=2022&amp;type=national&amp;d=6","Results")</f>
        <v/>
      </c>
    </row>
    <row r="34">
      <c r="A34" t="inlineStr">
        <is>
          <t>33</t>
        </is>
      </c>
      <c r="B34" t="inlineStr">
        <is>
          <t>Nadine Thomas</t>
        </is>
      </c>
      <c r="C34" t="inlineStr">
        <is>
          <t>INFLITE</t>
        </is>
      </c>
      <c r="D34" t="inlineStr">
        <is>
          <t>51</t>
        </is>
      </c>
      <c r="E34">
        <f>HYPERLINK("https://www.britishcycling.org.uk/points?person_id=332931&amp;year=2022&amp;type=national&amp;d=6","Results")</f>
        <v/>
      </c>
    </row>
    <row r="35">
      <c r="A35" t="inlineStr">
        <is>
          <t>34</t>
        </is>
      </c>
      <c r="B35" t="inlineStr">
        <is>
          <t>Laura Lawson</t>
        </is>
      </c>
      <c r="C35" t="inlineStr">
        <is>
          <t>Velobants.cc</t>
        </is>
      </c>
      <c r="D35" t="inlineStr">
        <is>
          <t>50</t>
        </is>
      </c>
      <c r="E35">
        <f>HYPERLINK("https://www.britishcycling.org.uk/points?person_id=130359&amp;year=2022&amp;type=national&amp;d=6","Results")</f>
        <v/>
      </c>
    </row>
    <row r="36">
      <c r="A36" t="inlineStr">
        <is>
          <t>35</t>
        </is>
      </c>
      <c r="B36" t="inlineStr">
        <is>
          <t>Zofia Lisowski</t>
        </is>
      </c>
      <c r="C36" t="inlineStr">
        <is>
          <t>Peebles CC</t>
        </is>
      </c>
      <c r="D36" t="inlineStr">
        <is>
          <t>50</t>
        </is>
      </c>
      <c r="E36">
        <f>HYPERLINK("https://www.britishcycling.org.uk/points?person_id=1032701&amp;year=2022&amp;type=national&amp;d=6","Results")</f>
        <v/>
      </c>
    </row>
    <row r="37">
      <c r="A37" t="inlineStr">
        <is>
          <t>36</t>
        </is>
      </c>
      <c r="B37" t="inlineStr">
        <is>
          <t>Natalie Smith</t>
        </is>
      </c>
      <c r="C37" t="inlineStr">
        <is>
          <t>ROTOR Race Team</t>
        </is>
      </c>
      <c r="D37" t="inlineStr">
        <is>
          <t>49</t>
        </is>
      </c>
      <c r="E37">
        <f>HYPERLINK("https://www.britishcycling.org.uk/points?person_id=870268&amp;year=2022&amp;type=national&amp;d=6","Results")</f>
        <v/>
      </c>
    </row>
    <row r="38">
      <c r="A38" t="inlineStr">
        <is>
          <t>37</t>
        </is>
      </c>
      <c r="B38" t="inlineStr">
        <is>
          <t>Rosalind Willicombe</t>
        </is>
      </c>
      <c r="C38" t="inlineStr"/>
      <c r="D38" t="inlineStr">
        <is>
          <t>49</t>
        </is>
      </c>
      <c r="E38">
        <f>HYPERLINK("https://www.britishcycling.org.uk/points?person_id=108088&amp;year=2022&amp;type=national&amp;d=6","Results")</f>
        <v/>
      </c>
    </row>
    <row r="39">
      <c r="A39" t="inlineStr">
        <is>
          <t>38</t>
        </is>
      </c>
      <c r="B39" t="inlineStr">
        <is>
          <t>Cliodhna Kennedy</t>
        </is>
      </c>
      <c r="C39" t="inlineStr">
        <is>
          <t>Reading CC</t>
        </is>
      </c>
      <c r="D39" t="inlineStr">
        <is>
          <t>43</t>
        </is>
      </c>
      <c r="E39">
        <f>HYPERLINK("https://www.britishcycling.org.uk/points?person_id=771275&amp;year=2022&amp;type=national&amp;d=6","Results")</f>
        <v/>
      </c>
    </row>
    <row r="40">
      <c r="A40" t="inlineStr">
        <is>
          <t>39</t>
        </is>
      </c>
      <c r="B40" t="inlineStr">
        <is>
          <t>Nikola Matthews</t>
        </is>
      </c>
      <c r="C40" t="inlineStr">
        <is>
          <t>Shibden Cycling Club</t>
        </is>
      </c>
      <c r="D40" t="inlineStr">
        <is>
          <t>43</t>
        </is>
      </c>
      <c r="E40">
        <f>HYPERLINK("https://www.britishcycling.org.uk/points?person_id=104952&amp;year=2022&amp;type=national&amp;d=6","Results")</f>
        <v/>
      </c>
    </row>
    <row r="41">
      <c r="A41" t="inlineStr">
        <is>
          <t>40</t>
        </is>
      </c>
      <c r="B41" t="inlineStr">
        <is>
          <t>Ailsa Neely</t>
        </is>
      </c>
      <c r="C41" t="inlineStr">
        <is>
          <t>Solihull CC</t>
        </is>
      </c>
      <c r="D41" t="inlineStr">
        <is>
          <t>42</t>
        </is>
      </c>
      <c r="E41">
        <f>HYPERLINK("https://www.britishcycling.org.uk/points?person_id=660755&amp;year=2022&amp;type=national&amp;d=6","Results")</f>
        <v/>
      </c>
    </row>
    <row r="42">
      <c r="A42" t="inlineStr">
        <is>
          <t>41</t>
        </is>
      </c>
      <c r="B42" t="inlineStr">
        <is>
          <t>Caroline Cunningham</t>
        </is>
      </c>
      <c r="C42" t="inlineStr">
        <is>
          <t>North Tyneside Riders</t>
        </is>
      </c>
      <c r="D42" t="inlineStr">
        <is>
          <t>41</t>
        </is>
      </c>
      <c r="E42">
        <f>HYPERLINK("https://www.britishcycling.org.uk/points?person_id=524130&amp;year=2022&amp;type=national&amp;d=6","Results")</f>
        <v/>
      </c>
    </row>
    <row r="43">
      <c r="A43" t="inlineStr">
        <is>
          <t>42</t>
        </is>
      </c>
      <c r="B43" t="inlineStr">
        <is>
          <t>Becky Robertson</t>
        </is>
      </c>
      <c r="C43" t="inlineStr">
        <is>
          <t>Epic Orange Race Team</t>
        </is>
      </c>
      <c r="D43" t="inlineStr">
        <is>
          <t>38</t>
        </is>
      </c>
      <c r="E43">
        <f>HYPERLINK("https://www.britishcycling.org.uk/points?person_id=750254&amp;year=2022&amp;type=national&amp;d=6","Results")</f>
        <v/>
      </c>
    </row>
    <row r="44">
      <c r="A44" t="inlineStr">
        <is>
          <t>43</t>
        </is>
      </c>
      <c r="B44" t="inlineStr">
        <is>
          <t>Lisa Chapman</t>
        </is>
      </c>
      <c r="C44" t="inlineStr">
        <is>
          <t>Somerset Road Club</t>
        </is>
      </c>
      <c r="D44" t="inlineStr">
        <is>
          <t>36</t>
        </is>
      </c>
      <c r="E44">
        <f>HYPERLINK("https://www.britishcycling.org.uk/points?person_id=650559&amp;year=2022&amp;type=national&amp;d=6","Results")</f>
        <v/>
      </c>
    </row>
    <row r="45">
      <c r="A45" t="inlineStr">
        <is>
          <t>44</t>
        </is>
      </c>
      <c r="B45" t="inlineStr">
        <is>
          <t>Lucy Williams</t>
        </is>
      </c>
      <c r="C45" t="inlineStr">
        <is>
          <t>Crawley Wheelers Race Team</t>
        </is>
      </c>
      <c r="D45" t="inlineStr">
        <is>
          <t>35</t>
        </is>
      </c>
      <c r="E45">
        <f>HYPERLINK("https://www.britishcycling.org.uk/points?person_id=676225&amp;year=2022&amp;type=national&amp;d=6","Results")</f>
        <v/>
      </c>
    </row>
    <row r="46">
      <c r="A46" t="inlineStr">
        <is>
          <t>45</t>
        </is>
      </c>
      <c r="B46" t="inlineStr">
        <is>
          <t>Sophie Halhead</t>
        </is>
      </c>
      <c r="C46" t="inlineStr"/>
      <c r="D46" t="inlineStr">
        <is>
          <t>33</t>
        </is>
      </c>
      <c r="E46">
        <f>HYPERLINK("https://www.britishcycling.org.uk/points?person_id=545991&amp;year=2022&amp;type=national&amp;d=6","Results")</f>
        <v/>
      </c>
    </row>
    <row r="47">
      <c r="A47" t="inlineStr">
        <is>
          <t>46</t>
        </is>
      </c>
      <c r="B47" t="inlineStr">
        <is>
          <t>Nicola Bishop</t>
        </is>
      </c>
      <c r="C47" t="inlineStr"/>
      <c r="D47" t="inlineStr">
        <is>
          <t>32</t>
        </is>
      </c>
      <c r="E47">
        <f>HYPERLINK("https://www.britishcycling.org.uk/points?person_id=1033350&amp;year=2022&amp;type=national&amp;d=6","Results")</f>
        <v/>
      </c>
    </row>
    <row r="48">
      <c r="A48" t="inlineStr">
        <is>
          <t>47</t>
        </is>
      </c>
      <c r="B48" t="inlineStr">
        <is>
          <t>Marie Meldrum</t>
        </is>
      </c>
      <c r="C48" t="inlineStr">
        <is>
          <t>Nevis Cycles Racing Team</t>
        </is>
      </c>
      <c r="D48" t="inlineStr">
        <is>
          <t>32</t>
        </is>
      </c>
      <c r="E48">
        <f>HYPERLINK("https://www.britishcycling.org.uk/points?person_id=266383&amp;year=2022&amp;type=national&amp;d=6","Results")</f>
        <v/>
      </c>
    </row>
    <row r="49">
      <c r="A49" t="inlineStr">
        <is>
          <t>48</t>
        </is>
      </c>
      <c r="B49" t="inlineStr">
        <is>
          <t>Rachael Connall</t>
        </is>
      </c>
      <c r="C49" t="inlineStr">
        <is>
          <t>Velobants.cc</t>
        </is>
      </c>
      <c r="D49" t="inlineStr">
        <is>
          <t>30</t>
        </is>
      </c>
      <c r="E49">
        <f>HYPERLINK("https://www.britishcycling.org.uk/points?person_id=737066&amp;year=2022&amp;type=national&amp;d=6","Results")</f>
        <v/>
      </c>
    </row>
    <row r="50">
      <c r="A50" t="inlineStr">
        <is>
          <t>49</t>
        </is>
      </c>
      <c r="B50" t="inlineStr">
        <is>
          <t>Steph Rorke</t>
        </is>
      </c>
      <c r="C50" t="inlineStr">
        <is>
          <t>Peebles CC</t>
        </is>
      </c>
      <c r="D50" t="inlineStr">
        <is>
          <t>29</t>
        </is>
      </c>
      <c r="E50">
        <f>HYPERLINK("https://www.britishcycling.org.uk/points?person_id=847627&amp;year=2022&amp;type=national&amp;d=6","Results")</f>
        <v/>
      </c>
    </row>
    <row r="51">
      <c r="A51" t="inlineStr">
        <is>
          <t>50</t>
        </is>
      </c>
      <c r="B51" t="inlineStr">
        <is>
          <t>Suzanne Warren</t>
        </is>
      </c>
      <c r="C51" t="inlineStr">
        <is>
          <t>Cardiff Ajax CC</t>
        </is>
      </c>
      <c r="D51" t="inlineStr">
        <is>
          <t>29</t>
        </is>
      </c>
      <c r="E51">
        <f>HYPERLINK("https://www.britishcycling.org.uk/points?person_id=105889&amp;year=2022&amp;type=national&amp;d=6","Results")</f>
        <v/>
      </c>
    </row>
    <row r="52">
      <c r="A52" t="inlineStr">
        <is>
          <t>51</t>
        </is>
      </c>
      <c r="B52" t="inlineStr">
        <is>
          <t>Denise Burrows</t>
        </is>
      </c>
      <c r="C52" t="inlineStr"/>
      <c r="D52" t="inlineStr">
        <is>
          <t>28</t>
        </is>
      </c>
      <c r="E52">
        <f>HYPERLINK("https://www.britishcycling.org.uk/points?person_id=399906&amp;year=2022&amp;type=national&amp;d=6","Results")</f>
        <v/>
      </c>
    </row>
    <row r="53">
      <c r="A53" t="inlineStr">
        <is>
          <t>52</t>
        </is>
      </c>
      <c r="B53" t="inlineStr">
        <is>
          <t>Kelly Wilby</t>
        </is>
      </c>
      <c r="C53" t="inlineStr">
        <is>
          <t>Shibden Cycling Club</t>
        </is>
      </c>
      <c r="D53" t="inlineStr">
        <is>
          <t>26</t>
        </is>
      </c>
      <c r="E53">
        <f>HYPERLINK("https://www.britishcycling.org.uk/points?person_id=1050312&amp;year=2022&amp;type=national&amp;d=6","Results")</f>
        <v/>
      </c>
    </row>
    <row r="54">
      <c r="A54" t="inlineStr">
        <is>
          <t>53</t>
        </is>
      </c>
      <c r="B54" t="inlineStr">
        <is>
          <t>Emma Bexson</t>
        </is>
      </c>
      <c r="C54" t="inlineStr">
        <is>
          <t>Stratford CC</t>
        </is>
      </c>
      <c r="D54" t="inlineStr">
        <is>
          <t>24</t>
        </is>
      </c>
      <c r="E54">
        <f>HYPERLINK("https://www.britishcycling.org.uk/points?person_id=189726&amp;year=2022&amp;type=national&amp;d=6","Results")</f>
        <v/>
      </c>
    </row>
    <row r="55">
      <c r="A55" t="inlineStr">
        <is>
          <t>54</t>
        </is>
      </c>
      <c r="B55" t="inlineStr">
        <is>
          <t>Roslynn Newman</t>
        </is>
      </c>
      <c r="C55" t="inlineStr">
        <is>
          <t>Edinburgh RC</t>
        </is>
      </c>
      <c r="D55" t="inlineStr">
        <is>
          <t>24</t>
        </is>
      </c>
      <c r="E55">
        <f>HYPERLINK("https://www.britishcycling.org.uk/points?person_id=169275&amp;year=2022&amp;type=national&amp;d=6","Results")</f>
        <v/>
      </c>
    </row>
    <row r="56">
      <c r="A56" t="inlineStr">
        <is>
          <t>55</t>
        </is>
      </c>
      <c r="B56" t="inlineStr">
        <is>
          <t>Sasha Smith</t>
        </is>
      </c>
      <c r="C56" t="inlineStr">
        <is>
          <t>FTP-Fulfil The Potential-Racing</t>
        </is>
      </c>
      <c r="D56" t="inlineStr">
        <is>
          <t>24</t>
        </is>
      </c>
      <c r="E56">
        <f>HYPERLINK("https://www.britishcycling.org.uk/points?person_id=557911&amp;year=2022&amp;type=national&amp;d=6","Results")</f>
        <v/>
      </c>
    </row>
    <row r="57">
      <c r="A57" t="inlineStr">
        <is>
          <t>56</t>
        </is>
      </c>
      <c r="B57" t="inlineStr">
        <is>
          <t>Janet Tait</t>
        </is>
      </c>
      <c r="C57" t="inlineStr">
        <is>
          <t>dooleys cycles</t>
        </is>
      </c>
      <c r="D57" t="inlineStr">
        <is>
          <t>22</t>
        </is>
      </c>
      <c r="E57">
        <f>HYPERLINK("https://www.britishcycling.org.uk/points?person_id=331329&amp;year=2022&amp;type=national&amp;d=6","Results")</f>
        <v/>
      </c>
    </row>
    <row r="58">
      <c r="A58" t="inlineStr">
        <is>
          <t>57</t>
        </is>
      </c>
      <c r="B58" t="inlineStr">
        <is>
          <t>Holly Jones</t>
        </is>
      </c>
      <c r="C58" t="inlineStr">
        <is>
          <t>VC Londres</t>
        </is>
      </c>
      <c r="D58" t="inlineStr">
        <is>
          <t>20</t>
        </is>
      </c>
      <c r="E58">
        <f>HYPERLINK("https://www.britishcycling.org.uk/points?person_id=498608&amp;year=2022&amp;type=national&amp;d=6","Results")</f>
        <v/>
      </c>
    </row>
    <row r="59">
      <c r="A59" t="inlineStr">
        <is>
          <t>58</t>
        </is>
      </c>
      <c r="B59" t="inlineStr">
        <is>
          <t>Tracy Henderson</t>
        </is>
      </c>
      <c r="C59" t="inlineStr"/>
      <c r="D59" t="inlineStr">
        <is>
          <t>17</t>
        </is>
      </c>
      <c r="E59">
        <f>HYPERLINK("https://www.britishcycling.org.uk/points?person_id=646606&amp;year=2022&amp;type=national&amp;d=6","Results")</f>
        <v/>
      </c>
    </row>
    <row r="60">
      <c r="A60" t="inlineStr">
        <is>
          <t>59</t>
        </is>
      </c>
      <c r="B60" t="inlineStr">
        <is>
          <t>Sandra Scally</t>
        </is>
      </c>
      <c r="C60" t="inlineStr">
        <is>
          <t>Hervelo Cycling</t>
        </is>
      </c>
      <c r="D60" t="inlineStr">
        <is>
          <t>17</t>
        </is>
      </c>
      <c r="E60">
        <f>HYPERLINK("https://www.britishcycling.org.uk/points?person_id=107945&amp;year=2022&amp;type=national&amp;d=6","Results")</f>
        <v/>
      </c>
    </row>
    <row r="61">
      <c r="A61" t="inlineStr">
        <is>
          <t>60</t>
        </is>
      </c>
      <c r="B61" t="inlineStr">
        <is>
          <t>Kirsten Cameron</t>
        </is>
      </c>
      <c r="C61" t="inlineStr">
        <is>
          <t>Team Andrew Allan Architecture</t>
        </is>
      </c>
      <c r="D61" t="inlineStr">
        <is>
          <t>16</t>
        </is>
      </c>
      <c r="E61">
        <f>HYPERLINK("https://www.britishcycling.org.uk/points?person_id=432086&amp;year=2022&amp;type=national&amp;d=6","Results")</f>
        <v/>
      </c>
    </row>
    <row r="62">
      <c r="A62" t="inlineStr">
        <is>
          <t>61</t>
        </is>
      </c>
      <c r="B62" t="inlineStr">
        <is>
          <t>Pamela Challen</t>
        </is>
      </c>
      <c r="C62" t="inlineStr">
        <is>
          <t>VC VELDRIJDEN</t>
        </is>
      </c>
      <c r="D62" t="inlineStr">
        <is>
          <t>16</t>
        </is>
      </c>
      <c r="E62">
        <f>HYPERLINK("https://www.britishcycling.org.uk/points?person_id=406992&amp;year=2022&amp;type=national&amp;d=6","Results")</f>
        <v/>
      </c>
    </row>
    <row r="63">
      <c r="A63" t="inlineStr">
        <is>
          <t>62</t>
        </is>
      </c>
      <c r="B63" t="inlineStr">
        <is>
          <t>Claire Riley</t>
        </is>
      </c>
      <c r="C63" t="inlineStr"/>
      <c r="D63" t="inlineStr">
        <is>
          <t>16</t>
        </is>
      </c>
      <c r="E63">
        <f>HYPERLINK("https://www.britishcycling.org.uk/points?person_id=169445&amp;year=2022&amp;type=national&amp;d=6","Results")</f>
        <v/>
      </c>
    </row>
    <row r="64">
      <c r="A64" t="inlineStr">
        <is>
          <t>63</t>
        </is>
      </c>
      <c r="B64" t="inlineStr">
        <is>
          <t>Olivia Campbell</t>
        </is>
      </c>
      <c r="C64" t="inlineStr">
        <is>
          <t>Dulwich Paragon CC</t>
        </is>
      </c>
      <c r="D64" t="inlineStr">
        <is>
          <t>15</t>
        </is>
      </c>
      <c r="E64">
        <f>HYPERLINK("https://www.britishcycling.org.uk/points?person_id=316710&amp;year=2022&amp;type=national&amp;d=6","Results")</f>
        <v/>
      </c>
    </row>
    <row r="65">
      <c r="A65" t="inlineStr">
        <is>
          <t>64</t>
        </is>
      </c>
      <c r="B65" t="inlineStr">
        <is>
          <t>Nicola Powell</t>
        </is>
      </c>
      <c r="C65" t="inlineStr">
        <is>
          <t>Stowmarket &amp; District CC</t>
        </is>
      </c>
      <c r="D65" t="inlineStr">
        <is>
          <t>15</t>
        </is>
      </c>
      <c r="E65">
        <f>HYPERLINK("https://www.britishcycling.org.uk/points?person_id=506772&amp;year=2022&amp;type=national&amp;d=6","Results")</f>
        <v/>
      </c>
    </row>
    <row r="66">
      <c r="A66" t="inlineStr">
        <is>
          <t>65</t>
        </is>
      </c>
      <c r="B66" t="inlineStr">
        <is>
          <t>Andrea Rodgers</t>
        </is>
      </c>
      <c r="C66" t="inlineStr">
        <is>
          <t>Norton Wheelers</t>
        </is>
      </c>
      <c r="D66" t="inlineStr">
        <is>
          <t>15</t>
        </is>
      </c>
      <c r="E66">
        <f>HYPERLINK("https://www.britishcycling.org.uk/points?person_id=20608&amp;year=2022&amp;type=national&amp;d=6","Results")</f>
        <v/>
      </c>
    </row>
    <row r="67">
      <c r="A67" t="inlineStr">
        <is>
          <t>66</t>
        </is>
      </c>
      <c r="B67" t="inlineStr">
        <is>
          <t>Ruth Gamwell</t>
        </is>
      </c>
      <c r="C67" t="inlineStr">
        <is>
          <t>Macclesfield Wheelers</t>
        </is>
      </c>
      <c r="D67" t="inlineStr">
        <is>
          <t>14</t>
        </is>
      </c>
      <c r="E67">
        <f>HYPERLINK("https://www.britishcycling.org.uk/points?person_id=37464&amp;year=2022&amp;type=national&amp;d=6","Results")</f>
        <v/>
      </c>
    </row>
    <row r="68">
      <c r="A68" t="inlineStr">
        <is>
          <t>67</t>
        </is>
      </c>
      <c r="B68" t="inlineStr">
        <is>
          <t>Joanne Howes</t>
        </is>
      </c>
      <c r="C68" t="inlineStr">
        <is>
          <t>Sleaford Wheelers Cycling Club</t>
        </is>
      </c>
      <c r="D68" t="inlineStr">
        <is>
          <t>14</t>
        </is>
      </c>
      <c r="E68">
        <f>HYPERLINK("https://www.britishcycling.org.uk/points?person_id=751391&amp;year=2022&amp;type=national&amp;d=6","Results")</f>
        <v/>
      </c>
    </row>
    <row r="69">
      <c r="A69" t="inlineStr">
        <is>
          <t>68</t>
        </is>
      </c>
      <c r="B69" t="inlineStr">
        <is>
          <t>Elizabeth Hughes</t>
        </is>
      </c>
      <c r="C69" t="inlineStr">
        <is>
          <t>Team Watto-LDN</t>
        </is>
      </c>
      <c r="D69" t="inlineStr">
        <is>
          <t>14</t>
        </is>
      </c>
      <c r="E69">
        <f>HYPERLINK("https://www.britishcycling.org.uk/points?person_id=409283&amp;year=2022&amp;type=national&amp;d=6","Results")</f>
        <v/>
      </c>
    </row>
    <row r="70">
      <c r="A70" t="inlineStr">
        <is>
          <t>69</t>
        </is>
      </c>
      <c r="B70" t="inlineStr">
        <is>
          <t>Jo Malpass</t>
        </is>
      </c>
      <c r="C70" t="inlineStr">
        <is>
          <t>VC Deal</t>
        </is>
      </c>
      <c r="D70" t="inlineStr">
        <is>
          <t>14</t>
        </is>
      </c>
      <c r="E70">
        <f>HYPERLINK("https://www.britishcycling.org.uk/points?person_id=277779&amp;year=2022&amp;type=national&amp;d=6","Results")</f>
        <v/>
      </c>
    </row>
    <row r="71">
      <c r="A71" t="inlineStr">
        <is>
          <t>70</t>
        </is>
      </c>
      <c r="B71" t="inlineStr">
        <is>
          <t>Zoe Snow</t>
        </is>
      </c>
      <c r="C71" t="inlineStr">
        <is>
          <t>Liss Cycling Club</t>
        </is>
      </c>
      <c r="D71" t="inlineStr">
        <is>
          <t>14</t>
        </is>
      </c>
      <c r="E71">
        <f>HYPERLINK("https://www.britishcycling.org.uk/points?person_id=735848&amp;year=2022&amp;type=national&amp;d=6","Results")</f>
        <v/>
      </c>
    </row>
    <row r="72">
      <c r="A72" t="inlineStr">
        <is>
          <t>71</t>
        </is>
      </c>
      <c r="B72" t="inlineStr">
        <is>
          <t>Lisa Stephenson</t>
        </is>
      </c>
      <c r="C72" t="inlineStr">
        <is>
          <t>Beaconsfield Cycling Club</t>
        </is>
      </c>
      <c r="D72" t="inlineStr">
        <is>
          <t>14</t>
        </is>
      </c>
      <c r="E72">
        <f>HYPERLINK("https://www.britishcycling.org.uk/points?person_id=591813&amp;year=2022&amp;type=national&amp;d=6","Results")</f>
        <v/>
      </c>
    </row>
    <row r="73">
      <c r="A73" t="inlineStr">
        <is>
          <t>72</t>
        </is>
      </c>
      <c r="B73" t="inlineStr">
        <is>
          <t>Lynne Scofield</t>
        </is>
      </c>
      <c r="C73" t="inlineStr">
        <is>
          <t>Rockingham Forest Whls</t>
        </is>
      </c>
      <c r="D73" t="inlineStr">
        <is>
          <t>13</t>
        </is>
      </c>
      <c r="E73">
        <f>HYPERLINK("https://www.britishcycling.org.uk/points?person_id=1036194&amp;year=2022&amp;type=national&amp;d=6","Results")</f>
        <v/>
      </c>
    </row>
    <row r="74">
      <c r="A74" t="inlineStr">
        <is>
          <t>73</t>
        </is>
      </c>
      <c r="B74" t="inlineStr">
        <is>
          <t>Catherine Gaskell</t>
        </is>
      </c>
      <c r="C74" t="inlineStr">
        <is>
          <t>Brixton Cycles Club</t>
        </is>
      </c>
      <c r="D74" t="inlineStr">
        <is>
          <t>12</t>
        </is>
      </c>
      <c r="E74">
        <f>HYPERLINK("https://www.britishcycling.org.uk/points?person_id=314983&amp;year=2022&amp;type=national&amp;d=6","Results")</f>
        <v/>
      </c>
    </row>
    <row r="75">
      <c r="A75" t="inlineStr">
        <is>
          <t>74</t>
        </is>
      </c>
      <c r="B75" t="inlineStr">
        <is>
          <t>Astrid Pot</t>
        </is>
      </c>
      <c r="C75" t="inlineStr">
        <is>
          <t>Seacroft Wheelers</t>
        </is>
      </c>
      <c r="D75" t="inlineStr">
        <is>
          <t>12</t>
        </is>
      </c>
      <c r="E75">
        <f>HYPERLINK("https://www.britishcycling.org.uk/points?person_id=1002089&amp;year=2022&amp;type=national&amp;d=6","Results")</f>
        <v/>
      </c>
    </row>
    <row r="76">
      <c r="A76" t="inlineStr">
        <is>
          <t>75</t>
        </is>
      </c>
      <c r="B76" t="inlineStr">
        <is>
          <t>Clare Spencer</t>
        </is>
      </c>
      <c r="C76" t="inlineStr"/>
      <c r="D76" t="inlineStr">
        <is>
          <t>11</t>
        </is>
      </c>
      <c r="E76">
        <f>HYPERLINK("https://www.britishcycling.org.uk/points?person_id=307685&amp;year=2022&amp;type=national&amp;d=6","Results")</f>
        <v/>
      </c>
    </row>
    <row r="77">
      <c r="A77" t="inlineStr">
        <is>
          <t>76</t>
        </is>
      </c>
      <c r="B77" t="inlineStr">
        <is>
          <t>Charlotte Fisher</t>
        </is>
      </c>
      <c r="C77" t="inlineStr">
        <is>
          <t>Cotswold Veldrijden</t>
        </is>
      </c>
      <c r="D77" t="inlineStr">
        <is>
          <t>10</t>
        </is>
      </c>
      <c r="E77">
        <f>HYPERLINK("https://www.britishcycling.org.uk/points?person_id=612667&amp;year=2022&amp;type=national&amp;d=6","Results")</f>
        <v/>
      </c>
    </row>
    <row r="78">
      <c r="A78" t="inlineStr">
        <is>
          <t>77</t>
        </is>
      </c>
      <c r="B78" t="inlineStr">
        <is>
          <t>Jennifer Forrester</t>
        </is>
      </c>
      <c r="C78" t="inlineStr">
        <is>
          <t>www.Zepnat.com RT - Lazer helmets</t>
        </is>
      </c>
      <c r="D78" t="inlineStr">
        <is>
          <t>10</t>
        </is>
      </c>
      <c r="E78">
        <f>HYPERLINK("https://www.britishcycling.org.uk/points?person_id=58880&amp;year=2022&amp;type=national&amp;d=6","Results")</f>
        <v/>
      </c>
    </row>
    <row r="79">
      <c r="A79" t="inlineStr">
        <is>
          <t>78</t>
        </is>
      </c>
      <c r="B79" t="inlineStr">
        <is>
          <t>Catherine Litherland</t>
        </is>
      </c>
      <c r="C79" t="inlineStr">
        <is>
          <t>Holmfirth Cycling Club</t>
        </is>
      </c>
      <c r="D79" t="inlineStr">
        <is>
          <t>10</t>
        </is>
      </c>
      <c r="E79">
        <f>HYPERLINK("https://www.britishcycling.org.uk/points?person_id=200360&amp;year=2022&amp;type=national&amp;d=6","Results")</f>
        <v/>
      </c>
    </row>
    <row r="80">
      <c r="A80" t="inlineStr">
        <is>
          <t>79</t>
        </is>
      </c>
      <c r="B80" t="inlineStr">
        <is>
          <t>Cheri Mills</t>
        </is>
      </c>
      <c r="C80" t="inlineStr">
        <is>
          <t>Fibrax Wrexham Roads Club</t>
        </is>
      </c>
      <c r="D80" t="inlineStr">
        <is>
          <t>10</t>
        </is>
      </c>
      <c r="E80">
        <f>HYPERLINK("https://www.britishcycling.org.uk/points?person_id=42047&amp;year=2022&amp;type=national&amp;d=6","Results")</f>
        <v/>
      </c>
    </row>
    <row r="81">
      <c r="A81" t="inlineStr">
        <is>
          <t>80</t>
        </is>
      </c>
      <c r="B81" t="inlineStr">
        <is>
          <t>Cheryl Vaughan</t>
        </is>
      </c>
      <c r="C81" t="inlineStr">
        <is>
          <t>www.Zepnat.com RT - Lazer helmets</t>
        </is>
      </c>
      <c r="D81" t="inlineStr">
        <is>
          <t>10</t>
        </is>
      </c>
      <c r="E81">
        <f>HYPERLINK("https://www.britishcycling.org.uk/points?person_id=253661&amp;year=2022&amp;type=national&amp;d=6","Results")</f>
        <v/>
      </c>
    </row>
    <row r="82">
      <c r="A82" t="inlineStr">
        <is>
          <t>81</t>
        </is>
      </c>
      <c r="B82" t="inlineStr">
        <is>
          <t>Julia Behnsen</t>
        </is>
      </c>
      <c r="C82" t="inlineStr">
        <is>
          <t>Port Sunlight Wheelers</t>
        </is>
      </c>
      <c r="D82" t="inlineStr">
        <is>
          <t>9</t>
        </is>
      </c>
      <c r="E82">
        <f>HYPERLINK("https://www.britishcycling.org.uk/points?person_id=527263&amp;year=2022&amp;type=national&amp;d=6","Results")</f>
        <v/>
      </c>
    </row>
    <row r="83">
      <c r="A83" t="inlineStr">
        <is>
          <t>82</t>
        </is>
      </c>
      <c r="B83" t="inlineStr">
        <is>
          <t>Claire Hughes</t>
        </is>
      </c>
      <c r="C83" t="inlineStr">
        <is>
          <t>Peddlamaniacs Cycle Club</t>
        </is>
      </c>
      <c r="D83" t="inlineStr">
        <is>
          <t>9</t>
        </is>
      </c>
      <c r="E83">
        <f>HYPERLINK("https://www.britishcycling.org.uk/points?person_id=316827&amp;year=2022&amp;type=national&amp;d=6","Results")</f>
        <v/>
      </c>
    </row>
    <row r="84">
      <c r="A84" t="inlineStr">
        <is>
          <t>83</t>
        </is>
      </c>
      <c r="B84" t="inlineStr">
        <is>
          <t>Chloe Dilks</t>
        </is>
      </c>
      <c r="C84" t="inlineStr">
        <is>
          <t>Team Empella Cyclo-Cross.Com</t>
        </is>
      </c>
      <c r="D84" t="inlineStr">
        <is>
          <t>8</t>
        </is>
      </c>
      <c r="E84">
        <f>HYPERLINK("https://www.britishcycling.org.uk/points?person_id=464080&amp;year=2022&amp;type=national&amp;d=6","Results")</f>
        <v/>
      </c>
    </row>
    <row r="85">
      <c r="A85" t="inlineStr">
        <is>
          <t>84</t>
        </is>
      </c>
      <c r="B85" t="inlineStr">
        <is>
          <t>Christine Fischer</t>
        </is>
      </c>
      <c r="C85" t="inlineStr">
        <is>
          <t>Stirling Bike Club</t>
        </is>
      </c>
      <c r="D85" t="inlineStr">
        <is>
          <t>8</t>
        </is>
      </c>
      <c r="E85">
        <f>HYPERLINK("https://www.britishcycling.org.uk/points?person_id=372829&amp;year=2022&amp;type=national&amp;d=6","Results")</f>
        <v/>
      </c>
    </row>
    <row r="86">
      <c r="A86" t="inlineStr">
        <is>
          <t>85</t>
        </is>
      </c>
      <c r="B86" t="inlineStr">
        <is>
          <t>Christina Gustafson</t>
        </is>
      </c>
      <c r="C86" t="inlineStr">
        <is>
          <t>Reading CC</t>
        </is>
      </c>
      <c r="D86" t="inlineStr">
        <is>
          <t>8</t>
        </is>
      </c>
      <c r="E86">
        <f>HYPERLINK("https://www.britishcycling.org.uk/points?person_id=448259&amp;year=2022&amp;type=national&amp;d=6","Results")</f>
        <v/>
      </c>
    </row>
    <row r="87">
      <c r="A87" t="inlineStr">
        <is>
          <t>86</t>
        </is>
      </c>
      <c r="B87" t="inlineStr">
        <is>
          <t>Heidi Blunden</t>
        </is>
      </c>
      <c r="C87" t="inlineStr">
        <is>
          <t>WestSide Coaching</t>
        </is>
      </c>
      <c r="D87" t="inlineStr">
        <is>
          <t>7</t>
        </is>
      </c>
      <c r="E87">
        <f>HYPERLINK("https://www.britishcycling.org.uk/points?person_id=261788&amp;year=2022&amp;type=national&amp;d=6","Results")</f>
        <v/>
      </c>
    </row>
    <row r="88">
      <c r="A88" t="inlineStr">
        <is>
          <t>87</t>
        </is>
      </c>
      <c r="B88" t="inlineStr">
        <is>
          <t>Kathryn Gohl</t>
        </is>
      </c>
      <c r="C88" t="inlineStr">
        <is>
          <t>Nice Brew Racing</t>
        </is>
      </c>
      <c r="D88" t="inlineStr">
        <is>
          <t>7</t>
        </is>
      </c>
      <c r="E88">
        <f>HYPERLINK("https://www.britishcycling.org.uk/points?person_id=732383&amp;year=2022&amp;type=national&amp;d=6","Results")</f>
        <v/>
      </c>
    </row>
    <row r="89">
      <c r="A89" t="inlineStr">
        <is>
          <t>88</t>
        </is>
      </c>
      <c r="B89" t="inlineStr">
        <is>
          <t>Ruth Stapleton</t>
        </is>
      </c>
      <c r="C89" t="inlineStr">
        <is>
          <t>Harlow CC</t>
        </is>
      </c>
      <c r="D89" t="inlineStr">
        <is>
          <t>7</t>
        </is>
      </c>
      <c r="E89">
        <f>HYPERLINK("https://www.britishcycling.org.uk/points?person_id=253328&amp;year=2022&amp;type=national&amp;d=6","Results")</f>
        <v/>
      </c>
    </row>
    <row r="90">
      <c r="A90" t="inlineStr">
        <is>
          <t>89</t>
        </is>
      </c>
      <c r="B90" t="inlineStr">
        <is>
          <t>Celia Brown</t>
        </is>
      </c>
      <c r="C90" t="inlineStr">
        <is>
          <t>Beacon Roads CC</t>
        </is>
      </c>
      <c r="D90" t="inlineStr">
        <is>
          <t>6</t>
        </is>
      </c>
      <c r="E90">
        <f>HYPERLINK("https://www.britishcycling.org.uk/points?person_id=35533&amp;year=2022&amp;type=national&amp;d=6","Results")</f>
        <v/>
      </c>
    </row>
    <row r="91">
      <c r="A91" t="inlineStr">
        <is>
          <t>90</t>
        </is>
      </c>
      <c r="B91" t="inlineStr">
        <is>
          <t>Sarah Lewthwaite</t>
        </is>
      </c>
      <c r="C91" t="inlineStr">
        <is>
          <t>Born to Bike Racing Team</t>
        </is>
      </c>
      <c r="D91" t="inlineStr">
        <is>
          <t>6</t>
        </is>
      </c>
      <c r="E91">
        <f>HYPERLINK("https://www.britishcycling.org.uk/points?person_id=127921&amp;year=2022&amp;type=national&amp;d=6","Results")</f>
        <v/>
      </c>
    </row>
    <row r="92">
      <c r="A92" t="inlineStr">
        <is>
          <t>91</t>
        </is>
      </c>
      <c r="B92" t="inlineStr">
        <is>
          <t>Ruth Miller</t>
        </is>
      </c>
      <c r="C92" t="inlineStr">
        <is>
          <t>Ben Thomas Coaching Club</t>
        </is>
      </c>
      <c r="D92" t="inlineStr">
        <is>
          <t>6</t>
        </is>
      </c>
      <c r="E92">
        <f>HYPERLINK("https://www.britishcycling.org.uk/points?person_id=176803&amp;year=2022&amp;type=national&amp;d=6","Results")</f>
        <v/>
      </c>
    </row>
    <row r="93">
      <c r="A93" t="inlineStr">
        <is>
          <t>92</t>
        </is>
      </c>
      <c r="B93" t="inlineStr">
        <is>
          <t>Jules Toone</t>
        </is>
      </c>
      <c r="C93" t="inlineStr"/>
      <c r="D93" t="inlineStr">
        <is>
          <t>6</t>
        </is>
      </c>
      <c r="E93">
        <f>HYPERLINK("https://www.britishcycling.org.uk/points?person_id=22805&amp;year=2022&amp;type=national&amp;d=6","Results")</f>
        <v/>
      </c>
    </row>
    <row r="94">
      <c r="A94" t="inlineStr">
        <is>
          <t>93</t>
        </is>
      </c>
      <c r="B94" t="inlineStr">
        <is>
          <t>Vickie Wilkinson</t>
        </is>
      </c>
      <c r="C94" t="inlineStr">
        <is>
          <t>Cheltenham &amp; County Cycling Club</t>
        </is>
      </c>
      <c r="D94" t="inlineStr">
        <is>
          <t>6</t>
        </is>
      </c>
      <c r="E94">
        <f>HYPERLINK("https://www.britishcycling.org.uk/points?person_id=352359&amp;year=2022&amp;type=national&amp;d=6","Results")</f>
        <v/>
      </c>
    </row>
    <row r="95">
      <c r="A95" t="inlineStr">
        <is>
          <t>94</t>
        </is>
      </c>
      <c r="B95" t="inlineStr">
        <is>
          <t>Christine Lutsch</t>
        </is>
      </c>
      <c r="C95" t="inlineStr">
        <is>
          <t>Windrush Triathlon Club</t>
        </is>
      </c>
      <c r="D95" t="inlineStr">
        <is>
          <t>5</t>
        </is>
      </c>
      <c r="E95">
        <f>HYPERLINK("https://www.britishcycling.org.uk/points?person_id=85969&amp;year=2022&amp;type=national&amp;d=6","Results")</f>
        <v/>
      </c>
    </row>
    <row r="96">
      <c r="A96" t="inlineStr">
        <is>
          <t>95</t>
        </is>
      </c>
      <c r="B96" t="inlineStr">
        <is>
          <t>Katie Styles</t>
        </is>
      </c>
      <c r="C96" t="inlineStr">
        <is>
          <t>Brixton Cycles Club</t>
        </is>
      </c>
      <c r="D96" t="inlineStr">
        <is>
          <t>5</t>
        </is>
      </c>
      <c r="E96">
        <f>HYPERLINK("https://www.britishcycling.org.uk/points?person_id=465498&amp;year=2022&amp;type=national&amp;d=6","Results")</f>
        <v/>
      </c>
    </row>
    <row r="97">
      <c r="A97" t="inlineStr">
        <is>
          <t>96</t>
        </is>
      </c>
      <c r="B97" t="inlineStr">
        <is>
          <t>Lisa Green</t>
        </is>
      </c>
      <c r="C97" t="inlineStr">
        <is>
          <t>Huddersfield Star Wheelers</t>
        </is>
      </c>
      <c r="D97" t="inlineStr">
        <is>
          <t>4</t>
        </is>
      </c>
      <c r="E97">
        <f>HYPERLINK("https://www.britishcycling.org.uk/points?person_id=501828&amp;year=2022&amp;type=national&amp;d=6","Results")</f>
        <v/>
      </c>
    </row>
    <row r="98">
      <c r="A98" t="inlineStr">
        <is>
          <t>97</t>
        </is>
      </c>
      <c r="B98" t="inlineStr">
        <is>
          <t>Samantha Healy</t>
        </is>
      </c>
      <c r="C98" t="inlineStr"/>
      <c r="D98" t="inlineStr">
        <is>
          <t>4</t>
        </is>
      </c>
      <c r="E98">
        <f>HYPERLINK("https://www.britishcycling.org.uk/points?person_id=624964&amp;year=2022&amp;type=national&amp;d=6","Results")</f>
        <v/>
      </c>
    </row>
    <row r="99">
      <c r="A99" t="inlineStr">
        <is>
          <t>98</t>
        </is>
      </c>
      <c r="B99" t="inlineStr">
        <is>
          <t>Hilary Ireland</t>
        </is>
      </c>
      <c r="C99" t="inlineStr"/>
      <c r="D99" t="inlineStr">
        <is>
          <t>4</t>
        </is>
      </c>
      <c r="E99">
        <f>HYPERLINK("https://www.britishcycling.org.uk/points?person_id=567844&amp;year=2022&amp;type=national&amp;d=6","Results")</f>
        <v/>
      </c>
    </row>
    <row r="100">
      <c r="A100" t="inlineStr">
        <is>
          <t>99</t>
        </is>
      </c>
      <c r="B100" t="inlineStr">
        <is>
          <t>Helen Webb</t>
        </is>
      </c>
      <c r="C100" t="inlineStr">
        <is>
          <t>Pine Sport</t>
        </is>
      </c>
      <c r="D100" t="inlineStr">
        <is>
          <t>4</t>
        </is>
      </c>
      <c r="E100">
        <f>HYPERLINK("https://www.britishcycling.org.uk/points?person_id=556296&amp;year=2022&amp;type=national&amp;d=6","Results")</f>
        <v/>
      </c>
    </row>
    <row r="101">
      <c r="A101" t="inlineStr">
        <is>
          <t>100</t>
        </is>
      </c>
      <c r="B101" t="inlineStr">
        <is>
          <t>Hazel Wilkinson</t>
        </is>
      </c>
      <c r="C101" t="inlineStr">
        <is>
          <t>Velospeed Cycling Club</t>
        </is>
      </c>
      <c r="D101" t="inlineStr">
        <is>
          <t>4</t>
        </is>
      </c>
      <c r="E101">
        <f>HYPERLINK("https://www.britishcycling.org.uk/points?person_id=1017431&amp;year=2022&amp;type=national&amp;d=6","Results")</f>
        <v/>
      </c>
    </row>
    <row r="102">
      <c r="A102" t="inlineStr">
        <is>
          <t>101</t>
        </is>
      </c>
      <c r="B102" t="inlineStr">
        <is>
          <t>Kate Hoy</t>
        </is>
      </c>
      <c r="C102" t="inlineStr">
        <is>
          <t>Pronto Bikes</t>
        </is>
      </c>
      <c r="D102" t="inlineStr">
        <is>
          <t>3</t>
        </is>
      </c>
      <c r="E102">
        <f>HYPERLINK("https://www.britishcycling.org.uk/points?person_id=874404&amp;year=2022&amp;type=national&amp;d=6","Results")</f>
        <v/>
      </c>
    </row>
    <row r="103">
      <c r="A103" t="inlineStr">
        <is>
          <t>102</t>
        </is>
      </c>
      <c r="B103" t="inlineStr">
        <is>
          <t>Saffron Pineger</t>
        </is>
      </c>
      <c r="C103" t="inlineStr">
        <is>
          <t>Brixton Cycles Club</t>
        </is>
      </c>
      <c r="D103" t="inlineStr">
        <is>
          <t>3</t>
        </is>
      </c>
      <c r="E103">
        <f>HYPERLINK("https://www.britishcycling.org.uk/points?person_id=652064&amp;year=2022&amp;type=national&amp;d=6","Results")</f>
        <v/>
      </c>
    </row>
    <row r="104">
      <c r="A104" t="inlineStr">
        <is>
          <t>103</t>
        </is>
      </c>
      <c r="B104" t="inlineStr">
        <is>
          <t>Lillie Swan</t>
        </is>
      </c>
      <c r="C104" t="inlineStr">
        <is>
          <t>Veloccino Squadra Donne</t>
        </is>
      </c>
      <c r="D104" t="inlineStr">
        <is>
          <t>3</t>
        </is>
      </c>
      <c r="E104">
        <f>HYPERLINK("https://www.britishcycling.org.uk/points?person_id=534833&amp;year=2022&amp;type=national&amp;d=6","Results")</f>
        <v/>
      </c>
    </row>
    <row r="105">
      <c r="A105" t="inlineStr">
        <is>
          <t>104</t>
        </is>
      </c>
      <c r="B105" t="inlineStr">
        <is>
          <t>Elizabeth Wisdish</t>
        </is>
      </c>
      <c r="C105" t="inlineStr">
        <is>
          <t>Glasgow Wheelers</t>
        </is>
      </c>
      <c r="D105" t="inlineStr">
        <is>
          <t>3</t>
        </is>
      </c>
      <c r="E105">
        <f>HYPERLINK("https://www.britishcycling.org.uk/points?person_id=303179&amp;year=2022&amp;type=national&amp;d=6","Results")</f>
        <v/>
      </c>
    </row>
    <row r="106">
      <c r="A106" t="inlineStr">
        <is>
          <t>105</t>
        </is>
      </c>
      <c r="B106" t="inlineStr">
        <is>
          <t>Vicki Woodburn</t>
        </is>
      </c>
      <c r="C106" t="inlineStr">
        <is>
          <t>Team Andrew Allan Architecture</t>
        </is>
      </c>
      <c r="D106" t="inlineStr">
        <is>
          <t>3</t>
        </is>
      </c>
      <c r="E106">
        <f>HYPERLINK("https://www.britishcycling.org.uk/points?person_id=736992&amp;year=2022&amp;type=national&amp;d=6","Results")</f>
        <v/>
      </c>
    </row>
    <row r="107">
      <c r="A107" t="inlineStr">
        <is>
          <t>106</t>
        </is>
      </c>
      <c r="B107" t="inlineStr">
        <is>
          <t>Louise Brown</t>
        </is>
      </c>
      <c r="C107" t="inlineStr">
        <is>
          <t>Numplumz Mountainbikers</t>
        </is>
      </c>
      <c r="D107" t="inlineStr">
        <is>
          <t>2</t>
        </is>
      </c>
      <c r="E107">
        <f>HYPERLINK("https://www.britishcycling.org.uk/points?person_id=130268&amp;year=2022&amp;type=national&amp;d=6","Results")</f>
        <v/>
      </c>
    </row>
    <row r="108">
      <c r="A108" t="inlineStr">
        <is>
          <t>107</t>
        </is>
      </c>
      <c r="B108" t="inlineStr">
        <is>
          <t>Kathleen O'Reilly</t>
        </is>
      </c>
      <c r="C108" t="inlineStr">
        <is>
          <t>Dulwich Paragon CC</t>
        </is>
      </c>
      <c r="D108" t="inlineStr">
        <is>
          <t>2</t>
        </is>
      </c>
      <c r="E108">
        <f>HYPERLINK("https://www.britishcycling.org.uk/points?person_id=180257&amp;year=2022&amp;type=national&amp;d=6","Results")</f>
        <v/>
      </c>
    </row>
    <row r="109">
      <c r="A109" t="inlineStr">
        <is>
          <t>108</t>
        </is>
      </c>
      <c r="B109" t="inlineStr">
        <is>
          <t>Hannah Quay</t>
        </is>
      </c>
      <c r="C109" t="inlineStr">
        <is>
          <t>Reading CC</t>
        </is>
      </c>
      <c r="D109" t="inlineStr">
        <is>
          <t>2</t>
        </is>
      </c>
      <c r="E109">
        <f>HYPERLINK("https://www.britishcycling.org.uk/points?person_id=850579&amp;year=2022&amp;type=national&amp;d=6","Results")</f>
        <v/>
      </c>
    </row>
    <row r="110">
      <c r="A110" t="inlineStr">
        <is>
          <t>109</t>
        </is>
      </c>
      <c r="B110" t="inlineStr">
        <is>
          <t>Maria Weymouth</t>
        </is>
      </c>
      <c r="C110" t="inlineStr">
        <is>
          <t>Mid Devon CC</t>
        </is>
      </c>
      <c r="D110" t="inlineStr">
        <is>
          <t>2</t>
        </is>
      </c>
      <c r="E110">
        <f>HYPERLINK("https://www.britishcycling.org.uk/points?person_id=310708&amp;year=2022&amp;type=national&amp;d=6","Results")</f>
        <v/>
      </c>
    </row>
    <row r="111">
      <c r="A111" t="inlineStr">
        <is>
          <t>110</t>
        </is>
      </c>
      <c r="B111" t="inlineStr">
        <is>
          <t>Isobel Beattie</t>
        </is>
      </c>
      <c r="C111" t="inlineStr">
        <is>
          <t>Brighton Mitre CC</t>
        </is>
      </c>
      <c r="D111" t="inlineStr">
        <is>
          <t>1</t>
        </is>
      </c>
      <c r="E111">
        <f>HYPERLINK("https://www.britishcycling.org.uk/points?person_id=559597&amp;year=2022&amp;type=national&amp;d=6","Results")</f>
        <v/>
      </c>
    </row>
    <row r="112">
      <c r="A112" t="inlineStr">
        <is>
          <t>111</t>
        </is>
      </c>
      <c r="B112" t="inlineStr">
        <is>
          <t>Deborah Ferns</t>
        </is>
      </c>
      <c r="C112" t="inlineStr">
        <is>
          <t>Glasgow Green Cycle Club</t>
        </is>
      </c>
      <c r="D112" t="inlineStr">
        <is>
          <t>1</t>
        </is>
      </c>
      <c r="E112">
        <f>HYPERLINK("https://www.britishcycling.org.uk/points?person_id=340718&amp;year=2022&amp;type=national&amp;d=6","Results")</f>
        <v/>
      </c>
    </row>
    <row r="113">
      <c r="A113" t="inlineStr">
        <is>
          <t>112</t>
        </is>
      </c>
      <c r="B113" t="inlineStr">
        <is>
          <t>Emily Smith</t>
        </is>
      </c>
      <c r="C113" t="inlineStr"/>
      <c r="D113" t="inlineStr">
        <is>
          <t>1</t>
        </is>
      </c>
      <c r="E113">
        <f>HYPERLINK("https://www.britishcycling.org.uk/points?person_id=380645&amp;year=2022&amp;type=national&amp;d=6","Results")</f>
        <v/>
      </c>
    </row>
    <row r="114">
      <c r="A114" t="inlineStr">
        <is>
          <t>113</t>
        </is>
      </c>
      <c r="B114" t="inlineStr">
        <is>
          <t>Fiona Walker</t>
        </is>
      </c>
      <c r="C114" t="inlineStr">
        <is>
          <t>Walkers Cycling Club</t>
        </is>
      </c>
      <c r="D114" t="inlineStr">
        <is>
          <t>1</t>
        </is>
      </c>
      <c r="E114">
        <f>HYPERLINK("https://www.britishcycling.org.uk/points?person_id=38759&amp;year=2022&amp;type=national&amp;d=6","Results")</f>
        <v/>
      </c>
    </row>
    <row r="115">
      <c r="A115" t="inlineStr">
        <is>
          <t>114</t>
        </is>
      </c>
      <c r="B115" t="inlineStr">
        <is>
          <t>Eleanor Williams</t>
        </is>
      </c>
      <c r="C115" t="inlineStr">
        <is>
          <t>Bioracer UK RT</t>
        </is>
      </c>
      <c r="D115" t="inlineStr">
        <is>
          <t>1</t>
        </is>
      </c>
      <c r="E115">
        <f>HYPERLINK("https://www.britishcycling.org.uk/points?person_id=406174&amp;year=2022&amp;type=national&amp;d=6","Results")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Miriam Whitehurst</t>
        </is>
      </c>
      <c r="C2" t="inlineStr">
        <is>
          <t>Reflex Racing</t>
        </is>
      </c>
      <c r="D2" t="inlineStr">
        <is>
          <t>141</t>
        </is>
      </c>
      <c r="E2">
        <f>HYPERLINK("https://www.britishcycling.org.uk/points?person_id=47153&amp;year=2022&amp;type=national&amp;d=6","Results")</f>
        <v/>
      </c>
    </row>
    <row r="3">
      <c r="A3" t="inlineStr">
        <is>
          <t>2</t>
        </is>
      </c>
      <c r="B3" t="inlineStr">
        <is>
          <t>Helen Pattinson</t>
        </is>
      </c>
      <c r="C3" t="inlineStr">
        <is>
          <t>Montezuma's Race Team</t>
        </is>
      </c>
      <c r="D3" t="inlineStr">
        <is>
          <t>136</t>
        </is>
      </c>
      <c r="E3">
        <f>HYPERLINK("https://www.britishcycling.org.uk/points?person_id=240019&amp;year=2022&amp;type=national&amp;d=6","Results")</f>
        <v/>
      </c>
    </row>
    <row r="4">
      <c r="A4" t="inlineStr">
        <is>
          <t>3</t>
        </is>
      </c>
      <c r="B4" t="inlineStr">
        <is>
          <t>Zoe Codd</t>
        </is>
      </c>
      <c r="C4" t="inlineStr">
        <is>
          <t>Laatste Ronde! Coaching</t>
        </is>
      </c>
      <c r="D4" t="inlineStr">
        <is>
          <t>118</t>
        </is>
      </c>
      <c r="E4">
        <f>HYPERLINK("https://www.britishcycling.org.uk/points?person_id=416032&amp;year=2022&amp;type=national&amp;d=6","Results")</f>
        <v/>
      </c>
    </row>
    <row r="5">
      <c r="A5" t="inlineStr">
        <is>
          <t>4</t>
        </is>
      </c>
      <c r="B5" t="inlineStr">
        <is>
          <t>Isla Rowntree</t>
        </is>
      </c>
      <c r="C5" t="inlineStr">
        <is>
          <t>Islabikes</t>
        </is>
      </c>
      <c r="D5" t="inlineStr">
        <is>
          <t>114</t>
        </is>
      </c>
      <c r="E5">
        <f>HYPERLINK("https://www.britishcycling.org.uk/points?person_id=21208&amp;year=2022&amp;type=national&amp;d=6","Results")</f>
        <v/>
      </c>
    </row>
    <row r="6">
      <c r="A6" t="inlineStr">
        <is>
          <t>5</t>
        </is>
      </c>
      <c r="B6" t="inlineStr">
        <is>
          <t>Caroline Goodman</t>
        </is>
      </c>
      <c r="C6" t="inlineStr">
        <is>
          <t>High Wycombe Cycling Club</t>
        </is>
      </c>
      <c r="D6" t="inlineStr">
        <is>
          <t>105</t>
        </is>
      </c>
      <c r="E6">
        <f>HYPERLINK("https://www.britishcycling.org.uk/points?person_id=832441&amp;year=2022&amp;type=national&amp;d=6","Results")</f>
        <v/>
      </c>
    </row>
    <row r="7">
      <c r="A7" t="inlineStr">
        <is>
          <t>6</t>
        </is>
      </c>
      <c r="B7" t="inlineStr">
        <is>
          <t>Anne Murray</t>
        </is>
      </c>
      <c r="C7" t="inlineStr">
        <is>
          <t>Ben Wyvis Cycle Club</t>
        </is>
      </c>
      <c r="D7" t="inlineStr">
        <is>
          <t>96</t>
        </is>
      </c>
      <c r="E7">
        <f>HYPERLINK("https://www.britishcycling.org.uk/points?person_id=60414&amp;year=2022&amp;type=national&amp;d=6","Results")</f>
        <v/>
      </c>
    </row>
    <row r="8">
      <c r="A8" t="inlineStr">
        <is>
          <t>7</t>
        </is>
      </c>
      <c r="B8" t="inlineStr">
        <is>
          <t>Helen Winton</t>
        </is>
      </c>
      <c r="C8" t="inlineStr">
        <is>
          <t>Stirling Bike Club</t>
        </is>
      </c>
      <c r="D8" t="inlineStr">
        <is>
          <t>86</t>
        </is>
      </c>
      <c r="E8">
        <f>HYPERLINK("https://www.britishcycling.org.uk/points?person_id=255001&amp;year=2022&amp;type=national&amp;d=6","Results")</f>
        <v/>
      </c>
    </row>
    <row r="9">
      <c r="A9" t="inlineStr">
        <is>
          <t>8</t>
        </is>
      </c>
      <c r="B9" t="inlineStr">
        <is>
          <t>Helen Dussek</t>
        </is>
      </c>
      <c r="C9" t="inlineStr">
        <is>
          <t>Nottingham Clarion CC</t>
        </is>
      </c>
      <c r="D9" t="inlineStr">
        <is>
          <t>78</t>
        </is>
      </c>
      <c r="E9">
        <f>HYPERLINK("https://www.britishcycling.org.uk/points?person_id=139207&amp;year=2022&amp;type=national&amp;d=6","Results")</f>
        <v/>
      </c>
    </row>
    <row r="10">
      <c r="A10" t="inlineStr">
        <is>
          <t>9</t>
        </is>
      </c>
      <c r="B10" t="inlineStr">
        <is>
          <t>Lindsay Newman</t>
        </is>
      </c>
      <c r="C10" t="inlineStr">
        <is>
          <t>Team Jewson-M.I.Racing</t>
        </is>
      </c>
      <c r="D10" t="inlineStr">
        <is>
          <t>77</t>
        </is>
      </c>
      <c r="E10">
        <f>HYPERLINK("https://www.britishcycling.org.uk/points?person_id=334954&amp;year=2022&amp;type=national&amp;d=6","Results")</f>
        <v/>
      </c>
    </row>
    <row r="11">
      <c r="A11" t="inlineStr">
        <is>
          <t>10</t>
        </is>
      </c>
      <c r="B11" t="inlineStr">
        <is>
          <t>Elizabeth McKie</t>
        </is>
      </c>
      <c r="C11" t="inlineStr">
        <is>
          <t>Verulam - reallymoving.com</t>
        </is>
      </c>
      <c r="D11" t="inlineStr">
        <is>
          <t>75</t>
        </is>
      </c>
      <c r="E11">
        <f>HYPERLINK("https://www.britishcycling.org.uk/points?person_id=137605&amp;year=2022&amp;type=national&amp;d=6","Results")</f>
        <v/>
      </c>
    </row>
    <row r="12">
      <c r="A12" t="inlineStr">
        <is>
          <t>11</t>
        </is>
      </c>
      <c r="B12" t="inlineStr">
        <is>
          <t>Julie Hughes</t>
        </is>
      </c>
      <c r="C12" t="inlineStr">
        <is>
          <t>North Hampshire RC</t>
        </is>
      </c>
      <c r="D12" t="inlineStr">
        <is>
          <t>74</t>
        </is>
      </c>
      <c r="E12">
        <f>HYPERLINK("https://www.britishcycling.org.uk/points?person_id=1002092&amp;year=2022&amp;type=national&amp;d=6","Results")</f>
        <v/>
      </c>
    </row>
    <row r="13">
      <c r="A13" t="inlineStr">
        <is>
          <t>12</t>
        </is>
      </c>
      <c r="B13" t="inlineStr">
        <is>
          <t>Nicky Hughes</t>
        </is>
      </c>
      <c r="C13" t="inlineStr">
        <is>
          <t>Southborough &amp; District Whls</t>
        </is>
      </c>
      <c r="D13" t="inlineStr">
        <is>
          <t>71</t>
        </is>
      </c>
      <c r="E13">
        <f>HYPERLINK("https://www.britishcycling.org.uk/points?person_id=37490&amp;year=2022&amp;type=national&amp;d=6","Results")</f>
        <v/>
      </c>
    </row>
    <row r="14">
      <c r="A14" t="inlineStr">
        <is>
          <t>13</t>
        </is>
      </c>
      <c r="B14" t="inlineStr">
        <is>
          <t>Clare Hoskins</t>
        </is>
      </c>
      <c r="C14" t="inlineStr">
        <is>
          <t>Cardiff JIF</t>
        </is>
      </c>
      <c r="D14" t="inlineStr">
        <is>
          <t>66</t>
        </is>
      </c>
      <c r="E14">
        <f>HYPERLINK("https://www.britishcycling.org.uk/points?person_id=64594&amp;year=2022&amp;type=national&amp;d=6","Results")</f>
        <v/>
      </c>
    </row>
    <row r="15">
      <c r="A15" t="inlineStr">
        <is>
          <t>14</t>
        </is>
      </c>
      <c r="B15" t="inlineStr">
        <is>
          <t>Catherine Hughes</t>
        </is>
      </c>
      <c r="C15" t="inlineStr">
        <is>
          <t>Ilkeston Cycle Club</t>
        </is>
      </c>
      <c r="D15" t="inlineStr">
        <is>
          <t>61</t>
        </is>
      </c>
      <c r="E15">
        <f>HYPERLINK("https://www.britishcycling.org.uk/points?person_id=478788&amp;year=2022&amp;type=national&amp;d=6","Results")</f>
        <v/>
      </c>
    </row>
    <row r="16">
      <c r="A16" t="inlineStr">
        <is>
          <t>15</t>
        </is>
      </c>
      <c r="B16" t="inlineStr">
        <is>
          <t>Tracy Wilkinson-Begg</t>
        </is>
      </c>
      <c r="C16" t="inlineStr">
        <is>
          <t>TWB - ON TIME RACE TEAM</t>
        </is>
      </c>
      <c r="D16" t="inlineStr">
        <is>
          <t>53</t>
        </is>
      </c>
      <c r="E16">
        <f>HYPERLINK("https://www.britishcycling.org.uk/points?person_id=604772&amp;year=2022&amp;type=national&amp;d=6","Results")</f>
        <v/>
      </c>
    </row>
    <row r="17">
      <c r="A17" t="inlineStr">
        <is>
          <t>16</t>
        </is>
      </c>
      <c r="B17" t="inlineStr">
        <is>
          <t>Karen Summers</t>
        </is>
      </c>
      <c r="C17" t="inlineStr">
        <is>
          <t>Team Jewson-M.I.Racing</t>
        </is>
      </c>
      <c r="D17" t="inlineStr">
        <is>
          <t>50</t>
        </is>
      </c>
      <c r="E17">
        <f>HYPERLINK("https://www.britishcycling.org.uk/points?person_id=36899&amp;year=2022&amp;type=national&amp;d=6","Results")</f>
        <v/>
      </c>
    </row>
    <row r="18">
      <c r="A18" t="inlineStr">
        <is>
          <t>17</t>
        </is>
      </c>
      <c r="B18" t="inlineStr">
        <is>
          <t>Catherine Kilburn</t>
        </is>
      </c>
      <c r="C18" t="inlineStr">
        <is>
          <t>Mid Devon CC</t>
        </is>
      </c>
      <c r="D18" t="inlineStr">
        <is>
          <t>47</t>
        </is>
      </c>
      <c r="E18">
        <f>HYPERLINK("https://www.britishcycling.org.uk/points?person_id=313214&amp;year=2022&amp;type=national&amp;d=6","Results")</f>
        <v/>
      </c>
    </row>
    <row r="19">
      <c r="A19" t="inlineStr">
        <is>
          <t>18</t>
        </is>
      </c>
      <c r="B19" t="inlineStr">
        <is>
          <t>Kate Dixon</t>
        </is>
      </c>
      <c r="C19" t="inlineStr">
        <is>
          <t>Oscar Bravo</t>
        </is>
      </c>
      <c r="D19" t="inlineStr">
        <is>
          <t>46</t>
        </is>
      </c>
      <c r="E19">
        <f>HYPERLINK("https://www.britishcycling.org.uk/points?person_id=863211&amp;year=2022&amp;type=national&amp;d=6","Results")</f>
        <v/>
      </c>
    </row>
    <row r="20">
      <c r="A20" t="inlineStr">
        <is>
          <t>19</t>
        </is>
      </c>
      <c r="B20" t="inlineStr">
        <is>
          <t>Caroline Harvey</t>
        </is>
      </c>
      <c r="C20" t="inlineStr">
        <is>
          <t>Peebles CC</t>
        </is>
      </c>
      <c r="D20" t="inlineStr">
        <is>
          <t>46</t>
        </is>
      </c>
      <c r="E20">
        <f>HYPERLINK("https://www.britishcycling.org.uk/points?person_id=508653&amp;year=2022&amp;type=national&amp;d=6","Results")</f>
        <v/>
      </c>
    </row>
    <row r="21">
      <c r="A21" t="inlineStr">
        <is>
          <t>20</t>
        </is>
      </c>
      <c r="B21" t="inlineStr">
        <is>
          <t>Joanne Newstead</t>
        </is>
      </c>
      <c r="C21" t="inlineStr">
        <is>
          <t>XRT - Elmy Cycles</t>
        </is>
      </c>
      <c r="D21" t="inlineStr">
        <is>
          <t>45</t>
        </is>
      </c>
      <c r="E21">
        <f>HYPERLINK("https://www.britishcycling.org.uk/points?person_id=13888&amp;year=2022&amp;type=national&amp;d=6","Results")</f>
        <v/>
      </c>
    </row>
    <row r="22">
      <c r="A22" t="inlineStr">
        <is>
          <t>21</t>
        </is>
      </c>
      <c r="B22" t="inlineStr">
        <is>
          <t>Liz Rylott</t>
        </is>
      </c>
      <c r="C22" t="inlineStr">
        <is>
          <t>York Cycleworks</t>
        </is>
      </c>
      <c r="D22" t="inlineStr">
        <is>
          <t>41</t>
        </is>
      </c>
      <c r="E22">
        <f>HYPERLINK("https://www.britishcycling.org.uk/points?person_id=237085&amp;year=2022&amp;type=national&amp;d=6","Results")</f>
        <v/>
      </c>
    </row>
    <row r="23">
      <c r="A23" t="inlineStr">
        <is>
          <t>22</t>
        </is>
      </c>
      <c r="B23" t="inlineStr">
        <is>
          <t>Alison Brown</t>
        </is>
      </c>
      <c r="C23" t="inlineStr">
        <is>
          <t>Stirling Bike Club</t>
        </is>
      </c>
      <c r="D23" t="inlineStr">
        <is>
          <t>36</t>
        </is>
      </c>
      <c r="E23">
        <f>HYPERLINK("https://www.britishcycling.org.uk/points?person_id=860862&amp;year=2022&amp;type=national&amp;d=6","Results")</f>
        <v/>
      </c>
    </row>
    <row r="24">
      <c r="A24" t="inlineStr">
        <is>
          <t>23</t>
        </is>
      </c>
      <c r="B24" t="inlineStr">
        <is>
          <t>Alison Ford</t>
        </is>
      </c>
      <c r="C24" t="inlineStr">
        <is>
          <t>GS Vecchi</t>
        </is>
      </c>
      <c r="D24" t="inlineStr">
        <is>
          <t>36</t>
        </is>
      </c>
      <c r="E24">
        <f>HYPERLINK("https://www.britishcycling.org.uk/points?person_id=47037&amp;year=2022&amp;type=national&amp;d=6","Results")</f>
        <v/>
      </c>
    </row>
    <row r="25">
      <c r="A25" t="inlineStr">
        <is>
          <t>24</t>
        </is>
      </c>
      <c r="B25" t="inlineStr">
        <is>
          <t>Nicola Kent</t>
        </is>
      </c>
      <c r="C25" t="inlineStr">
        <is>
          <t>Whitby Wheelers CC</t>
        </is>
      </c>
      <c r="D25" t="inlineStr">
        <is>
          <t>33</t>
        </is>
      </c>
      <c r="E25">
        <f>HYPERLINK("https://www.britishcycling.org.uk/points?person_id=487749&amp;year=2022&amp;type=national&amp;d=6","Results")</f>
        <v/>
      </c>
    </row>
    <row r="26">
      <c r="A26" t="inlineStr">
        <is>
          <t>25</t>
        </is>
      </c>
      <c r="B26" t="inlineStr">
        <is>
          <t>Lynne Coldray</t>
        </is>
      </c>
      <c r="C26" t="inlineStr">
        <is>
          <t>Club Corley Cycles RC</t>
        </is>
      </c>
      <c r="D26" t="inlineStr">
        <is>
          <t>32</t>
        </is>
      </c>
      <c r="E26">
        <f>HYPERLINK("https://www.britishcycling.org.uk/points?person_id=602957&amp;year=2022&amp;type=national&amp;d=6","Results")</f>
        <v/>
      </c>
    </row>
    <row r="27">
      <c r="A27" t="inlineStr">
        <is>
          <t>26</t>
        </is>
      </c>
      <c r="B27" t="inlineStr">
        <is>
          <t>Catherine Pascoe</t>
        </is>
      </c>
      <c r="C27" t="inlineStr">
        <is>
          <t>New Forest CC</t>
        </is>
      </c>
      <c r="D27" t="inlineStr">
        <is>
          <t>30</t>
        </is>
      </c>
      <c r="E27">
        <f>HYPERLINK("https://www.britishcycling.org.uk/points?person_id=67170&amp;year=2022&amp;type=national&amp;d=6","Results")</f>
        <v/>
      </c>
    </row>
    <row r="28">
      <c r="A28" t="inlineStr">
        <is>
          <t>27</t>
        </is>
      </c>
      <c r="B28" t="inlineStr">
        <is>
          <t>Tracey Fletcher</t>
        </is>
      </c>
      <c r="C28" t="inlineStr">
        <is>
          <t>Magspeed Racing</t>
        </is>
      </c>
      <c r="D28" t="inlineStr">
        <is>
          <t>28</t>
        </is>
      </c>
      <c r="E28">
        <f>HYPERLINK("https://www.britishcycling.org.uk/points?person_id=27758&amp;year=2022&amp;type=national&amp;d=6","Results")</f>
        <v/>
      </c>
    </row>
    <row r="29">
      <c r="A29" t="inlineStr">
        <is>
          <t>28</t>
        </is>
      </c>
      <c r="B29" t="inlineStr">
        <is>
          <t>Rosine Eisma</t>
        </is>
      </c>
      <c r="C29" t="inlineStr"/>
      <c r="D29" t="inlineStr">
        <is>
          <t>27</t>
        </is>
      </c>
      <c r="E29">
        <f>HYPERLINK("https://www.britishcycling.org.uk/points?person_id=1025819&amp;year=2022&amp;type=national&amp;d=6","Results")</f>
        <v/>
      </c>
    </row>
    <row r="30">
      <c r="A30" t="inlineStr">
        <is>
          <t>29</t>
        </is>
      </c>
      <c r="B30" t="inlineStr">
        <is>
          <t>Suzanne Wise</t>
        </is>
      </c>
      <c r="C30" t="inlineStr">
        <is>
          <t>C and N Cycles RT</t>
        </is>
      </c>
      <c r="D30" t="inlineStr">
        <is>
          <t>24</t>
        </is>
      </c>
      <c r="E30">
        <f>HYPERLINK("https://www.britishcycling.org.uk/points?person_id=607451&amp;year=2022&amp;type=national&amp;d=6","Results")</f>
        <v/>
      </c>
    </row>
    <row r="31">
      <c r="A31" t="inlineStr">
        <is>
          <t>30</t>
        </is>
      </c>
      <c r="B31" t="inlineStr">
        <is>
          <t>Judith Harper</t>
        </is>
      </c>
      <c r="C31" t="inlineStr">
        <is>
          <t>Solihull CC</t>
        </is>
      </c>
      <c r="D31" t="inlineStr">
        <is>
          <t>22</t>
        </is>
      </c>
      <c r="E31">
        <f>HYPERLINK("https://www.britishcycling.org.uk/points?person_id=238924&amp;year=2022&amp;type=national&amp;d=6","Results")</f>
        <v/>
      </c>
    </row>
    <row r="32">
      <c r="A32" t="inlineStr">
        <is>
          <t>31</t>
        </is>
      </c>
      <c r="B32" t="inlineStr">
        <is>
          <t>Jackie Shute</t>
        </is>
      </c>
      <c r="C32" t="inlineStr">
        <is>
          <t>Mid Devon CC</t>
        </is>
      </c>
      <c r="D32" t="inlineStr">
        <is>
          <t>22</t>
        </is>
      </c>
      <c r="E32">
        <f>HYPERLINK("https://www.britishcycling.org.uk/points?person_id=395528&amp;year=2022&amp;type=national&amp;d=6","Results")</f>
        <v/>
      </c>
    </row>
    <row r="33">
      <c r="A33" t="inlineStr">
        <is>
          <t>32</t>
        </is>
      </c>
      <c r="B33" t="inlineStr">
        <is>
          <t>Claire Sharp</t>
        </is>
      </c>
      <c r="C33" t="inlineStr">
        <is>
          <t>Verulam CC</t>
        </is>
      </c>
      <c r="D33" t="inlineStr">
        <is>
          <t>21</t>
        </is>
      </c>
      <c r="E33">
        <f>HYPERLINK("https://www.britishcycling.org.uk/points?person_id=304742&amp;year=2022&amp;type=national&amp;d=6","Results")</f>
        <v/>
      </c>
    </row>
    <row r="34">
      <c r="A34" t="inlineStr">
        <is>
          <t>33</t>
        </is>
      </c>
      <c r="B34" t="inlineStr">
        <is>
          <t>Maggie McPhillips</t>
        </is>
      </c>
      <c r="C34" t="inlineStr">
        <is>
          <t>Stockport Clarion CC</t>
        </is>
      </c>
      <c r="D34" t="inlineStr">
        <is>
          <t>20</t>
        </is>
      </c>
      <c r="E34">
        <f>HYPERLINK("https://www.britishcycling.org.uk/points?person_id=543783&amp;year=2022&amp;type=national&amp;d=6","Results")</f>
        <v/>
      </c>
    </row>
    <row r="35">
      <c r="A35" t="inlineStr">
        <is>
          <t>34</t>
        </is>
      </c>
      <c r="B35" t="inlineStr">
        <is>
          <t>Caroline Mansfield</t>
        </is>
      </c>
      <c r="C35" t="inlineStr">
        <is>
          <t>Magspeed Racing</t>
        </is>
      </c>
      <c r="D35" t="inlineStr">
        <is>
          <t>19</t>
        </is>
      </c>
      <c r="E35">
        <f>HYPERLINK("https://www.britishcycling.org.uk/points?person_id=179243&amp;year=2022&amp;type=national&amp;d=6","Results")</f>
        <v/>
      </c>
    </row>
    <row r="36">
      <c r="A36" t="inlineStr">
        <is>
          <t>35</t>
        </is>
      </c>
      <c r="B36" t="inlineStr">
        <is>
          <t>Alison Bagnall</t>
        </is>
      </c>
      <c r="C36" t="inlineStr">
        <is>
          <t>ROTOR Race Team</t>
        </is>
      </c>
      <c r="D36" t="inlineStr">
        <is>
          <t>16</t>
        </is>
      </c>
      <c r="E36">
        <f>HYPERLINK("https://www.britishcycling.org.uk/points?person_id=540393&amp;year=2022&amp;type=national&amp;d=6","Results")</f>
        <v/>
      </c>
    </row>
    <row r="37">
      <c r="A37" t="inlineStr">
        <is>
          <t>36</t>
        </is>
      </c>
      <c r="B37" t="inlineStr">
        <is>
          <t>Brenda Hoult</t>
        </is>
      </c>
      <c r="C37" t="inlineStr">
        <is>
          <t>Velo Club Venta</t>
        </is>
      </c>
      <c r="D37" t="inlineStr">
        <is>
          <t>16</t>
        </is>
      </c>
      <c r="E37">
        <f>HYPERLINK("https://www.britishcycling.org.uk/points?person_id=1084815&amp;year=2022&amp;type=national&amp;d=6","Results")</f>
        <v/>
      </c>
    </row>
    <row r="38">
      <c r="A38" t="inlineStr">
        <is>
          <t>37</t>
        </is>
      </c>
      <c r="B38" t="inlineStr">
        <is>
          <t>Helen Taylor-Carter</t>
        </is>
      </c>
      <c r="C38" t="inlineStr">
        <is>
          <t>Bedfordshire Road Cycling Club</t>
        </is>
      </c>
      <c r="D38" t="inlineStr">
        <is>
          <t>16</t>
        </is>
      </c>
      <c r="E38">
        <f>HYPERLINK("https://www.britishcycling.org.uk/points?person_id=952103&amp;year=2022&amp;type=national&amp;d=6","Results")</f>
        <v/>
      </c>
    </row>
    <row r="39">
      <c r="A39" t="inlineStr">
        <is>
          <t>38</t>
        </is>
      </c>
      <c r="B39" t="inlineStr">
        <is>
          <t>Nicky Quant</t>
        </is>
      </c>
      <c r="C39" t="inlineStr">
        <is>
          <t>Mid Devon CC</t>
        </is>
      </c>
      <c r="D39" t="inlineStr">
        <is>
          <t>15</t>
        </is>
      </c>
      <c r="E39">
        <f>HYPERLINK("https://www.britishcycling.org.uk/points?person_id=342828&amp;year=2022&amp;type=national&amp;d=6","Results")</f>
        <v/>
      </c>
    </row>
    <row r="40">
      <c r="A40" t="inlineStr">
        <is>
          <t>39</t>
        </is>
      </c>
      <c r="B40" t="inlineStr">
        <is>
          <t>Emma Kwok</t>
        </is>
      </c>
      <c r="C40" t="inlineStr">
        <is>
          <t>Bristol RC</t>
        </is>
      </c>
      <c r="D40" t="inlineStr">
        <is>
          <t>14</t>
        </is>
      </c>
      <c r="E40">
        <f>HYPERLINK("https://www.britishcycling.org.uk/points?person_id=1059226&amp;year=2022&amp;type=national&amp;d=6","Results")</f>
        <v/>
      </c>
    </row>
    <row r="41">
      <c r="A41" t="inlineStr">
        <is>
          <t>40</t>
        </is>
      </c>
      <c r="B41" t="inlineStr">
        <is>
          <t>Kirsteen Ellis</t>
        </is>
      </c>
      <c r="C41" t="inlineStr">
        <is>
          <t>Synergy Cycles</t>
        </is>
      </c>
      <c r="D41" t="inlineStr">
        <is>
          <t>13</t>
        </is>
      </c>
      <c r="E41">
        <f>HYPERLINK("https://www.britishcycling.org.uk/points?person_id=304067&amp;year=2022&amp;type=national&amp;d=6","Results")</f>
        <v/>
      </c>
    </row>
    <row r="42">
      <c r="A42" t="inlineStr">
        <is>
          <t>41</t>
        </is>
      </c>
      <c r="B42" t="inlineStr">
        <is>
          <t>Lynn Bland</t>
        </is>
      </c>
      <c r="C42" t="inlineStr">
        <is>
          <t>Norton Wheelers</t>
        </is>
      </c>
      <c r="D42" t="inlineStr">
        <is>
          <t>12</t>
        </is>
      </c>
      <c r="E42">
        <f>HYPERLINK("https://www.britishcycling.org.uk/points?person_id=71298&amp;year=2022&amp;type=national&amp;d=6","Results")</f>
        <v/>
      </c>
    </row>
    <row r="43">
      <c r="A43" t="inlineStr">
        <is>
          <t>42</t>
        </is>
      </c>
      <c r="B43" t="inlineStr">
        <is>
          <t>Jacqui Simcock</t>
        </is>
      </c>
      <c r="C43" t="inlineStr">
        <is>
          <t>Team JMC</t>
        </is>
      </c>
      <c r="D43" t="inlineStr">
        <is>
          <t>10</t>
        </is>
      </c>
      <c r="E43">
        <f>HYPERLINK("https://www.britishcycling.org.uk/points?person_id=357380&amp;year=2022&amp;type=national&amp;d=6","Results")</f>
        <v/>
      </c>
    </row>
    <row r="44">
      <c r="A44" t="inlineStr">
        <is>
          <t>43</t>
        </is>
      </c>
      <c r="B44" t="inlineStr">
        <is>
          <t>Jackie Field</t>
        </is>
      </c>
      <c r="C44" t="inlineStr">
        <is>
          <t>Cycle Club Ashwell (CCA)</t>
        </is>
      </c>
      <c r="D44" t="inlineStr">
        <is>
          <t>9</t>
        </is>
      </c>
      <c r="E44">
        <f>HYPERLINK("https://www.britishcycling.org.uk/points?person_id=175971&amp;year=2022&amp;type=national&amp;d=6","Results")</f>
        <v/>
      </c>
    </row>
    <row r="45">
      <c r="A45" t="inlineStr">
        <is>
          <t>44</t>
        </is>
      </c>
      <c r="B45" t="inlineStr">
        <is>
          <t>Emily Holl</t>
        </is>
      </c>
      <c r="C45" t="inlineStr">
        <is>
          <t>Stirling Bike Club</t>
        </is>
      </c>
      <c r="D45" t="inlineStr">
        <is>
          <t>9</t>
        </is>
      </c>
      <c r="E45">
        <f>HYPERLINK("https://www.britishcycling.org.uk/points?person_id=106307&amp;year=2022&amp;type=national&amp;d=6","Results")</f>
        <v/>
      </c>
    </row>
    <row r="46">
      <c r="A46" t="inlineStr">
        <is>
          <t>45</t>
        </is>
      </c>
      <c r="B46" t="inlineStr">
        <is>
          <t>Fiona Cockburn</t>
        </is>
      </c>
      <c r="C46" t="inlineStr">
        <is>
          <t>Torvelo Racing</t>
        </is>
      </c>
      <c r="D46" t="inlineStr">
        <is>
          <t>8</t>
        </is>
      </c>
      <c r="E46">
        <f>HYPERLINK("https://www.britishcycling.org.uk/points?person_id=565457&amp;year=2022&amp;type=national&amp;d=6","Results")</f>
        <v/>
      </c>
    </row>
    <row r="47">
      <c r="A47" t="inlineStr">
        <is>
          <t>46</t>
        </is>
      </c>
      <c r="B47" t="inlineStr">
        <is>
          <t>Gwen Warren</t>
        </is>
      </c>
      <c r="C47" t="inlineStr">
        <is>
          <t>Bedfordshire Road Cycling Club</t>
        </is>
      </c>
      <c r="D47" t="inlineStr">
        <is>
          <t>7</t>
        </is>
      </c>
      <c r="E47">
        <f>HYPERLINK("https://www.britishcycling.org.uk/points?person_id=268625&amp;year=2022&amp;type=national&amp;d=6","Results")</f>
        <v/>
      </c>
    </row>
    <row r="48">
      <c r="A48" t="inlineStr">
        <is>
          <t>47</t>
        </is>
      </c>
      <c r="B48" t="inlineStr">
        <is>
          <t>Kate Lowe</t>
        </is>
      </c>
      <c r="C48" t="inlineStr"/>
      <c r="D48" t="inlineStr">
        <is>
          <t>6</t>
        </is>
      </c>
      <c r="E48">
        <f>HYPERLINK("https://www.britishcycling.org.uk/points?person_id=943389&amp;year=2022&amp;type=national&amp;d=6","Results")</f>
        <v/>
      </c>
    </row>
    <row r="49">
      <c r="A49" t="inlineStr">
        <is>
          <t>48</t>
        </is>
      </c>
      <c r="B49" t="inlineStr">
        <is>
          <t>Alison Taylor</t>
        </is>
      </c>
      <c r="C49" t="inlineStr">
        <is>
          <t>Shibden Cycling Club</t>
        </is>
      </c>
      <c r="D49" t="inlineStr">
        <is>
          <t>6</t>
        </is>
      </c>
      <c r="E49">
        <f>HYPERLINK("https://www.britishcycling.org.uk/points?person_id=986885&amp;year=2022&amp;type=national&amp;d=6","Results")</f>
        <v/>
      </c>
    </row>
    <row r="50">
      <c r="A50" t="inlineStr">
        <is>
          <t>49</t>
        </is>
      </c>
      <c r="B50" t="inlineStr">
        <is>
          <t>Nicola Hartle</t>
        </is>
      </c>
      <c r="C50" t="inlineStr">
        <is>
          <t>PH-MAS - Paul Milnes Cycles</t>
        </is>
      </c>
      <c r="D50" t="inlineStr">
        <is>
          <t>5</t>
        </is>
      </c>
      <c r="E50">
        <f>HYPERLINK("https://www.britishcycling.org.uk/points?person_id=24304&amp;year=2022&amp;type=national&amp;d=6","Results")</f>
        <v/>
      </c>
    </row>
    <row r="51">
      <c r="A51" t="inlineStr">
        <is>
          <t>50</t>
        </is>
      </c>
      <c r="B51" t="inlineStr">
        <is>
          <t>Abigail Armstrong</t>
        </is>
      </c>
      <c r="C51" t="inlineStr">
        <is>
          <t>Beachy Head Cycling Club</t>
        </is>
      </c>
      <c r="D51" t="inlineStr">
        <is>
          <t>4</t>
        </is>
      </c>
      <c r="E51">
        <f>HYPERLINK("https://www.britishcycling.org.uk/points?person_id=69655&amp;year=2022&amp;type=national&amp;d=6","Results")</f>
        <v/>
      </c>
    </row>
    <row r="52">
      <c r="A52" t="inlineStr">
        <is>
          <t>51</t>
        </is>
      </c>
      <c r="B52" t="inlineStr">
        <is>
          <t>Renell Brennan</t>
        </is>
      </c>
      <c r="C52" t="inlineStr"/>
      <c r="D52" t="inlineStr">
        <is>
          <t>4</t>
        </is>
      </c>
      <c r="E52">
        <f>HYPERLINK("https://www.britishcycling.org.uk/points?person_id=2432&amp;year=2022&amp;type=national&amp;d=6","Results")</f>
        <v/>
      </c>
    </row>
    <row r="53">
      <c r="A53" t="inlineStr">
        <is>
          <t>52</t>
        </is>
      </c>
      <c r="B53" t="inlineStr">
        <is>
          <t>Joanne Lally</t>
        </is>
      </c>
      <c r="C53" t="inlineStr">
        <is>
          <t>Allen Valley Velo</t>
        </is>
      </c>
      <c r="D53" t="inlineStr">
        <is>
          <t>4</t>
        </is>
      </c>
      <c r="E53">
        <f>HYPERLINK("https://www.britishcycling.org.uk/points?person_id=176739&amp;year=2022&amp;type=national&amp;d=6","Results")</f>
        <v/>
      </c>
    </row>
    <row r="54">
      <c r="A54" t="inlineStr">
        <is>
          <t>53</t>
        </is>
      </c>
      <c r="B54" t="inlineStr">
        <is>
          <t>Catherine Logan</t>
        </is>
      </c>
      <c r="C54" t="inlineStr">
        <is>
          <t>Fullarton Wheelers Cycling Club</t>
        </is>
      </c>
      <c r="D54" t="inlineStr">
        <is>
          <t>4</t>
        </is>
      </c>
      <c r="E54">
        <f>HYPERLINK("https://www.britishcycling.org.uk/points?person_id=167996&amp;year=2022&amp;type=national&amp;d=6","Results")</f>
        <v/>
      </c>
    </row>
    <row r="55">
      <c r="A55" t="inlineStr">
        <is>
          <t>54</t>
        </is>
      </c>
      <c r="B55" t="inlineStr">
        <is>
          <t>Tamala McGee</t>
        </is>
      </c>
      <c r="C55" t="inlineStr">
        <is>
          <t>TRASH MILE</t>
        </is>
      </c>
      <c r="D55" t="inlineStr">
        <is>
          <t>4</t>
        </is>
      </c>
      <c r="E55">
        <f>HYPERLINK("https://www.britishcycling.org.uk/points?person_id=195900&amp;year=2022&amp;type=national&amp;d=6","Results")</f>
        <v/>
      </c>
    </row>
    <row r="56">
      <c r="A56" t="inlineStr">
        <is>
          <t>55</t>
        </is>
      </c>
      <c r="B56" t="inlineStr">
        <is>
          <t>Alison Stagg</t>
        </is>
      </c>
      <c r="C56" t="inlineStr">
        <is>
          <t>VC Deal</t>
        </is>
      </c>
      <c r="D56" t="inlineStr">
        <is>
          <t>4</t>
        </is>
      </c>
      <c r="E56">
        <f>HYPERLINK("https://www.britishcycling.org.uk/points?person_id=322677&amp;year=2022&amp;type=national&amp;d=6","Results")</f>
        <v/>
      </c>
    </row>
    <row r="57">
      <c r="A57" t="inlineStr">
        <is>
          <t>56</t>
        </is>
      </c>
      <c r="B57" t="inlineStr">
        <is>
          <t>Rita Humphreys</t>
        </is>
      </c>
      <c r="C57" t="inlineStr">
        <is>
          <t>Coventry Cycling Club</t>
        </is>
      </c>
      <c r="D57" t="inlineStr">
        <is>
          <t>3</t>
        </is>
      </c>
      <c r="E57">
        <f>HYPERLINK("https://www.britishcycling.org.uk/points?person_id=102896&amp;year=2022&amp;type=national&amp;d=6","Results")</f>
        <v/>
      </c>
    </row>
    <row r="58">
      <c r="A58" t="inlineStr">
        <is>
          <t>57</t>
        </is>
      </c>
      <c r="B58" t="inlineStr">
        <is>
          <t>Alicia Lisle</t>
        </is>
      </c>
      <c r="C58" t="inlineStr">
        <is>
          <t>Team Empella Cyclo-Cross.Com</t>
        </is>
      </c>
      <c r="D58" t="inlineStr">
        <is>
          <t>3</t>
        </is>
      </c>
      <c r="E58">
        <f>HYPERLINK("https://www.britishcycling.org.uk/points?person_id=497812&amp;year=2022&amp;type=national&amp;d=6","Results")</f>
        <v/>
      </c>
    </row>
    <row r="59">
      <c r="A59" t="inlineStr">
        <is>
          <t>58</t>
        </is>
      </c>
      <c r="B59" t="inlineStr">
        <is>
          <t>Debbie MacColl</t>
        </is>
      </c>
      <c r="C59" t="inlineStr">
        <is>
          <t>Team Milton Keynes</t>
        </is>
      </c>
      <c r="D59" t="inlineStr">
        <is>
          <t>3</t>
        </is>
      </c>
      <c r="E59">
        <f>HYPERLINK("https://www.britishcycling.org.uk/points?person_id=557687&amp;year=2022&amp;type=national&amp;d=6","Results")</f>
        <v/>
      </c>
    </row>
    <row r="60">
      <c r="A60" t="inlineStr">
        <is>
          <t>59</t>
        </is>
      </c>
      <c r="B60" t="inlineStr">
        <is>
          <t>Danielle Petersmann</t>
        </is>
      </c>
      <c r="C60" t="inlineStr"/>
      <c r="D60" t="inlineStr">
        <is>
          <t>3</t>
        </is>
      </c>
      <c r="E60">
        <f>HYPERLINK("https://www.britishcycling.org.uk/points?person_id=319198&amp;year=2022&amp;type=national&amp;d=6","Results")</f>
        <v/>
      </c>
    </row>
    <row r="61">
      <c r="A61" t="inlineStr">
        <is>
          <t>60</t>
        </is>
      </c>
      <c r="B61" t="inlineStr">
        <is>
          <t>Gill Thom</t>
        </is>
      </c>
      <c r="C61" t="inlineStr">
        <is>
          <t>Kingston Wheelers CC</t>
        </is>
      </c>
      <c r="D61" t="inlineStr">
        <is>
          <t>3</t>
        </is>
      </c>
      <c r="E61">
        <f>HYPERLINK("https://www.britishcycling.org.uk/points?person_id=271465&amp;year=2022&amp;type=national&amp;d=6","Results")</f>
        <v/>
      </c>
    </row>
    <row r="62">
      <c r="A62" t="inlineStr">
        <is>
          <t>61</t>
        </is>
      </c>
      <c r="B62" t="inlineStr">
        <is>
          <t>Kate Dance</t>
        </is>
      </c>
      <c r="C62" t="inlineStr">
        <is>
          <t>Parenesis - TougHuman Cycling</t>
        </is>
      </c>
      <c r="D62" t="inlineStr">
        <is>
          <t>2</t>
        </is>
      </c>
      <c r="E62">
        <f>HYPERLINK("https://www.britishcycling.org.uk/points?person_id=611435&amp;year=2022&amp;type=national&amp;d=6","Results")</f>
        <v/>
      </c>
    </row>
    <row r="63">
      <c r="A63" t="inlineStr">
        <is>
          <t>62</t>
        </is>
      </c>
      <c r="B63" t="inlineStr">
        <is>
          <t>Lucie Gallen</t>
        </is>
      </c>
      <c r="C63" t="inlineStr"/>
      <c r="D63" t="inlineStr">
        <is>
          <t>2</t>
        </is>
      </c>
      <c r="E63">
        <f>HYPERLINK("https://www.britishcycling.org.uk/points?person_id=201337&amp;year=2022&amp;type=national&amp;d=6","Results")</f>
        <v/>
      </c>
    </row>
    <row r="64">
      <c r="A64" t="inlineStr">
        <is>
          <t>63</t>
        </is>
      </c>
      <c r="B64" t="inlineStr">
        <is>
          <t>Christina Burns</t>
        </is>
      </c>
      <c r="C64" t="inlineStr">
        <is>
          <t>Derby Mercury RC</t>
        </is>
      </c>
      <c r="D64" t="inlineStr">
        <is>
          <t>1</t>
        </is>
      </c>
      <c r="E64">
        <f>HYPERLINK("https://www.britishcycling.org.uk/points?person_id=394388&amp;year=2022&amp;type=national&amp;d=6","Results")</f>
        <v/>
      </c>
    </row>
    <row r="65">
      <c r="A65" t="inlineStr">
        <is>
          <t>64</t>
        </is>
      </c>
      <c r="B65" t="inlineStr">
        <is>
          <t>Janice Lockyer</t>
        </is>
      </c>
      <c r="C65" t="inlineStr">
        <is>
          <t>Brighton Excelsior CC</t>
        </is>
      </c>
      <c r="D65" t="inlineStr">
        <is>
          <t>1</t>
        </is>
      </c>
      <c r="E65">
        <f>HYPERLINK("https://www.britishcycling.org.uk/points?person_id=34283&amp;year=2022&amp;type=national&amp;d=6","Results")</f>
        <v/>
      </c>
    </row>
    <row r="66">
      <c r="A66" t="inlineStr">
        <is>
          <t>65</t>
        </is>
      </c>
      <c r="B66" t="inlineStr">
        <is>
          <t>Samantha Messenger</t>
        </is>
      </c>
      <c r="C66" t="inlineStr">
        <is>
          <t>Bicester Millennium CC</t>
        </is>
      </c>
      <c r="D66" t="inlineStr">
        <is>
          <t>1</t>
        </is>
      </c>
      <c r="E66">
        <f>HYPERLINK("https://www.britishcycling.org.uk/points?person_id=531029&amp;year=2022&amp;type=national&amp;d=6","Results")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Katie Burgess</t>
        </is>
      </c>
      <c r="C2" t="inlineStr">
        <is>
          <t>Oscar Bravo</t>
        </is>
      </c>
      <c r="D2" t="inlineStr">
        <is>
          <t>29</t>
        </is>
      </c>
      <c r="E2">
        <f>HYPERLINK("https://www.britishcycling.org.uk/points?person_id=55991&amp;year=2022&amp;type=national&amp;d=6","Results")</f>
        <v/>
      </c>
    </row>
    <row r="3">
      <c r="A3" t="inlineStr">
        <is>
          <t>2</t>
        </is>
      </c>
      <c r="B3" t="inlineStr">
        <is>
          <t>Nicola Davies</t>
        </is>
      </c>
      <c r="C3" t="inlineStr">
        <is>
          <t>www.cyclocrossrider.com</t>
        </is>
      </c>
      <c r="D3" t="inlineStr">
        <is>
          <t>27</t>
        </is>
      </c>
      <c r="E3">
        <f>HYPERLINK("https://www.britishcycling.org.uk/points?person_id=23143&amp;year=2022&amp;type=national&amp;d=6","Results")</f>
        <v/>
      </c>
    </row>
    <row r="4">
      <c r="A4" t="inlineStr">
        <is>
          <t>3</t>
        </is>
      </c>
      <c r="B4" t="inlineStr">
        <is>
          <t>Karen Payton</t>
        </is>
      </c>
      <c r="C4" t="inlineStr"/>
      <c r="D4" t="inlineStr">
        <is>
          <t>25</t>
        </is>
      </c>
      <c r="E4">
        <f>HYPERLINK("https://www.britishcycling.org.uk/points?person_id=37432&amp;year=2022&amp;type=national&amp;d=6","Results")</f>
        <v/>
      </c>
    </row>
    <row r="5">
      <c r="A5" t="inlineStr">
        <is>
          <t>4</t>
        </is>
      </c>
      <c r="B5" t="inlineStr">
        <is>
          <t>Sally Reid</t>
        </is>
      </c>
      <c r="C5" t="inlineStr">
        <is>
          <t>Magspeed Racing</t>
        </is>
      </c>
      <c r="D5" t="inlineStr">
        <is>
          <t>25</t>
        </is>
      </c>
      <c r="E5">
        <f>HYPERLINK("https://www.britishcycling.org.uk/points?person_id=333365&amp;year=2022&amp;type=national&amp;d=6","Results")</f>
        <v/>
      </c>
    </row>
    <row r="6">
      <c r="A6" t="inlineStr">
        <is>
          <t>5</t>
        </is>
      </c>
      <c r="B6" t="inlineStr">
        <is>
          <t>Karen McGrath</t>
        </is>
      </c>
      <c r="C6" t="inlineStr">
        <is>
          <t>Worthing Excelsior CC</t>
        </is>
      </c>
      <c r="D6" t="inlineStr">
        <is>
          <t>23</t>
        </is>
      </c>
      <c r="E6">
        <f>HYPERLINK("https://www.britishcycling.org.uk/points?person_id=228737&amp;year=2022&amp;type=national&amp;d=6","Results")</f>
        <v/>
      </c>
    </row>
    <row r="7">
      <c r="A7" t="inlineStr">
        <is>
          <t>6</t>
        </is>
      </c>
      <c r="B7" t="inlineStr">
        <is>
          <t>Carolyn Speirs</t>
        </is>
      </c>
      <c r="C7" t="inlineStr">
        <is>
          <t>Kendal Cycle Club</t>
        </is>
      </c>
      <c r="D7" t="inlineStr">
        <is>
          <t>20</t>
        </is>
      </c>
      <c r="E7">
        <f>HYPERLINK("https://www.britishcycling.org.uk/points?person_id=43271&amp;year=2022&amp;type=national&amp;d=6","Results")</f>
        <v/>
      </c>
    </row>
    <row r="8">
      <c r="A8" t="inlineStr">
        <is>
          <t>7</t>
        </is>
      </c>
      <c r="B8" t="inlineStr">
        <is>
          <t>Elizabeth Webb</t>
        </is>
      </c>
      <c r="C8" t="inlineStr">
        <is>
          <t>Cardiff Ajax CC</t>
        </is>
      </c>
      <c r="D8" t="inlineStr">
        <is>
          <t>20</t>
        </is>
      </c>
      <c r="E8">
        <f>HYPERLINK("https://www.britishcycling.org.uk/points?person_id=79422&amp;year=2022&amp;type=national&amp;d=6","Results")</f>
        <v/>
      </c>
    </row>
    <row r="9">
      <c r="A9" t="inlineStr">
        <is>
          <t>8</t>
        </is>
      </c>
      <c r="B9" t="inlineStr">
        <is>
          <t>Elizabeth Clayton</t>
        </is>
      </c>
      <c r="C9" t="inlineStr">
        <is>
          <t>RT23</t>
        </is>
      </c>
      <c r="D9" t="inlineStr">
        <is>
          <t>18</t>
        </is>
      </c>
      <c r="E9">
        <f>HYPERLINK("https://www.britishcycling.org.uk/points?person_id=26258&amp;year=2022&amp;type=national&amp;d=6","Results")</f>
        <v/>
      </c>
    </row>
    <row r="10">
      <c r="A10" t="inlineStr">
        <is>
          <t>9</t>
        </is>
      </c>
      <c r="B10" t="inlineStr">
        <is>
          <t>Louise Crossman</t>
        </is>
      </c>
      <c r="C10" t="inlineStr">
        <is>
          <t>Minehead Cycling Club</t>
        </is>
      </c>
      <c r="D10" t="inlineStr">
        <is>
          <t>16</t>
        </is>
      </c>
      <c r="E10">
        <f>HYPERLINK("https://www.britishcycling.org.uk/points?person_id=425849&amp;year=2022&amp;type=national&amp;d=6","Results")</f>
        <v/>
      </c>
    </row>
    <row r="11">
      <c r="A11" t="inlineStr">
        <is>
          <t>10</t>
        </is>
      </c>
      <c r="B11" t="inlineStr">
        <is>
          <t>Fiona Paton</t>
        </is>
      </c>
      <c r="C11" t="inlineStr">
        <is>
          <t>East Sutherland Wheelers</t>
        </is>
      </c>
      <c r="D11" t="inlineStr">
        <is>
          <t>15</t>
        </is>
      </c>
      <c r="E11">
        <f>HYPERLINK("https://www.britishcycling.org.uk/points?person_id=101889&amp;year=2022&amp;type=national&amp;d=6","Results")</f>
        <v/>
      </c>
    </row>
    <row r="12">
      <c r="A12" t="inlineStr">
        <is>
          <t>11</t>
        </is>
      </c>
      <c r="B12" t="inlineStr">
        <is>
          <t>Lydia Gould</t>
        </is>
      </c>
      <c r="C12" t="inlineStr">
        <is>
          <t>Velo Club Venta</t>
        </is>
      </c>
      <c r="D12" t="inlineStr">
        <is>
          <t>12</t>
        </is>
      </c>
      <c r="E12">
        <f>HYPERLINK("https://www.britishcycling.org.uk/points?person_id=25383&amp;year=2022&amp;type=national&amp;d=6","Results")</f>
        <v/>
      </c>
    </row>
    <row r="13">
      <c r="A13" t="inlineStr">
        <is>
          <t>12</t>
        </is>
      </c>
      <c r="B13" t="inlineStr">
        <is>
          <t>Carol Tilley</t>
        </is>
      </c>
      <c r="C13" t="inlineStr">
        <is>
          <t>BmthCycleworks VitecFire FordCE</t>
        </is>
      </c>
      <c r="D13" t="inlineStr">
        <is>
          <t>7</t>
        </is>
      </c>
      <c r="E13">
        <f>HYPERLINK("https://www.britishcycling.org.uk/points?person_id=56705&amp;year=2022&amp;type=national&amp;d=6","Results")</f>
        <v/>
      </c>
    </row>
    <row r="14">
      <c r="A14" t="inlineStr">
        <is>
          <t>13</t>
        </is>
      </c>
      <c r="B14" t="inlineStr">
        <is>
          <t>Carol Middleton</t>
        </is>
      </c>
      <c r="C14" t="inlineStr">
        <is>
          <t>Ythan CC</t>
        </is>
      </c>
      <c r="D14" t="inlineStr">
        <is>
          <t>6</t>
        </is>
      </c>
      <c r="E14">
        <f>HYPERLINK("https://www.britishcycling.org.uk/points?person_id=77129&amp;year=2022&amp;type=national&amp;d=6","Results")</f>
        <v/>
      </c>
    </row>
    <row r="15">
      <c r="A15" t="inlineStr">
        <is>
          <t>14</t>
        </is>
      </c>
      <c r="B15" t="inlineStr">
        <is>
          <t>Jean Bergin</t>
        </is>
      </c>
      <c r="C15" t="inlineStr">
        <is>
          <t>De Laune CC</t>
        </is>
      </c>
      <c r="D15" t="inlineStr">
        <is>
          <t>3</t>
        </is>
      </c>
      <c r="E15">
        <f>HYPERLINK("https://www.britishcycling.org.uk/points?person_id=416871&amp;year=2022&amp;type=national&amp;d=6","Results")</f>
        <v/>
      </c>
    </row>
    <row r="16">
      <c r="A16" t="inlineStr">
        <is>
          <t>15</t>
        </is>
      </c>
      <c r="B16" t="inlineStr">
        <is>
          <t>Carolyn Heeps</t>
        </is>
      </c>
      <c r="C16" t="inlineStr">
        <is>
          <t>Norwood Paragon CC</t>
        </is>
      </c>
      <c r="D16" t="inlineStr">
        <is>
          <t>3</t>
        </is>
      </c>
      <c r="E16">
        <f>HYPERLINK("https://www.britishcycling.org.uk/points?person_id=103576&amp;year=2022&amp;type=national&amp;d=6","Results")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57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Innes McDonald</t>
        </is>
      </c>
      <c r="C2" t="inlineStr">
        <is>
          <t>Edinburgh RC</t>
        </is>
      </c>
      <c r="D2" t="inlineStr">
        <is>
          <t>598</t>
        </is>
      </c>
      <c r="E2">
        <f>HYPERLINK("https://www.britishcycling.org.uk/points?person_id=340261&amp;year=2022&amp;type=national&amp;d=6","Results")</f>
        <v/>
      </c>
    </row>
    <row r="3">
      <c r="A3" t="inlineStr">
        <is>
          <t>2</t>
        </is>
      </c>
      <c r="B3" t="inlineStr">
        <is>
          <t>Oscar Amey</t>
        </is>
      </c>
      <c r="C3" t="inlineStr">
        <is>
          <t>GKR Racing</t>
        </is>
      </c>
      <c r="D3" t="inlineStr">
        <is>
          <t>520</t>
        </is>
      </c>
      <c r="E3">
        <f>HYPERLINK("https://www.britishcycling.org.uk/points?person_id=218544&amp;year=2022&amp;type=national&amp;d=6","Results")</f>
        <v/>
      </c>
    </row>
    <row r="4">
      <c r="A4" t="inlineStr">
        <is>
          <t>3</t>
        </is>
      </c>
      <c r="B4" t="inlineStr">
        <is>
          <t>Leon Atkins</t>
        </is>
      </c>
      <c r="C4" t="inlineStr">
        <is>
          <t>Garden Shed UK-Ribble-Verge Sport</t>
        </is>
      </c>
      <c r="D4" t="inlineStr">
        <is>
          <t>482</t>
        </is>
      </c>
      <c r="E4">
        <f>HYPERLINK("https://www.britishcycling.org.uk/points?person_id=585004&amp;year=2022&amp;type=national&amp;d=6","Results")</f>
        <v/>
      </c>
    </row>
    <row r="5">
      <c r="A5" t="inlineStr">
        <is>
          <t>4</t>
        </is>
      </c>
      <c r="B5" t="inlineStr">
        <is>
          <t>Mak Larkin</t>
        </is>
      </c>
      <c r="C5" t="inlineStr">
        <is>
          <t>ROTOR Race Team</t>
        </is>
      </c>
      <c r="D5" t="inlineStr">
        <is>
          <t>444</t>
        </is>
      </c>
      <c r="E5">
        <f>HYPERLINK("https://www.britishcycling.org.uk/points?person_id=604670&amp;year=2022&amp;type=national&amp;d=6","Results")</f>
        <v/>
      </c>
    </row>
    <row r="6">
      <c r="A6" t="inlineStr">
        <is>
          <t>5</t>
        </is>
      </c>
      <c r="B6" t="inlineStr">
        <is>
          <t>Dillon Air</t>
        </is>
      </c>
      <c r="C6" t="inlineStr">
        <is>
          <t>Ilkeston Cycle Club</t>
        </is>
      </c>
      <c r="D6" t="inlineStr">
        <is>
          <t>406</t>
        </is>
      </c>
      <c r="E6">
        <f>HYPERLINK("https://www.britishcycling.org.uk/points?person_id=376907&amp;year=2022&amp;type=national&amp;d=6","Results")</f>
        <v/>
      </c>
    </row>
    <row r="7">
      <c r="A7" t="inlineStr">
        <is>
          <t>6</t>
        </is>
      </c>
      <c r="B7" t="inlineStr">
        <is>
          <t>Alex Hart</t>
        </is>
      </c>
      <c r="C7" t="inlineStr">
        <is>
          <t>Mid Shropshire Wheelers</t>
        </is>
      </c>
      <c r="D7" t="inlineStr">
        <is>
          <t>396</t>
        </is>
      </c>
      <c r="E7">
        <f>HYPERLINK("https://www.britishcycling.org.uk/points?person_id=351456&amp;year=2022&amp;type=national&amp;d=6","Results")</f>
        <v/>
      </c>
    </row>
    <row r="8">
      <c r="A8" t="inlineStr">
        <is>
          <t>7</t>
        </is>
      </c>
      <c r="B8" t="inlineStr">
        <is>
          <t>Matthew Bell</t>
        </is>
      </c>
      <c r="C8" t="inlineStr">
        <is>
          <t>Kirklees Cycling Academy</t>
        </is>
      </c>
      <c r="D8" t="inlineStr">
        <is>
          <t>389</t>
        </is>
      </c>
      <c r="E8">
        <f>HYPERLINK("https://www.britishcycling.org.uk/points?person_id=385736&amp;year=2022&amp;type=national&amp;d=6","Results")</f>
        <v/>
      </c>
    </row>
    <row r="9">
      <c r="A9" t="inlineStr">
        <is>
          <t>8</t>
        </is>
      </c>
      <c r="B9" t="inlineStr">
        <is>
          <t>Jamie Stewart</t>
        </is>
      </c>
      <c r="C9" t="inlineStr">
        <is>
          <t>Shibden Cycling Club</t>
        </is>
      </c>
      <c r="D9" t="inlineStr">
        <is>
          <t>388</t>
        </is>
      </c>
      <c r="E9">
        <f>HYPERLINK("https://www.britishcycling.org.uk/points?person_id=359028&amp;year=2022&amp;type=national&amp;d=6","Results")</f>
        <v/>
      </c>
    </row>
    <row r="10">
      <c r="A10" t="inlineStr">
        <is>
          <t>9</t>
        </is>
      </c>
      <c r="B10" t="inlineStr">
        <is>
          <t>Adam Jones</t>
        </is>
      </c>
      <c r="C10" t="inlineStr">
        <is>
          <t>Four4th</t>
        </is>
      </c>
      <c r="D10" t="inlineStr">
        <is>
          <t>354</t>
        </is>
      </c>
      <c r="E10">
        <f>HYPERLINK("https://www.britishcycling.org.uk/points?person_id=667395&amp;year=2022&amp;type=national&amp;d=6","Results")</f>
        <v/>
      </c>
    </row>
    <row r="11">
      <c r="A11" t="inlineStr">
        <is>
          <t>10</t>
        </is>
      </c>
      <c r="B11" t="inlineStr">
        <is>
          <t>Peter Carpenter</t>
        </is>
      </c>
      <c r="C11" t="inlineStr">
        <is>
          <t>C and N Cycles RT</t>
        </is>
      </c>
      <c r="D11" t="inlineStr">
        <is>
          <t>306</t>
        </is>
      </c>
      <c r="E11">
        <f>HYPERLINK("https://www.britishcycling.org.uk/points?person_id=228183&amp;year=2022&amp;type=national&amp;d=6","Results")</f>
        <v/>
      </c>
    </row>
    <row r="12">
      <c r="A12" t="inlineStr">
        <is>
          <t>11</t>
        </is>
      </c>
      <c r="B12" t="inlineStr">
        <is>
          <t>Charlie Hoyle</t>
        </is>
      </c>
      <c r="C12" t="inlineStr">
        <is>
          <t>Ashfield RC</t>
        </is>
      </c>
      <c r="D12" t="inlineStr">
        <is>
          <t>306</t>
        </is>
      </c>
      <c r="E12">
        <f>HYPERLINK("https://www.britishcycling.org.uk/points?person_id=452397&amp;year=2022&amp;type=national&amp;d=6","Results")</f>
        <v/>
      </c>
    </row>
    <row r="13">
      <c r="A13" t="inlineStr">
        <is>
          <t>12</t>
        </is>
      </c>
      <c r="B13" t="inlineStr">
        <is>
          <t>Luca Bednarek</t>
        </is>
      </c>
      <c r="C13" t="inlineStr">
        <is>
          <t>Kirklees Cycling Academy</t>
        </is>
      </c>
      <c r="D13" t="inlineStr">
        <is>
          <t>301</t>
        </is>
      </c>
      <c r="E13">
        <f>HYPERLINK("https://www.britishcycling.org.uk/points?person_id=469206&amp;year=2022&amp;type=national&amp;d=6","Results")</f>
        <v/>
      </c>
    </row>
    <row r="14">
      <c r="A14" t="inlineStr">
        <is>
          <t>13</t>
        </is>
      </c>
      <c r="B14" t="inlineStr">
        <is>
          <t>Noah Ellison</t>
        </is>
      </c>
      <c r="C14" t="inlineStr">
        <is>
          <t>Shibden Cycling Club</t>
        </is>
      </c>
      <c r="D14" t="inlineStr">
        <is>
          <t>288</t>
        </is>
      </c>
      <c r="E14">
        <f>HYPERLINK("https://www.britishcycling.org.uk/points?person_id=546293&amp;year=2022&amp;type=national&amp;d=6","Results")</f>
        <v/>
      </c>
    </row>
    <row r="15">
      <c r="A15" t="inlineStr">
        <is>
          <t>14</t>
        </is>
      </c>
      <c r="B15" t="inlineStr">
        <is>
          <t>Miles Horner</t>
        </is>
      </c>
      <c r="C15" t="inlineStr">
        <is>
          <t>Solent Pirates</t>
        </is>
      </c>
      <c r="D15" t="inlineStr">
        <is>
          <t>255</t>
        </is>
      </c>
      <c r="E15">
        <f>HYPERLINK("https://www.britishcycling.org.uk/points?person_id=753385&amp;year=2022&amp;type=national&amp;d=6","Results")</f>
        <v/>
      </c>
    </row>
    <row r="16">
      <c r="A16" t="inlineStr">
        <is>
          <t>15</t>
        </is>
      </c>
      <c r="B16" t="inlineStr">
        <is>
          <t>Isaac Oliver</t>
        </is>
      </c>
      <c r="C16" t="inlineStr">
        <is>
          <t>Sheffield Youth Cycling Club</t>
        </is>
      </c>
      <c r="D16" t="inlineStr">
        <is>
          <t>245</t>
        </is>
      </c>
      <c r="E16">
        <f>HYPERLINK("https://www.britishcycling.org.uk/points?person_id=951372&amp;year=2022&amp;type=national&amp;d=6","Results")</f>
        <v/>
      </c>
    </row>
    <row r="17">
      <c r="A17" t="inlineStr">
        <is>
          <t>16</t>
        </is>
      </c>
      <c r="B17" t="inlineStr">
        <is>
          <t>Mackenzie Riley</t>
        </is>
      </c>
      <c r="C17" t="inlineStr">
        <is>
          <t>Shibden Cycling Club</t>
        </is>
      </c>
      <c r="D17" t="inlineStr">
        <is>
          <t>242</t>
        </is>
      </c>
      <c r="E17">
        <f>HYPERLINK("https://www.britishcycling.org.uk/points?person_id=383351&amp;year=2022&amp;type=national&amp;d=6","Results")</f>
        <v/>
      </c>
    </row>
    <row r="18">
      <c r="A18" t="inlineStr">
        <is>
          <t>17</t>
        </is>
      </c>
      <c r="B18" t="inlineStr">
        <is>
          <t>Declan Oldham</t>
        </is>
      </c>
      <c r="C18" t="inlineStr">
        <is>
          <t>Hope Factory Racing</t>
        </is>
      </c>
      <c r="D18" t="inlineStr">
        <is>
          <t>226</t>
        </is>
      </c>
      <c r="E18">
        <f>HYPERLINK("https://www.britishcycling.org.uk/points?person_id=766143&amp;year=2022&amp;type=national&amp;d=6","Results")</f>
        <v/>
      </c>
    </row>
    <row r="19">
      <c r="A19" t="inlineStr">
        <is>
          <t>18</t>
        </is>
      </c>
      <c r="B19" t="inlineStr">
        <is>
          <t>Sam Budd</t>
        </is>
      </c>
      <c r="C19" t="inlineStr">
        <is>
          <t>Magspeed Racing</t>
        </is>
      </c>
      <c r="D19" t="inlineStr">
        <is>
          <t>225</t>
        </is>
      </c>
      <c r="E19">
        <f>HYPERLINK("https://www.britishcycling.org.uk/points?person_id=676773&amp;year=2022&amp;type=national&amp;d=6","Results")</f>
        <v/>
      </c>
    </row>
    <row r="20">
      <c r="A20" t="inlineStr">
        <is>
          <t>19</t>
        </is>
      </c>
      <c r="B20" t="inlineStr">
        <is>
          <t>Magnus Denwood</t>
        </is>
      </c>
      <c r="C20" t="inlineStr">
        <is>
          <t>Harrogate Nova CC</t>
        </is>
      </c>
      <c r="D20" t="inlineStr">
        <is>
          <t>203</t>
        </is>
      </c>
      <c r="E20">
        <f>HYPERLINK("https://www.britishcycling.org.uk/points?person_id=781446&amp;year=2022&amp;type=national&amp;d=6","Results")</f>
        <v/>
      </c>
    </row>
    <row r="21">
      <c r="A21" t="inlineStr">
        <is>
          <t>20</t>
        </is>
      </c>
      <c r="B21" t="inlineStr">
        <is>
          <t>Freddie Dixon</t>
        </is>
      </c>
      <c r="C21" t="inlineStr">
        <is>
          <t>Hope Factory Racing</t>
        </is>
      </c>
      <c r="D21" t="inlineStr">
        <is>
          <t>186</t>
        </is>
      </c>
      <c r="E21">
        <f>HYPERLINK("https://www.britishcycling.org.uk/points?person_id=983294&amp;year=2022&amp;type=national&amp;d=6","Results")</f>
        <v/>
      </c>
    </row>
    <row r="22">
      <c r="A22" t="inlineStr">
        <is>
          <t>21</t>
        </is>
      </c>
      <c r="B22" t="inlineStr">
        <is>
          <t>Benjamin Massey</t>
        </is>
      </c>
      <c r="C22" t="inlineStr">
        <is>
          <t>West Lothian Clarion CC</t>
        </is>
      </c>
      <c r="D22" t="inlineStr">
        <is>
          <t>184</t>
        </is>
      </c>
      <c r="E22">
        <f>HYPERLINK("https://www.britishcycling.org.uk/points?person_id=314338&amp;year=2022&amp;type=national&amp;d=6","Results")</f>
        <v/>
      </c>
    </row>
    <row r="23">
      <c r="A23" t="inlineStr">
        <is>
          <t>22</t>
        </is>
      </c>
      <c r="B23" t="inlineStr">
        <is>
          <t>Seth Jackson</t>
        </is>
      </c>
      <c r="C23" t="inlineStr">
        <is>
          <t>Kirklees Cycling Academy</t>
        </is>
      </c>
      <c r="D23" t="inlineStr">
        <is>
          <t>180</t>
        </is>
      </c>
      <c r="E23">
        <f>HYPERLINK("https://www.britishcycling.org.uk/points?person_id=422790&amp;year=2022&amp;type=national&amp;d=6","Results")</f>
        <v/>
      </c>
    </row>
    <row r="24">
      <c r="A24" t="inlineStr">
        <is>
          <t>23</t>
        </is>
      </c>
      <c r="B24" t="inlineStr">
        <is>
          <t>Oliver Beale</t>
        </is>
      </c>
      <c r="C24" t="inlineStr">
        <is>
          <t>Welwyn Wheelers CC</t>
        </is>
      </c>
      <c r="D24" t="inlineStr">
        <is>
          <t>172</t>
        </is>
      </c>
      <c r="E24">
        <f>HYPERLINK("https://www.britishcycling.org.uk/points?person_id=618946&amp;year=2022&amp;type=national&amp;d=6","Results")</f>
        <v/>
      </c>
    </row>
    <row r="25">
      <c r="A25" t="inlineStr">
        <is>
          <t>24</t>
        </is>
      </c>
      <c r="B25" t="inlineStr">
        <is>
          <t>Arthur Limb</t>
        </is>
      </c>
      <c r="C25" t="inlineStr">
        <is>
          <t>Matlock CC</t>
        </is>
      </c>
      <c r="D25" t="inlineStr">
        <is>
          <t>172</t>
        </is>
      </c>
      <c r="E25">
        <f>HYPERLINK("https://www.britishcycling.org.uk/points?person_id=613155&amp;year=2022&amp;type=national&amp;d=6","Results")</f>
        <v/>
      </c>
    </row>
    <row r="26">
      <c r="A26" t="inlineStr">
        <is>
          <t>25</t>
        </is>
      </c>
      <c r="B26" t="inlineStr">
        <is>
          <t>Oscar Nisbett</t>
        </is>
      </c>
      <c r="C26" t="inlineStr">
        <is>
          <t>Crawley Wheelers Race Team</t>
        </is>
      </c>
      <c r="D26" t="inlineStr">
        <is>
          <t>164</t>
        </is>
      </c>
      <c r="E26">
        <f>HYPERLINK("https://www.britishcycling.org.uk/points?person_id=199906&amp;year=2022&amp;type=national&amp;d=6","Results")</f>
        <v/>
      </c>
    </row>
    <row r="27">
      <c r="A27" t="inlineStr">
        <is>
          <t>26</t>
        </is>
      </c>
      <c r="B27" t="inlineStr">
        <is>
          <t>Matthew Fletcher</t>
        </is>
      </c>
      <c r="C27" t="inlineStr">
        <is>
          <t>4T+ Cyclopark</t>
        </is>
      </c>
      <c r="D27" t="inlineStr">
        <is>
          <t>160</t>
        </is>
      </c>
      <c r="E27">
        <f>HYPERLINK("https://www.britishcycling.org.uk/points?person_id=296177&amp;year=2022&amp;type=national&amp;d=6","Results")</f>
        <v/>
      </c>
    </row>
    <row r="28">
      <c r="A28" t="inlineStr">
        <is>
          <t>27</t>
        </is>
      </c>
      <c r="B28" t="inlineStr">
        <is>
          <t>George Connell</t>
        </is>
      </c>
      <c r="C28" t="inlineStr">
        <is>
          <t>Sotonia CC</t>
        </is>
      </c>
      <c r="D28" t="inlineStr">
        <is>
          <t>159</t>
        </is>
      </c>
      <c r="E28">
        <f>HYPERLINK("https://www.britishcycling.org.uk/points?person_id=509011&amp;year=2022&amp;type=national&amp;d=6","Results")</f>
        <v/>
      </c>
    </row>
    <row r="29">
      <c r="A29" t="inlineStr">
        <is>
          <t>28</t>
        </is>
      </c>
      <c r="B29" t="inlineStr">
        <is>
          <t>Theo Sandell</t>
        </is>
      </c>
      <c r="C29" t="inlineStr">
        <is>
          <t>Southborough &amp; District Whls</t>
        </is>
      </c>
      <c r="D29" t="inlineStr">
        <is>
          <t>157</t>
        </is>
      </c>
      <c r="E29">
        <f>HYPERLINK("https://www.britishcycling.org.uk/points?person_id=276821&amp;year=2022&amp;type=national&amp;d=6","Results")</f>
        <v/>
      </c>
    </row>
    <row r="30">
      <c r="A30" t="inlineStr">
        <is>
          <t>29</t>
        </is>
      </c>
      <c r="B30" t="inlineStr">
        <is>
          <t>Jamie Hall</t>
        </is>
      </c>
      <c r="C30" t="inlineStr">
        <is>
          <t>Pentland Racers</t>
        </is>
      </c>
      <c r="D30" t="inlineStr">
        <is>
          <t>156</t>
        </is>
      </c>
      <c r="E30">
        <f>HYPERLINK("https://www.britishcycling.org.uk/points?person_id=725193&amp;year=2022&amp;type=national&amp;d=6","Results")</f>
        <v/>
      </c>
    </row>
    <row r="31">
      <c r="A31" t="inlineStr">
        <is>
          <t>30</t>
        </is>
      </c>
      <c r="B31" t="inlineStr">
        <is>
          <t>Daniel Phillips</t>
        </is>
      </c>
      <c r="C31" t="inlineStr">
        <is>
          <t>WORX Factory Racing</t>
        </is>
      </c>
      <c r="D31" t="inlineStr">
        <is>
          <t>147</t>
        </is>
      </c>
      <c r="E31">
        <f>HYPERLINK("https://www.britishcycling.org.uk/points?person_id=509416&amp;year=2022&amp;type=national&amp;d=6","Results")</f>
        <v/>
      </c>
    </row>
    <row r="32">
      <c r="A32" t="inlineStr">
        <is>
          <t>31</t>
        </is>
      </c>
      <c r="B32" t="inlineStr">
        <is>
          <t>Harrison Evans</t>
        </is>
      </c>
      <c r="C32" t="inlineStr">
        <is>
          <t>Sleaford Wheelers Cycling Club</t>
        </is>
      </c>
      <c r="D32" t="inlineStr">
        <is>
          <t>142</t>
        </is>
      </c>
      <c r="E32">
        <f>HYPERLINK("https://www.britishcycling.org.uk/points?person_id=735594&amp;year=2022&amp;type=national&amp;d=6","Results")</f>
        <v/>
      </c>
    </row>
    <row r="33">
      <c r="A33" t="inlineStr">
        <is>
          <t>32</t>
        </is>
      </c>
      <c r="B33" t="inlineStr">
        <is>
          <t>Milo Wills</t>
        </is>
      </c>
      <c r="C33" t="inlineStr">
        <is>
          <t>VC Londres</t>
        </is>
      </c>
      <c r="D33" t="inlineStr">
        <is>
          <t>142</t>
        </is>
      </c>
      <c r="E33">
        <f>HYPERLINK("https://www.britishcycling.org.uk/points?person_id=753569&amp;year=2022&amp;type=national&amp;d=6","Results")</f>
        <v/>
      </c>
    </row>
    <row r="34">
      <c r="A34" t="inlineStr">
        <is>
          <t>33</t>
        </is>
      </c>
      <c r="B34" t="inlineStr">
        <is>
          <t>Luca Mascia</t>
        </is>
      </c>
      <c r="C34" t="inlineStr">
        <is>
          <t>360VRT</t>
        </is>
      </c>
      <c r="D34" t="inlineStr">
        <is>
          <t>137</t>
        </is>
      </c>
      <c r="E34">
        <f>HYPERLINK("https://www.britishcycling.org.uk/points?person_id=678295&amp;year=2022&amp;type=national&amp;d=6","Results")</f>
        <v/>
      </c>
    </row>
    <row r="35">
      <c r="A35" t="inlineStr">
        <is>
          <t>34</t>
        </is>
      </c>
      <c r="B35" t="inlineStr">
        <is>
          <t>Evander Wishart</t>
        </is>
      </c>
      <c r="C35" t="inlineStr">
        <is>
          <t>Fenland Clarion CC</t>
        </is>
      </c>
      <c r="D35" t="inlineStr">
        <is>
          <t>137</t>
        </is>
      </c>
      <c r="E35">
        <f>HYPERLINK("https://www.britishcycling.org.uk/points?person_id=439982&amp;year=2022&amp;type=national&amp;d=6","Results")</f>
        <v/>
      </c>
    </row>
    <row r="36">
      <c r="A36" t="inlineStr">
        <is>
          <t>35</t>
        </is>
      </c>
      <c r="B36" t="inlineStr">
        <is>
          <t>James Martin</t>
        </is>
      </c>
      <c r="C36" t="inlineStr">
        <is>
          <t>Solent Pirates</t>
        </is>
      </c>
      <c r="D36" t="inlineStr">
        <is>
          <t>132</t>
        </is>
      </c>
      <c r="E36">
        <f>HYPERLINK("https://www.britishcycling.org.uk/points?person_id=396173&amp;year=2022&amp;type=national&amp;d=6","Results")</f>
        <v/>
      </c>
    </row>
    <row r="37">
      <c r="A37" t="inlineStr">
        <is>
          <t>36</t>
        </is>
      </c>
      <c r="B37" t="inlineStr">
        <is>
          <t>Daniel Thompson</t>
        </is>
      </c>
      <c r="C37" t="inlineStr">
        <is>
          <t>Cleveland Wheelers CC</t>
        </is>
      </c>
      <c r="D37" t="inlineStr">
        <is>
          <t>130</t>
        </is>
      </c>
      <c r="E37">
        <f>HYPERLINK("https://www.britishcycling.org.uk/points?person_id=381833&amp;year=2022&amp;type=national&amp;d=6","Results")</f>
        <v/>
      </c>
    </row>
    <row r="38">
      <c r="A38" t="inlineStr">
        <is>
          <t>37</t>
        </is>
      </c>
      <c r="B38" t="inlineStr">
        <is>
          <t>Samuel Brownsword</t>
        </is>
      </c>
      <c r="C38" t="inlineStr">
        <is>
          <t>Solihull CC</t>
        </is>
      </c>
      <c r="D38" t="inlineStr">
        <is>
          <t>129</t>
        </is>
      </c>
      <c r="E38">
        <f>HYPERLINK("https://www.britishcycling.org.uk/points?person_id=191654&amp;year=2022&amp;type=national&amp;d=6","Results")</f>
        <v/>
      </c>
    </row>
    <row r="39">
      <c r="A39" t="inlineStr">
        <is>
          <t>38</t>
        </is>
      </c>
      <c r="B39" t="inlineStr">
        <is>
          <t>Thomas Lewis</t>
        </is>
      </c>
      <c r="C39" t="inlineStr">
        <is>
          <t>Ely &amp; District CC</t>
        </is>
      </c>
      <c r="D39" t="inlineStr">
        <is>
          <t>129</t>
        </is>
      </c>
      <c r="E39">
        <f>HYPERLINK("https://www.britishcycling.org.uk/points?person_id=681513&amp;year=2022&amp;type=national&amp;d=6","Results")</f>
        <v/>
      </c>
    </row>
    <row r="40">
      <c r="A40" t="inlineStr">
        <is>
          <t>39</t>
        </is>
      </c>
      <c r="B40" t="inlineStr">
        <is>
          <t>Ryan Oldfield</t>
        </is>
      </c>
      <c r="C40" t="inlineStr">
        <is>
          <t>Cystic Fibrosis Race</t>
        </is>
      </c>
      <c r="D40" t="inlineStr">
        <is>
          <t>127</t>
        </is>
      </c>
      <c r="E40">
        <f>HYPERLINK("https://www.britishcycling.org.uk/points?person_id=247337&amp;year=2022&amp;type=national&amp;d=6","Results")</f>
        <v/>
      </c>
    </row>
    <row r="41">
      <c r="A41" t="inlineStr">
        <is>
          <t>40</t>
        </is>
      </c>
      <c r="B41" t="inlineStr">
        <is>
          <t>Ben Scott</t>
        </is>
      </c>
      <c r="C41" t="inlineStr">
        <is>
          <t>Racing Metro 15</t>
        </is>
      </c>
      <c r="D41" t="inlineStr">
        <is>
          <t>127</t>
        </is>
      </c>
      <c r="E41">
        <f>HYPERLINK("https://www.britishcycling.org.uk/points?person_id=296029&amp;year=2022&amp;type=national&amp;d=6","Results")</f>
        <v/>
      </c>
    </row>
    <row r="42">
      <c r="A42" t="inlineStr">
        <is>
          <t>41</t>
        </is>
      </c>
      <c r="B42" t="inlineStr">
        <is>
          <t>Charlie Shepherd</t>
        </is>
      </c>
      <c r="C42" t="inlineStr">
        <is>
          <t>Solent Pirates</t>
        </is>
      </c>
      <c r="D42" t="inlineStr">
        <is>
          <t>126</t>
        </is>
      </c>
      <c r="E42">
        <f>HYPERLINK("https://www.britishcycling.org.uk/points?person_id=752651&amp;year=2022&amp;type=national&amp;d=6","Results")</f>
        <v/>
      </c>
    </row>
    <row r="43">
      <c r="A43" t="inlineStr">
        <is>
          <t>42</t>
        </is>
      </c>
      <c r="B43" t="inlineStr">
        <is>
          <t>Cypher Tindell</t>
        </is>
      </c>
      <c r="C43" t="inlineStr">
        <is>
          <t>Sprockets Cycle Club</t>
        </is>
      </c>
      <c r="D43" t="inlineStr">
        <is>
          <t>126</t>
        </is>
      </c>
      <c r="E43">
        <f>HYPERLINK("https://www.britishcycling.org.uk/points?person_id=696281&amp;year=2022&amp;type=national&amp;d=6","Results")</f>
        <v/>
      </c>
    </row>
    <row r="44">
      <c r="A44" t="inlineStr">
        <is>
          <t>43</t>
        </is>
      </c>
      <c r="B44" t="inlineStr">
        <is>
          <t>Cameron Annable</t>
        </is>
      </c>
      <c r="C44" t="inlineStr">
        <is>
          <t>Derwentside CC</t>
        </is>
      </c>
      <c r="D44" t="inlineStr">
        <is>
          <t>124</t>
        </is>
      </c>
      <c r="E44">
        <f>HYPERLINK("https://www.britishcycling.org.uk/points?person_id=512582&amp;year=2022&amp;type=national&amp;d=6","Results")</f>
        <v/>
      </c>
    </row>
    <row r="45">
      <c r="A45" t="inlineStr">
        <is>
          <t>44</t>
        </is>
      </c>
      <c r="B45" t="inlineStr">
        <is>
          <t>Oscar Saxton</t>
        </is>
      </c>
      <c r="C45" t="inlineStr">
        <is>
          <t>Huddersfield Star Wheelers</t>
        </is>
      </c>
      <c r="D45" t="inlineStr">
        <is>
          <t>124</t>
        </is>
      </c>
      <c r="E45">
        <f>HYPERLINK("https://www.britishcycling.org.uk/points?person_id=688717&amp;year=2022&amp;type=national&amp;d=6","Results")</f>
        <v/>
      </c>
    </row>
    <row r="46">
      <c r="A46" t="inlineStr">
        <is>
          <t>45</t>
        </is>
      </c>
      <c r="B46" t="inlineStr">
        <is>
          <t>Jacob Steed</t>
        </is>
      </c>
      <c r="C46" t="inlineStr">
        <is>
          <t>Sherwood Pines Cycles Forme</t>
        </is>
      </c>
      <c r="D46" t="inlineStr">
        <is>
          <t>124</t>
        </is>
      </c>
      <c r="E46">
        <f>HYPERLINK("https://www.britishcycling.org.uk/points?person_id=309236&amp;year=2022&amp;type=national&amp;d=6","Results")</f>
        <v/>
      </c>
    </row>
    <row r="47">
      <c r="A47" t="inlineStr">
        <is>
          <t>46</t>
        </is>
      </c>
      <c r="B47" t="inlineStr">
        <is>
          <t>Oliver Barker</t>
        </is>
      </c>
      <c r="C47" t="inlineStr">
        <is>
          <t>Shibden Cycling Club</t>
        </is>
      </c>
      <c r="D47" t="inlineStr">
        <is>
          <t>123</t>
        </is>
      </c>
      <c r="E47">
        <f>HYPERLINK("https://www.britishcycling.org.uk/points?person_id=392100&amp;year=2022&amp;type=national&amp;d=6","Results")</f>
        <v/>
      </c>
    </row>
    <row r="48">
      <c r="A48" t="inlineStr">
        <is>
          <t>47</t>
        </is>
      </c>
      <c r="B48" t="inlineStr">
        <is>
          <t>Thomas Bottomley</t>
        </is>
      </c>
      <c r="C48" t="inlineStr">
        <is>
          <t>Solent Pirates</t>
        </is>
      </c>
      <c r="D48" t="inlineStr">
        <is>
          <t>121</t>
        </is>
      </c>
      <c r="E48">
        <f>HYPERLINK("https://www.britishcycling.org.uk/points?person_id=928456&amp;year=2022&amp;type=national&amp;d=6","Results")</f>
        <v/>
      </c>
    </row>
    <row r="49">
      <c r="A49" t="inlineStr">
        <is>
          <t>48</t>
        </is>
      </c>
      <c r="B49" t="inlineStr">
        <is>
          <t>Cian Evans</t>
        </is>
      </c>
      <c r="C49" t="inlineStr">
        <is>
          <t>Evolution Racing Academy</t>
        </is>
      </c>
      <c r="D49" t="inlineStr">
        <is>
          <t>120</t>
        </is>
      </c>
      <c r="E49">
        <f>HYPERLINK("https://www.britishcycling.org.uk/points?person_id=231621&amp;year=2022&amp;type=national&amp;d=6","Results")</f>
        <v/>
      </c>
    </row>
    <row r="50">
      <c r="A50" t="inlineStr">
        <is>
          <t>49</t>
        </is>
      </c>
      <c r="B50" t="inlineStr">
        <is>
          <t>Jody Mills</t>
        </is>
      </c>
      <c r="C50" t="inlineStr">
        <is>
          <t>East Bradford Race Team</t>
        </is>
      </c>
      <c r="D50" t="inlineStr">
        <is>
          <t>118</t>
        </is>
      </c>
      <c r="E50">
        <f>HYPERLINK("https://www.britishcycling.org.uk/points?person_id=391866&amp;year=2022&amp;type=national&amp;d=6","Results")</f>
        <v/>
      </c>
    </row>
    <row r="51">
      <c r="A51" t="inlineStr">
        <is>
          <t>50</t>
        </is>
      </c>
      <c r="B51" t="inlineStr">
        <is>
          <t>Dillon Preece</t>
        </is>
      </c>
      <c r="C51" t="inlineStr">
        <is>
          <t>RTD - J'sCycleShack</t>
        </is>
      </c>
      <c r="D51" t="inlineStr">
        <is>
          <t>116</t>
        </is>
      </c>
      <c r="E51">
        <f>HYPERLINK("https://www.britishcycling.org.uk/points?person_id=292890&amp;year=2022&amp;type=national&amp;d=6","Results")</f>
        <v/>
      </c>
    </row>
    <row r="52">
      <c r="A52" t="inlineStr">
        <is>
          <t>51</t>
        </is>
      </c>
      <c r="B52" t="inlineStr">
        <is>
          <t>Augustus Harris</t>
        </is>
      </c>
      <c r="C52" t="inlineStr">
        <is>
          <t>Southborough &amp; District Whls</t>
        </is>
      </c>
      <c r="D52" t="inlineStr">
        <is>
          <t>115</t>
        </is>
      </c>
      <c r="E52">
        <f>HYPERLINK("https://www.britishcycling.org.uk/points?person_id=975935&amp;year=2022&amp;type=national&amp;d=6","Results")</f>
        <v/>
      </c>
    </row>
    <row r="53">
      <c r="A53" t="inlineStr">
        <is>
          <t>52</t>
        </is>
      </c>
      <c r="B53" t="inlineStr">
        <is>
          <t>Henry O'Brien</t>
        </is>
      </c>
      <c r="C53" t="inlineStr">
        <is>
          <t>Peebles CC</t>
        </is>
      </c>
      <c r="D53" t="inlineStr">
        <is>
          <t>110</t>
        </is>
      </c>
      <c r="E53">
        <f>HYPERLINK("https://www.britishcycling.org.uk/points?person_id=449911&amp;year=2022&amp;type=national&amp;d=6","Results")</f>
        <v/>
      </c>
    </row>
    <row r="54">
      <c r="A54" t="inlineStr">
        <is>
          <t>53</t>
        </is>
      </c>
      <c r="B54" t="inlineStr">
        <is>
          <t>Tomas McIntosh</t>
        </is>
      </c>
      <c r="C54" t="inlineStr">
        <is>
          <t>Peebles CC</t>
        </is>
      </c>
      <c r="D54" t="inlineStr">
        <is>
          <t>102</t>
        </is>
      </c>
      <c r="E54">
        <f>HYPERLINK("https://www.britishcycling.org.uk/points?person_id=1008143&amp;year=2022&amp;type=national&amp;d=6","Results")</f>
        <v/>
      </c>
    </row>
    <row r="55">
      <c r="A55" t="inlineStr">
        <is>
          <t>54</t>
        </is>
      </c>
      <c r="B55" t="inlineStr">
        <is>
          <t>Harley Widdowson</t>
        </is>
      </c>
      <c r="C55" t="inlineStr">
        <is>
          <t>Clancy Briggs Cycling Academy</t>
        </is>
      </c>
      <c r="D55" t="inlineStr">
        <is>
          <t>101</t>
        </is>
      </c>
      <c r="E55">
        <f>HYPERLINK("https://www.britishcycling.org.uk/points?person_id=1014402&amp;year=2022&amp;type=national&amp;d=6","Results")</f>
        <v/>
      </c>
    </row>
    <row r="56">
      <c r="A56" t="inlineStr">
        <is>
          <t>55</t>
        </is>
      </c>
      <c r="B56" t="inlineStr">
        <is>
          <t>Sam Benson</t>
        </is>
      </c>
      <c r="C56" t="inlineStr">
        <is>
          <t>VC Deal</t>
        </is>
      </c>
      <c r="D56" t="inlineStr">
        <is>
          <t>100</t>
        </is>
      </c>
      <c r="E56">
        <f>HYPERLINK("https://www.britishcycling.org.uk/points?person_id=1016811&amp;year=2022&amp;type=national&amp;d=6","Results")</f>
        <v/>
      </c>
    </row>
    <row r="57">
      <c r="A57" t="inlineStr">
        <is>
          <t>56</t>
        </is>
      </c>
      <c r="B57" t="inlineStr">
        <is>
          <t>Gregor Calvert</t>
        </is>
      </c>
      <c r="C57" t="inlineStr">
        <is>
          <t>West Lothian Clarion CC</t>
        </is>
      </c>
      <c r="D57" t="inlineStr">
        <is>
          <t>95</t>
        </is>
      </c>
      <c r="E57">
        <f>HYPERLINK("https://www.britishcycling.org.uk/points?person_id=1031872&amp;year=2022&amp;type=national&amp;d=6","Results")</f>
        <v/>
      </c>
    </row>
    <row r="58">
      <c r="A58" t="inlineStr">
        <is>
          <t>57</t>
        </is>
      </c>
      <c r="B58" t="inlineStr">
        <is>
          <t>Samuel Greenwell</t>
        </is>
      </c>
      <c r="C58" t="inlineStr">
        <is>
          <t>Solihull CC</t>
        </is>
      </c>
      <c r="D58" t="inlineStr">
        <is>
          <t>95</t>
        </is>
      </c>
      <c r="E58">
        <f>HYPERLINK("https://www.britishcycling.org.uk/points?person_id=207570&amp;year=2022&amp;type=national&amp;d=6","Results")</f>
        <v/>
      </c>
    </row>
    <row r="59">
      <c r="A59" t="inlineStr">
        <is>
          <t>58</t>
        </is>
      </c>
      <c r="B59" t="inlineStr">
        <is>
          <t>Kyran Levey</t>
        </is>
      </c>
      <c r="C59" t="inlineStr">
        <is>
          <t>Solent Pirates</t>
        </is>
      </c>
      <c r="D59" t="inlineStr">
        <is>
          <t>93</t>
        </is>
      </c>
      <c r="E59">
        <f>HYPERLINK("https://www.britishcycling.org.uk/points?person_id=655132&amp;year=2022&amp;type=national&amp;d=6","Results")</f>
        <v/>
      </c>
    </row>
    <row r="60">
      <c r="A60" t="inlineStr">
        <is>
          <t>59</t>
        </is>
      </c>
      <c r="B60" t="inlineStr">
        <is>
          <t>Brodie Duncan</t>
        </is>
      </c>
      <c r="C60" t="inlineStr">
        <is>
          <t>West Lothian Clarion CC</t>
        </is>
      </c>
      <c r="D60" t="inlineStr">
        <is>
          <t>92</t>
        </is>
      </c>
      <c r="E60">
        <f>HYPERLINK("https://www.britishcycling.org.uk/points?person_id=520793&amp;year=2022&amp;type=national&amp;d=6","Results")</f>
        <v/>
      </c>
    </row>
    <row r="61">
      <c r="A61" t="inlineStr">
        <is>
          <t>60</t>
        </is>
      </c>
      <c r="B61" t="inlineStr">
        <is>
          <t>Murphy Hamilton</t>
        </is>
      </c>
      <c r="C61" t="inlineStr">
        <is>
          <t>Lichfield City CC</t>
        </is>
      </c>
      <c r="D61" t="inlineStr">
        <is>
          <t>89</t>
        </is>
      </c>
      <c r="E61">
        <f>HYPERLINK("https://www.britishcycling.org.uk/points?person_id=535443&amp;year=2022&amp;type=national&amp;d=6","Results")</f>
        <v/>
      </c>
    </row>
    <row r="62">
      <c r="A62" t="inlineStr">
        <is>
          <t>61</t>
        </is>
      </c>
      <c r="B62" t="inlineStr">
        <is>
          <t>Harry Hudson</t>
        </is>
      </c>
      <c r="C62" t="inlineStr">
        <is>
          <t>Matlock CC</t>
        </is>
      </c>
      <c r="D62" t="inlineStr">
        <is>
          <t>88</t>
        </is>
      </c>
      <c r="E62">
        <f>HYPERLINK("https://www.britishcycling.org.uk/points?person_id=859024&amp;year=2022&amp;type=national&amp;d=6","Results")</f>
        <v/>
      </c>
    </row>
    <row r="63">
      <c r="A63" t="inlineStr">
        <is>
          <t>62</t>
        </is>
      </c>
      <c r="B63" t="inlineStr">
        <is>
          <t>Finlay Barr</t>
        </is>
      </c>
      <c r="C63" t="inlineStr">
        <is>
          <t>Royal Albert CC</t>
        </is>
      </c>
      <c r="D63" t="inlineStr">
        <is>
          <t>87</t>
        </is>
      </c>
      <c r="E63">
        <f>HYPERLINK("https://www.britishcycling.org.uk/points?person_id=556097&amp;year=2022&amp;type=national&amp;d=6","Results")</f>
        <v/>
      </c>
    </row>
    <row r="64">
      <c r="A64" t="inlineStr">
        <is>
          <t>63</t>
        </is>
      </c>
      <c r="B64" t="inlineStr">
        <is>
          <t>Samuel Stacey</t>
        </is>
      </c>
      <c r="C64" t="inlineStr">
        <is>
          <t>Verulam - reallymoving.com</t>
        </is>
      </c>
      <c r="D64" t="inlineStr">
        <is>
          <t>86</t>
        </is>
      </c>
      <c r="E64">
        <f>HYPERLINK("https://www.britishcycling.org.uk/points?person_id=1010955&amp;year=2022&amp;type=national&amp;d=6","Results")</f>
        <v/>
      </c>
    </row>
    <row r="65">
      <c r="A65" t="inlineStr">
        <is>
          <t>64</t>
        </is>
      </c>
      <c r="B65" t="inlineStr">
        <is>
          <t>Aaron Cocker</t>
        </is>
      </c>
      <c r="C65" t="inlineStr">
        <is>
          <t>RTD - J'sCycleShack</t>
        </is>
      </c>
      <c r="D65" t="inlineStr">
        <is>
          <t>82</t>
        </is>
      </c>
      <c r="E65">
        <f>HYPERLINK("https://www.britishcycling.org.uk/points?person_id=562007&amp;year=2022&amp;type=national&amp;d=6","Results")</f>
        <v/>
      </c>
    </row>
    <row r="66">
      <c r="A66" t="inlineStr">
        <is>
          <t>65</t>
        </is>
      </c>
      <c r="B66" t="inlineStr">
        <is>
          <t>Jefferson Tear-Verweij</t>
        </is>
      </c>
      <c r="C66" t="inlineStr">
        <is>
          <t>Team Jewson-M.I.Racing</t>
        </is>
      </c>
      <c r="D66" t="inlineStr">
        <is>
          <t>80</t>
        </is>
      </c>
      <c r="E66">
        <f>HYPERLINK("https://www.britishcycling.org.uk/points?person_id=499810&amp;year=2022&amp;type=national&amp;d=6","Results")</f>
        <v/>
      </c>
    </row>
    <row r="67">
      <c r="A67" t="inlineStr">
        <is>
          <t>66</t>
        </is>
      </c>
      <c r="B67" t="inlineStr">
        <is>
          <t>Fraser Cummings</t>
        </is>
      </c>
      <c r="C67" t="inlineStr">
        <is>
          <t>Matlock CC</t>
        </is>
      </c>
      <c r="D67" t="inlineStr">
        <is>
          <t>76</t>
        </is>
      </c>
      <c r="E67">
        <f>HYPERLINK("https://www.britishcycling.org.uk/points?person_id=534722&amp;year=2022&amp;type=national&amp;d=6","Results")</f>
        <v/>
      </c>
    </row>
    <row r="68">
      <c r="A68" t="inlineStr">
        <is>
          <t>67</t>
        </is>
      </c>
      <c r="B68" t="inlineStr">
        <is>
          <t>Oliver Oldham</t>
        </is>
      </c>
      <c r="C68" t="inlineStr">
        <is>
          <t>Salt Ayre Cog Set</t>
        </is>
      </c>
      <c r="D68" t="inlineStr">
        <is>
          <t>76</t>
        </is>
      </c>
      <c r="E68">
        <f>HYPERLINK("https://www.britishcycling.org.uk/points?person_id=562389&amp;year=2022&amp;type=national&amp;d=6","Results")</f>
        <v/>
      </c>
    </row>
    <row r="69">
      <c r="A69" t="inlineStr">
        <is>
          <t>68</t>
        </is>
      </c>
      <c r="B69" t="inlineStr">
        <is>
          <t>Daniel Ward</t>
        </is>
      </c>
      <c r="C69" t="inlineStr">
        <is>
          <t>Cero - Cycle Division Racing Team</t>
        </is>
      </c>
      <c r="D69" t="inlineStr">
        <is>
          <t>75</t>
        </is>
      </c>
      <c r="E69">
        <f>HYPERLINK("https://www.britishcycling.org.uk/points?person_id=630361&amp;year=2022&amp;type=national&amp;d=6","Results")</f>
        <v/>
      </c>
    </row>
    <row r="70">
      <c r="A70" t="inlineStr">
        <is>
          <t>69</t>
        </is>
      </c>
      <c r="B70" t="inlineStr">
        <is>
          <t>Gus Dutton</t>
        </is>
      </c>
      <c r="C70" t="inlineStr">
        <is>
          <t>VC Londres</t>
        </is>
      </c>
      <c r="D70" t="inlineStr">
        <is>
          <t>74</t>
        </is>
      </c>
      <c r="E70">
        <f>HYPERLINK("https://www.britishcycling.org.uk/points?person_id=958726&amp;year=2022&amp;type=national&amp;d=6","Results")</f>
        <v/>
      </c>
    </row>
    <row r="71">
      <c r="A71" t="inlineStr">
        <is>
          <t>70</t>
        </is>
      </c>
      <c r="B71" t="inlineStr">
        <is>
          <t>Max Standen</t>
        </is>
      </c>
      <c r="C71" t="inlineStr">
        <is>
          <t>Southfork Racing.co.uk</t>
        </is>
      </c>
      <c r="D71" t="inlineStr">
        <is>
          <t>72</t>
        </is>
      </c>
      <c r="E71">
        <f>HYPERLINK("https://www.britishcycling.org.uk/points?person_id=220817&amp;year=2022&amp;type=national&amp;d=6","Results")</f>
        <v/>
      </c>
    </row>
    <row r="72">
      <c r="A72" t="inlineStr">
        <is>
          <t>71</t>
        </is>
      </c>
      <c r="B72" t="inlineStr">
        <is>
          <t>Albie Jones</t>
        </is>
      </c>
      <c r="C72" t="inlineStr">
        <is>
          <t>North Cheshire Clarion</t>
        </is>
      </c>
      <c r="D72" t="inlineStr">
        <is>
          <t>70</t>
        </is>
      </c>
      <c r="E72">
        <f>HYPERLINK("https://www.britishcycling.org.uk/points?person_id=669527&amp;year=2022&amp;type=national&amp;d=6","Results")</f>
        <v/>
      </c>
    </row>
    <row r="73">
      <c r="A73" t="inlineStr">
        <is>
          <t>72</t>
        </is>
      </c>
      <c r="B73" t="inlineStr">
        <is>
          <t>James Beagley</t>
        </is>
      </c>
      <c r="C73" t="inlineStr">
        <is>
          <t>Harrogate Nova CC</t>
        </is>
      </c>
      <c r="D73" t="inlineStr">
        <is>
          <t>68</t>
        </is>
      </c>
      <c r="E73">
        <f>HYPERLINK("https://www.britishcycling.org.uk/points?person_id=782215&amp;year=2022&amp;type=national&amp;d=6","Results")</f>
        <v/>
      </c>
    </row>
    <row r="74">
      <c r="A74" t="inlineStr">
        <is>
          <t>73</t>
        </is>
      </c>
      <c r="B74" t="inlineStr">
        <is>
          <t>Finley Wilkinson</t>
        </is>
      </c>
      <c r="C74" t="inlineStr">
        <is>
          <t>Shibden Cycling Club</t>
        </is>
      </c>
      <c r="D74" t="inlineStr">
        <is>
          <t>68</t>
        </is>
      </c>
      <c r="E74">
        <f>HYPERLINK("https://www.britishcycling.org.uk/points?person_id=330261&amp;year=2022&amp;type=national&amp;d=6","Results")</f>
        <v/>
      </c>
    </row>
    <row r="75">
      <c r="A75" t="inlineStr">
        <is>
          <t>74</t>
        </is>
      </c>
      <c r="B75" t="inlineStr">
        <is>
          <t>Thomas Styles</t>
        </is>
      </c>
      <c r="C75" t="inlineStr">
        <is>
          <t>Team Milton Keynes</t>
        </is>
      </c>
      <c r="D75" t="inlineStr">
        <is>
          <t>64</t>
        </is>
      </c>
      <c r="E75">
        <f>HYPERLINK("https://www.britishcycling.org.uk/points?person_id=840530&amp;year=2022&amp;type=national&amp;d=6","Results")</f>
        <v/>
      </c>
    </row>
    <row r="76">
      <c r="A76" t="inlineStr">
        <is>
          <t>75</t>
        </is>
      </c>
      <c r="B76" t="inlineStr">
        <is>
          <t>George Cooper</t>
        </is>
      </c>
      <c r="C76" t="inlineStr">
        <is>
          <t>Sherwood Pines Cycles Forme</t>
        </is>
      </c>
      <c r="D76" t="inlineStr">
        <is>
          <t>63</t>
        </is>
      </c>
      <c r="E76">
        <f>HYPERLINK("https://www.britishcycling.org.uk/points?person_id=294832&amp;year=2022&amp;type=national&amp;d=6","Results")</f>
        <v/>
      </c>
    </row>
    <row r="77">
      <c r="A77" t="inlineStr">
        <is>
          <t>76</t>
        </is>
      </c>
      <c r="B77" t="inlineStr">
        <is>
          <t>Edward Home</t>
        </is>
      </c>
      <c r="C77" t="inlineStr">
        <is>
          <t>Hillingdon Slipstreamers</t>
        </is>
      </c>
      <c r="D77" t="inlineStr">
        <is>
          <t>63</t>
        </is>
      </c>
      <c r="E77">
        <f>HYPERLINK("https://www.britishcycling.org.uk/points?person_id=813692&amp;year=2022&amp;type=national&amp;d=6","Results")</f>
        <v/>
      </c>
    </row>
    <row r="78">
      <c r="A78" t="inlineStr">
        <is>
          <t>77</t>
        </is>
      </c>
      <c r="B78" t="inlineStr">
        <is>
          <t>William McCristal</t>
        </is>
      </c>
      <c r="C78" t="inlineStr">
        <is>
          <t>Matlock CC</t>
        </is>
      </c>
      <c r="D78" t="inlineStr">
        <is>
          <t>63</t>
        </is>
      </c>
      <c r="E78">
        <f>HYPERLINK("https://www.britishcycling.org.uk/points?person_id=741009&amp;year=2022&amp;type=national&amp;d=6","Results")</f>
        <v/>
      </c>
    </row>
    <row r="79">
      <c r="A79" t="inlineStr">
        <is>
          <t>78</t>
        </is>
      </c>
      <c r="B79" t="inlineStr">
        <is>
          <t>Ross Eastaugh</t>
        </is>
      </c>
      <c r="C79" t="inlineStr">
        <is>
          <t>Deeside Thistle CC</t>
        </is>
      </c>
      <c r="D79" t="inlineStr">
        <is>
          <t>61</t>
        </is>
      </c>
      <c r="E79">
        <f>HYPERLINK("https://www.britishcycling.org.uk/points?person_id=800216&amp;year=2022&amp;type=national&amp;d=6","Results")</f>
        <v/>
      </c>
    </row>
    <row r="80">
      <c r="A80" t="inlineStr">
        <is>
          <t>79</t>
        </is>
      </c>
      <c r="B80" t="inlineStr">
        <is>
          <t>Finlay Goodman</t>
        </is>
      </c>
      <c r="C80" t="inlineStr">
        <is>
          <t>Southborough &amp; District Whls</t>
        </is>
      </c>
      <c r="D80" t="inlineStr">
        <is>
          <t>61</t>
        </is>
      </c>
      <c r="E80">
        <f>HYPERLINK("https://www.britishcycling.org.uk/points?person_id=774606&amp;year=2022&amp;type=national&amp;d=6","Results")</f>
        <v/>
      </c>
    </row>
    <row r="81">
      <c r="A81" t="inlineStr">
        <is>
          <t>80</t>
        </is>
      </c>
      <c r="B81" t="inlineStr">
        <is>
          <t>Jamie Kershaw</t>
        </is>
      </c>
      <c r="C81" t="inlineStr">
        <is>
          <t>Welland Valley CC</t>
        </is>
      </c>
      <c r="D81" t="inlineStr">
        <is>
          <t>60</t>
        </is>
      </c>
      <c r="E81">
        <f>HYPERLINK("https://www.britishcycling.org.uk/points?person_id=450792&amp;year=2022&amp;type=national&amp;d=6","Results")</f>
        <v/>
      </c>
    </row>
    <row r="82">
      <c r="A82" t="inlineStr">
        <is>
          <t>81</t>
        </is>
      </c>
      <c r="B82" t="inlineStr">
        <is>
          <t>Niclas Olley</t>
        </is>
      </c>
      <c r="C82" t="inlineStr">
        <is>
          <t>Sotonia CC</t>
        </is>
      </c>
      <c r="D82" t="inlineStr">
        <is>
          <t>60</t>
        </is>
      </c>
      <c r="E82">
        <f>HYPERLINK("https://www.britishcycling.org.uk/points?person_id=947466&amp;year=2022&amp;type=national&amp;d=6","Results")</f>
        <v/>
      </c>
    </row>
    <row r="83">
      <c r="A83" t="inlineStr">
        <is>
          <t>82</t>
        </is>
      </c>
      <c r="B83" t="inlineStr">
        <is>
          <t>Joshua Chamberlain</t>
        </is>
      </c>
      <c r="C83" t="inlineStr">
        <is>
          <t>Velo Club Venta</t>
        </is>
      </c>
      <c r="D83" t="inlineStr">
        <is>
          <t>59</t>
        </is>
      </c>
      <c r="E83">
        <f>HYPERLINK("https://www.britishcycling.org.uk/points?person_id=794332&amp;year=2022&amp;type=national&amp;d=6","Results")</f>
        <v/>
      </c>
    </row>
    <row r="84">
      <c r="A84" t="inlineStr">
        <is>
          <t>83</t>
        </is>
      </c>
      <c r="B84" t="inlineStr">
        <is>
          <t>Tom Davey</t>
        </is>
      </c>
      <c r="C84" t="inlineStr">
        <is>
          <t>Harrogate Nova CC</t>
        </is>
      </c>
      <c r="D84" t="inlineStr">
        <is>
          <t>59</t>
        </is>
      </c>
      <c r="E84">
        <f>HYPERLINK("https://www.britishcycling.org.uk/points?person_id=987104&amp;year=2022&amp;type=national&amp;d=6","Results")</f>
        <v/>
      </c>
    </row>
    <row r="85">
      <c r="A85" t="inlineStr">
        <is>
          <t>84</t>
        </is>
      </c>
      <c r="B85" t="inlineStr">
        <is>
          <t>Isaac Allaway</t>
        </is>
      </c>
      <c r="C85" t="inlineStr">
        <is>
          <t>Pedalon.co.uk</t>
        </is>
      </c>
      <c r="D85" t="inlineStr">
        <is>
          <t>58</t>
        </is>
      </c>
      <c r="E85">
        <f>HYPERLINK("https://www.britishcycling.org.uk/points?person_id=653648&amp;year=2022&amp;type=national&amp;d=6","Results")</f>
        <v/>
      </c>
    </row>
    <row r="86">
      <c r="A86" t="inlineStr">
        <is>
          <t>85</t>
        </is>
      </c>
      <c r="B86" t="inlineStr">
        <is>
          <t>Jed Claxton</t>
        </is>
      </c>
      <c r="C86" t="inlineStr">
        <is>
          <t>Wheal Velocity</t>
        </is>
      </c>
      <c r="D86" t="inlineStr">
        <is>
          <t>56</t>
        </is>
      </c>
      <c r="E86">
        <f>HYPERLINK("https://www.britishcycling.org.uk/points?person_id=452508&amp;year=2022&amp;type=national&amp;d=6","Results")</f>
        <v/>
      </c>
    </row>
    <row r="87">
      <c r="A87" t="inlineStr">
        <is>
          <t>86</t>
        </is>
      </c>
      <c r="B87" t="inlineStr">
        <is>
          <t>Oliver Bain</t>
        </is>
      </c>
      <c r="C87" t="inlineStr">
        <is>
          <t>Deeside Thistle CC</t>
        </is>
      </c>
      <c r="D87" t="inlineStr">
        <is>
          <t>55</t>
        </is>
      </c>
      <c r="E87">
        <f>HYPERLINK("https://www.britishcycling.org.uk/points?person_id=404409&amp;year=2022&amp;type=national&amp;d=6","Results")</f>
        <v/>
      </c>
    </row>
    <row r="88">
      <c r="A88" t="inlineStr">
        <is>
          <t>87</t>
        </is>
      </c>
      <c r="B88" t="inlineStr">
        <is>
          <t>Oliver Agombar</t>
        </is>
      </c>
      <c r="C88" t="inlineStr">
        <is>
          <t>Magspeed Racing</t>
        </is>
      </c>
      <c r="D88" t="inlineStr">
        <is>
          <t>54</t>
        </is>
      </c>
      <c r="E88">
        <f>HYPERLINK("https://www.britishcycling.org.uk/points?person_id=766392&amp;year=2022&amp;type=national&amp;d=6","Results")</f>
        <v/>
      </c>
    </row>
    <row r="89">
      <c r="A89" t="inlineStr">
        <is>
          <t>88</t>
        </is>
      </c>
      <c r="B89" t="inlineStr">
        <is>
          <t>Max Burkitt</t>
        </is>
      </c>
      <c r="C89" t="inlineStr">
        <is>
          <t>Lincoln Wheelers CC</t>
        </is>
      </c>
      <c r="D89" t="inlineStr">
        <is>
          <t>54</t>
        </is>
      </c>
      <c r="E89">
        <f>HYPERLINK("https://www.britishcycling.org.uk/points?person_id=619358&amp;year=2022&amp;type=national&amp;d=6","Results")</f>
        <v/>
      </c>
    </row>
    <row r="90">
      <c r="A90" t="inlineStr">
        <is>
          <t>89</t>
        </is>
      </c>
      <c r="B90" t="inlineStr">
        <is>
          <t>Hadley Davis</t>
        </is>
      </c>
      <c r="C90" t="inlineStr">
        <is>
          <t>Preston Park Youth CC (PPYCC)</t>
        </is>
      </c>
      <c r="D90" t="inlineStr">
        <is>
          <t>53</t>
        </is>
      </c>
      <c r="E90">
        <f>HYPERLINK("https://www.britishcycling.org.uk/points?person_id=893960&amp;year=2022&amp;type=national&amp;d=6","Results")</f>
        <v/>
      </c>
    </row>
    <row r="91">
      <c r="A91" t="inlineStr">
        <is>
          <t>90</t>
        </is>
      </c>
      <c r="B91" t="inlineStr">
        <is>
          <t>Lucas Elwell</t>
        </is>
      </c>
      <c r="C91" t="inlineStr">
        <is>
          <t>East Bradford CC</t>
        </is>
      </c>
      <c r="D91" t="inlineStr">
        <is>
          <t>53</t>
        </is>
      </c>
      <c r="E91">
        <f>HYPERLINK("https://www.britishcycling.org.uk/points?person_id=405552&amp;year=2022&amp;type=national&amp;d=6","Results")</f>
        <v/>
      </c>
    </row>
    <row r="92">
      <c r="A92" t="inlineStr">
        <is>
          <t>91</t>
        </is>
      </c>
      <c r="B92" t="inlineStr">
        <is>
          <t>Patrick Mannion</t>
        </is>
      </c>
      <c r="C92" t="inlineStr">
        <is>
          <t>Sportcity Velo</t>
        </is>
      </c>
      <c r="D92" t="inlineStr">
        <is>
          <t>53</t>
        </is>
      </c>
      <c r="E92">
        <f>HYPERLINK("https://www.britishcycling.org.uk/points?person_id=472747&amp;year=2022&amp;type=national&amp;d=6","Results")</f>
        <v/>
      </c>
    </row>
    <row r="93">
      <c r="A93" t="inlineStr">
        <is>
          <t>92</t>
        </is>
      </c>
      <c r="B93" t="inlineStr">
        <is>
          <t>Huw Watkins</t>
        </is>
      </c>
      <c r="C93" t="inlineStr">
        <is>
          <t>Sprockets Cycle Club</t>
        </is>
      </c>
      <c r="D93" t="inlineStr">
        <is>
          <t>53</t>
        </is>
      </c>
      <c r="E93">
        <f>HYPERLINK("https://www.britishcycling.org.uk/points?person_id=557385&amp;year=2022&amp;type=national&amp;d=6","Results")</f>
        <v/>
      </c>
    </row>
    <row r="94">
      <c r="A94" t="inlineStr">
        <is>
          <t>93</t>
        </is>
      </c>
      <c r="B94" t="inlineStr">
        <is>
          <t>Luca Hill</t>
        </is>
      </c>
      <c r="C94" t="inlineStr">
        <is>
          <t>A403 Rogue</t>
        </is>
      </c>
      <c r="D94" t="inlineStr">
        <is>
          <t>52</t>
        </is>
      </c>
      <c r="E94">
        <f>HYPERLINK("https://www.britishcycling.org.uk/points?person_id=903314&amp;year=2022&amp;type=national&amp;d=6","Results")</f>
        <v/>
      </c>
    </row>
    <row r="95">
      <c r="A95" t="inlineStr">
        <is>
          <t>94</t>
        </is>
      </c>
      <c r="B95" t="inlineStr">
        <is>
          <t>Harper Johnson</t>
        </is>
      </c>
      <c r="C95" t="inlineStr">
        <is>
          <t>North Cheshire Clarion</t>
        </is>
      </c>
      <c r="D95" t="inlineStr">
        <is>
          <t>52</t>
        </is>
      </c>
      <c r="E95">
        <f>HYPERLINK("https://www.britishcycling.org.uk/points?person_id=876533&amp;year=2022&amp;type=national&amp;d=6","Results")</f>
        <v/>
      </c>
    </row>
    <row r="96">
      <c r="A96" t="inlineStr">
        <is>
          <t>95</t>
        </is>
      </c>
      <c r="B96" t="inlineStr">
        <is>
          <t>Edward Lindsay</t>
        </is>
      </c>
      <c r="C96" t="inlineStr"/>
      <c r="D96" t="inlineStr">
        <is>
          <t>52</t>
        </is>
      </c>
      <c r="E96">
        <f>HYPERLINK("https://www.britishcycling.org.uk/points?person_id=852561&amp;year=2022&amp;type=national&amp;d=6","Results")</f>
        <v/>
      </c>
    </row>
    <row r="97">
      <c r="A97" t="inlineStr">
        <is>
          <t>96</t>
        </is>
      </c>
      <c r="B97" t="inlineStr">
        <is>
          <t>Fraser Anderson</t>
        </is>
      </c>
      <c r="C97" t="inlineStr">
        <is>
          <t>Johnstone Wheelers Cycling Club</t>
        </is>
      </c>
      <c r="D97" t="inlineStr">
        <is>
          <t>50</t>
        </is>
      </c>
      <c r="E97">
        <f>HYPERLINK("https://www.britishcycling.org.uk/points?person_id=247777&amp;year=2022&amp;type=national&amp;d=6","Results")</f>
        <v/>
      </c>
    </row>
    <row r="98">
      <c r="A98" t="inlineStr">
        <is>
          <t>97</t>
        </is>
      </c>
      <c r="B98" t="inlineStr">
        <is>
          <t>Finn Davies</t>
        </is>
      </c>
      <c r="C98" t="inlineStr">
        <is>
          <t>Clee Cycles</t>
        </is>
      </c>
      <c r="D98" t="inlineStr">
        <is>
          <t>50</t>
        </is>
      </c>
      <c r="E98">
        <f>HYPERLINK("https://www.britishcycling.org.uk/points?person_id=383907&amp;year=2022&amp;type=national&amp;d=6","Results")</f>
        <v/>
      </c>
    </row>
    <row r="99">
      <c r="A99" t="inlineStr">
        <is>
          <t>98</t>
        </is>
      </c>
      <c r="B99" t="inlineStr">
        <is>
          <t>James Ingham</t>
        </is>
      </c>
      <c r="C99" t="inlineStr">
        <is>
          <t>Green Jersey CC</t>
        </is>
      </c>
      <c r="D99" t="inlineStr">
        <is>
          <t>50</t>
        </is>
      </c>
      <c r="E99">
        <f>HYPERLINK("https://www.britishcycling.org.uk/points?person_id=545785&amp;year=2022&amp;type=national&amp;d=6","Results")</f>
        <v/>
      </c>
    </row>
    <row r="100">
      <c r="A100" t="inlineStr">
        <is>
          <t>99</t>
        </is>
      </c>
      <c r="B100" t="inlineStr">
        <is>
          <t>Iwan Froley</t>
        </is>
      </c>
      <c r="C100" t="inlineStr">
        <is>
          <t>Maindy Flyers CC</t>
        </is>
      </c>
      <c r="D100" t="inlineStr">
        <is>
          <t>49</t>
        </is>
      </c>
      <c r="E100">
        <f>HYPERLINK("https://www.britishcycling.org.uk/points?person_id=1029577&amp;year=2022&amp;type=national&amp;d=6","Results")</f>
        <v/>
      </c>
    </row>
    <row r="101">
      <c r="A101" t="inlineStr">
        <is>
          <t>100</t>
        </is>
      </c>
      <c r="B101" t="inlineStr">
        <is>
          <t>Ben Howlett</t>
        </is>
      </c>
      <c r="C101" t="inlineStr">
        <is>
          <t>Stowmarket &amp; District CC</t>
        </is>
      </c>
      <c r="D101" t="inlineStr">
        <is>
          <t>49</t>
        </is>
      </c>
      <c r="E101">
        <f>HYPERLINK("https://www.britishcycling.org.uk/points?person_id=733136&amp;year=2022&amp;type=national&amp;d=6","Results")</f>
        <v/>
      </c>
    </row>
    <row r="102">
      <c r="A102" t="inlineStr">
        <is>
          <t>101</t>
        </is>
      </c>
      <c r="B102" t="inlineStr">
        <is>
          <t>Harry Knox</t>
        </is>
      </c>
      <c r="C102" t="inlineStr">
        <is>
          <t>Barnesbury CC</t>
        </is>
      </c>
      <c r="D102" t="inlineStr">
        <is>
          <t>48</t>
        </is>
      </c>
      <c r="E102">
        <f>HYPERLINK("https://www.britishcycling.org.uk/points?person_id=543635&amp;year=2022&amp;type=national&amp;d=6","Results")</f>
        <v/>
      </c>
    </row>
    <row r="103">
      <c r="A103" t="inlineStr">
        <is>
          <t>102</t>
        </is>
      </c>
      <c r="B103" t="inlineStr">
        <is>
          <t>Dylan Bowen</t>
        </is>
      </c>
      <c r="C103" t="inlineStr">
        <is>
          <t>Gateway Racing</t>
        </is>
      </c>
      <c r="D103" t="inlineStr">
        <is>
          <t>45</t>
        </is>
      </c>
      <c r="E103">
        <f>HYPERLINK("https://www.britishcycling.org.uk/points?person_id=310590&amp;year=2022&amp;type=national&amp;d=6","Results")</f>
        <v/>
      </c>
    </row>
    <row r="104">
      <c r="A104" t="inlineStr">
        <is>
          <t>103</t>
        </is>
      </c>
      <c r="B104" t="inlineStr">
        <is>
          <t>Charlie Coad-Bell</t>
        </is>
      </c>
      <c r="C104" t="inlineStr">
        <is>
          <t>St Ives CC</t>
        </is>
      </c>
      <c r="D104" t="inlineStr">
        <is>
          <t>45</t>
        </is>
      </c>
      <c r="E104">
        <f>HYPERLINK("https://www.britishcycling.org.uk/points?person_id=957433&amp;year=2022&amp;type=national&amp;d=6","Results")</f>
        <v/>
      </c>
    </row>
    <row r="105">
      <c r="A105" t="inlineStr">
        <is>
          <t>104</t>
        </is>
      </c>
      <c r="B105" t="inlineStr">
        <is>
          <t>Thomas Roodhouse</t>
        </is>
      </c>
      <c r="C105" t="inlineStr">
        <is>
          <t>Wheal Velocity</t>
        </is>
      </c>
      <c r="D105" t="inlineStr">
        <is>
          <t>44</t>
        </is>
      </c>
      <c r="E105">
        <f>HYPERLINK("https://www.britishcycling.org.uk/points?person_id=527261&amp;year=2022&amp;type=national&amp;d=6","Results")</f>
        <v/>
      </c>
    </row>
    <row r="106">
      <c r="A106" t="inlineStr">
        <is>
          <t>105</t>
        </is>
      </c>
      <c r="B106" t="inlineStr">
        <is>
          <t>Oliver Thorpe</t>
        </is>
      </c>
      <c r="C106" t="inlineStr">
        <is>
          <t>RTD - J'sCycleShack</t>
        </is>
      </c>
      <c r="D106" t="inlineStr">
        <is>
          <t>43</t>
        </is>
      </c>
      <c r="E106">
        <f>HYPERLINK("https://www.britishcycling.org.uk/points?person_id=706681&amp;year=2022&amp;type=national&amp;d=6","Results")</f>
        <v/>
      </c>
    </row>
    <row r="107">
      <c r="A107" t="inlineStr">
        <is>
          <t>106</t>
        </is>
      </c>
      <c r="B107" t="inlineStr">
        <is>
          <t>Keane Beckham</t>
        </is>
      </c>
      <c r="C107" t="inlineStr">
        <is>
          <t>Diss &amp; District CC</t>
        </is>
      </c>
      <c r="D107" t="inlineStr">
        <is>
          <t>41</t>
        </is>
      </c>
      <c r="E107">
        <f>HYPERLINK("https://www.britishcycling.org.uk/points?person_id=948422&amp;year=2022&amp;type=national&amp;d=6","Results")</f>
        <v/>
      </c>
    </row>
    <row r="108">
      <c r="A108" t="inlineStr">
        <is>
          <t>107</t>
        </is>
      </c>
      <c r="B108" t="inlineStr">
        <is>
          <t>Mark Ketteringham</t>
        </is>
      </c>
      <c r="C108" t="inlineStr">
        <is>
          <t>Harrogate Nova CC</t>
        </is>
      </c>
      <c r="D108" t="inlineStr">
        <is>
          <t>41</t>
        </is>
      </c>
      <c r="E108">
        <f>HYPERLINK("https://www.britishcycling.org.uk/points?person_id=557724&amp;year=2022&amp;type=national&amp;d=6","Results")</f>
        <v/>
      </c>
    </row>
    <row r="109">
      <c r="A109" t="inlineStr">
        <is>
          <t>108</t>
        </is>
      </c>
      <c r="B109" t="inlineStr">
        <is>
          <t>Rory Gravelle</t>
        </is>
      </c>
      <c r="C109" t="inlineStr">
        <is>
          <t>Velo Myrddin CC powered by Y Beic</t>
        </is>
      </c>
      <c r="D109" t="inlineStr">
        <is>
          <t>40</t>
        </is>
      </c>
      <c r="E109">
        <f>HYPERLINK("https://www.britishcycling.org.uk/points?person_id=227644&amp;year=2022&amp;type=national&amp;d=6","Results")</f>
        <v/>
      </c>
    </row>
    <row r="110">
      <c r="A110" t="inlineStr">
        <is>
          <t>109</t>
        </is>
      </c>
      <c r="B110" t="inlineStr">
        <is>
          <t>Henry Birchall</t>
        </is>
      </c>
      <c r="C110" t="inlineStr">
        <is>
          <t>Mid Devon CC</t>
        </is>
      </c>
      <c r="D110" t="inlineStr">
        <is>
          <t>39</t>
        </is>
      </c>
      <c r="E110">
        <f>HYPERLINK("https://www.britishcycling.org.uk/points?person_id=690394&amp;year=2022&amp;type=national&amp;d=6","Results")</f>
        <v/>
      </c>
    </row>
    <row r="111">
      <c r="A111" t="inlineStr">
        <is>
          <t>110</t>
        </is>
      </c>
      <c r="B111" t="inlineStr">
        <is>
          <t>Matthew McCleery</t>
        </is>
      </c>
      <c r="C111" t="inlineStr">
        <is>
          <t>Carnegie Cyclones</t>
        </is>
      </c>
      <c r="D111" t="inlineStr">
        <is>
          <t>39</t>
        </is>
      </c>
      <c r="E111">
        <f>HYPERLINK("https://www.britishcycling.org.uk/points?person_id=443211&amp;year=2022&amp;type=national&amp;d=6","Results")</f>
        <v/>
      </c>
    </row>
    <row r="112">
      <c r="A112" t="inlineStr">
        <is>
          <t>111</t>
        </is>
      </c>
      <c r="B112" t="inlineStr">
        <is>
          <t>Harry Speak</t>
        </is>
      </c>
      <c r="C112" t="inlineStr">
        <is>
          <t>Clifton CC</t>
        </is>
      </c>
      <c r="D112" t="inlineStr">
        <is>
          <t>39</t>
        </is>
      </c>
      <c r="E112">
        <f>HYPERLINK("https://www.britishcycling.org.uk/points?person_id=833966&amp;year=2022&amp;type=national&amp;d=6","Results")</f>
        <v/>
      </c>
    </row>
    <row r="113">
      <c r="A113" t="inlineStr">
        <is>
          <t>112</t>
        </is>
      </c>
      <c r="B113" t="inlineStr">
        <is>
          <t>James Bushell</t>
        </is>
      </c>
      <c r="C113" t="inlineStr">
        <is>
          <t>Sleaford Wheelers Cycling Club</t>
        </is>
      </c>
      <c r="D113" t="inlineStr">
        <is>
          <t>38</t>
        </is>
      </c>
      <c r="E113">
        <f>HYPERLINK("https://www.britishcycling.org.uk/points?person_id=734745&amp;year=2022&amp;type=national&amp;d=6","Results")</f>
        <v/>
      </c>
    </row>
    <row r="114">
      <c r="A114" t="inlineStr">
        <is>
          <t>113</t>
        </is>
      </c>
      <c r="B114" t="inlineStr">
        <is>
          <t>Oskar Everett</t>
        </is>
      </c>
      <c r="C114" t="inlineStr">
        <is>
          <t>Orwell Velo</t>
        </is>
      </c>
      <c r="D114" t="inlineStr">
        <is>
          <t>38</t>
        </is>
      </c>
      <c r="E114">
        <f>HYPERLINK("https://www.britishcycling.org.uk/points?person_id=256335&amp;year=2022&amp;type=national&amp;d=6","Results")</f>
        <v/>
      </c>
    </row>
    <row r="115">
      <c r="A115" t="inlineStr">
        <is>
          <t>114</t>
        </is>
      </c>
      <c r="B115" t="inlineStr">
        <is>
          <t>William Horspool</t>
        </is>
      </c>
      <c r="C115" t="inlineStr">
        <is>
          <t>Wisbech Whls CC</t>
        </is>
      </c>
      <c r="D115" t="inlineStr">
        <is>
          <t>38</t>
        </is>
      </c>
      <c r="E115">
        <f>HYPERLINK("https://www.britishcycling.org.uk/points?person_id=776513&amp;year=2022&amp;type=national&amp;d=6","Results")</f>
        <v/>
      </c>
    </row>
    <row r="116">
      <c r="A116" t="inlineStr">
        <is>
          <t>115</t>
        </is>
      </c>
      <c r="B116" t="inlineStr">
        <is>
          <t>Alexander Sutton</t>
        </is>
      </c>
      <c r="C116" t="inlineStr">
        <is>
          <t>Bolton Hot Wheels CC</t>
        </is>
      </c>
      <c r="D116" t="inlineStr">
        <is>
          <t>38</t>
        </is>
      </c>
      <c r="E116">
        <f>HYPERLINK("https://www.britishcycling.org.uk/points?person_id=446250&amp;year=2022&amp;type=national&amp;d=6","Results")</f>
        <v/>
      </c>
    </row>
    <row r="117">
      <c r="A117" t="inlineStr">
        <is>
          <t>116</t>
        </is>
      </c>
      <c r="B117" t="inlineStr">
        <is>
          <t>Joseph Egan</t>
        </is>
      </c>
      <c r="C117" t="inlineStr">
        <is>
          <t>Halesowen A &amp; CC</t>
        </is>
      </c>
      <c r="D117" t="inlineStr">
        <is>
          <t>37</t>
        </is>
      </c>
      <c r="E117">
        <f>HYPERLINK("https://www.britishcycling.org.uk/points?person_id=384089&amp;year=2022&amp;type=national&amp;d=6","Results")</f>
        <v/>
      </c>
    </row>
    <row r="118">
      <c r="A118" t="inlineStr">
        <is>
          <t>117</t>
        </is>
      </c>
      <c r="B118" t="inlineStr">
        <is>
          <t>Reuben Cox</t>
        </is>
      </c>
      <c r="C118" t="inlineStr">
        <is>
          <t>Abergavenny Road Club</t>
        </is>
      </c>
      <c r="D118" t="inlineStr">
        <is>
          <t>36</t>
        </is>
      </c>
      <c r="E118">
        <f>HYPERLINK("https://www.britishcycling.org.uk/points?person_id=829039&amp;year=2022&amp;type=national&amp;d=6","Results")</f>
        <v/>
      </c>
    </row>
    <row r="119">
      <c r="A119" t="inlineStr">
        <is>
          <t>118</t>
        </is>
      </c>
      <c r="B119" t="inlineStr">
        <is>
          <t>Lochlan Dyer</t>
        </is>
      </c>
      <c r="C119" t="inlineStr">
        <is>
          <t>Lee Valley Youth Cycling Club</t>
        </is>
      </c>
      <c r="D119" t="inlineStr">
        <is>
          <t>36</t>
        </is>
      </c>
      <c r="E119">
        <f>HYPERLINK("https://www.britishcycling.org.uk/points?person_id=679021&amp;year=2022&amp;type=national&amp;d=6","Results")</f>
        <v/>
      </c>
    </row>
    <row r="120">
      <c r="A120" t="inlineStr">
        <is>
          <t>119</t>
        </is>
      </c>
      <c r="B120" t="inlineStr">
        <is>
          <t>Rocco Schumacher</t>
        </is>
      </c>
      <c r="C120" t="inlineStr">
        <is>
          <t>ROTOR Race Team</t>
        </is>
      </c>
      <c r="D120" t="inlineStr">
        <is>
          <t>36</t>
        </is>
      </c>
      <c r="E120">
        <f>HYPERLINK("https://www.britishcycling.org.uk/points?person_id=521039&amp;year=2022&amp;type=national&amp;d=6","Results")</f>
        <v/>
      </c>
    </row>
    <row r="121">
      <c r="A121" t="inlineStr">
        <is>
          <t>120</t>
        </is>
      </c>
      <c r="B121" t="inlineStr">
        <is>
          <t>Teddy Taylor</t>
        </is>
      </c>
      <c r="C121" t="inlineStr">
        <is>
          <t>Chase Racing</t>
        </is>
      </c>
      <c r="D121" t="inlineStr">
        <is>
          <t>36</t>
        </is>
      </c>
      <c r="E121">
        <f>HYPERLINK("https://www.britishcycling.org.uk/points?person_id=686840&amp;year=2022&amp;type=national&amp;d=6","Results")</f>
        <v/>
      </c>
    </row>
    <row r="122">
      <c r="A122" t="inlineStr">
        <is>
          <t>121</t>
        </is>
      </c>
      <c r="B122" t="inlineStr">
        <is>
          <t>George Cranston</t>
        </is>
      </c>
      <c r="C122" t="inlineStr">
        <is>
          <t>Barnesbury CC</t>
        </is>
      </c>
      <c r="D122" t="inlineStr">
        <is>
          <t>35</t>
        </is>
      </c>
      <c r="E122">
        <f>HYPERLINK("https://www.britishcycling.org.uk/points?person_id=466072&amp;year=2022&amp;type=national&amp;d=6","Results")</f>
        <v/>
      </c>
    </row>
    <row r="123">
      <c r="A123" t="inlineStr">
        <is>
          <t>122</t>
        </is>
      </c>
      <c r="B123" t="inlineStr">
        <is>
          <t>Oliver Bailey</t>
        </is>
      </c>
      <c r="C123" t="inlineStr">
        <is>
          <t>Clancy Briggs Cycling Academy</t>
        </is>
      </c>
      <c r="D123" t="inlineStr">
        <is>
          <t>33</t>
        </is>
      </c>
      <c r="E123">
        <f>HYPERLINK("https://www.britishcycling.org.uk/points?person_id=689162&amp;year=2022&amp;type=national&amp;d=6","Results")</f>
        <v/>
      </c>
    </row>
    <row r="124">
      <c r="A124" t="inlineStr">
        <is>
          <t>123</t>
        </is>
      </c>
      <c r="B124" t="inlineStr">
        <is>
          <t>Zach Barbour</t>
        </is>
      </c>
      <c r="C124" t="inlineStr">
        <is>
          <t>SteppingStanes Youth Cycling Club</t>
        </is>
      </c>
      <c r="D124" t="inlineStr">
        <is>
          <t>33</t>
        </is>
      </c>
      <c r="E124">
        <f>HYPERLINK("https://www.britishcycling.org.uk/points?person_id=525068&amp;year=2022&amp;type=national&amp;d=6","Results")</f>
        <v/>
      </c>
    </row>
    <row r="125">
      <c r="A125" t="inlineStr">
        <is>
          <t>124</t>
        </is>
      </c>
      <c r="B125" t="inlineStr">
        <is>
          <t>Samuel Ridgment</t>
        </is>
      </c>
      <c r="C125" t="inlineStr">
        <is>
          <t>Sotonia CC</t>
        </is>
      </c>
      <c r="D125" t="inlineStr">
        <is>
          <t>33</t>
        </is>
      </c>
      <c r="E125">
        <f>HYPERLINK("https://www.britishcycling.org.uk/points?person_id=566386&amp;year=2022&amp;type=national&amp;d=6","Results")</f>
        <v/>
      </c>
    </row>
    <row r="126">
      <c r="A126" t="inlineStr">
        <is>
          <t>125</t>
        </is>
      </c>
      <c r="B126" t="inlineStr">
        <is>
          <t>Michael Swindells</t>
        </is>
      </c>
      <c r="C126" t="inlineStr">
        <is>
          <t>Iceni Velo</t>
        </is>
      </c>
      <c r="D126" t="inlineStr">
        <is>
          <t>32</t>
        </is>
      </c>
      <c r="E126">
        <f>HYPERLINK("https://www.britishcycling.org.uk/points?person_id=536620&amp;year=2022&amp;type=national&amp;d=6","Results")</f>
        <v/>
      </c>
    </row>
    <row r="127">
      <c r="A127" t="inlineStr">
        <is>
          <t>126</t>
        </is>
      </c>
      <c r="B127" t="inlineStr">
        <is>
          <t>Noah Wheller</t>
        </is>
      </c>
      <c r="C127" t="inlineStr">
        <is>
          <t>Preston Park Youth CC (PPYCC)</t>
        </is>
      </c>
      <c r="D127" t="inlineStr">
        <is>
          <t>32</t>
        </is>
      </c>
      <c r="E127">
        <f>HYPERLINK("https://www.britishcycling.org.uk/points?person_id=675652&amp;year=2022&amp;type=national&amp;d=6","Results")</f>
        <v/>
      </c>
    </row>
    <row r="128">
      <c r="A128" t="inlineStr">
        <is>
          <t>127</t>
        </is>
      </c>
      <c r="B128" t="inlineStr">
        <is>
          <t>Edwin Boyle</t>
        </is>
      </c>
      <c r="C128" t="inlineStr">
        <is>
          <t>Preston Park Youth CC (PPYCC)</t>
        </is>
      </c>
      <c r="D128" t="inlineStr">
        <is>
          <t>31</t>
        </is>
      </c>
      <c r="E128">
        <f>HYPERLINK("https://www.britishcycling.org.uk/points?person_id=455438&amp;year=2022&amp;type=national&amp;d=6","Results")</f>
        <v/>
      </c>
    </row>
    <row r="129">
      <c r="A129" t="inlineStr">
        <is>
          <t>128</t>
        </is>
      </c>
      <c r="B129" t="inlineStr">
        <is>
          <t>Oliver Haysom</t>
        </is>
      </c>
      <c r="C129" t="inlineStr">
        <is>
          <t>Crawley Wheelers</t>
        </is>
      </c>
      <c r="D129" t="inlineStr">
        <is>
          <t>31</t>
        </is>
      </c>
      <c r="E129">
        <f>HYPERLINK("https://www.britishcycling.org.uk/points?person_id=978758&amp;year=2022&amp;type=national&amp;d=6","Results")</f>
        <v/>
      </c>
    </row>
    <row r="130">
      <c r="A130" t="inlineStr">
        <is>
          <t>129</t>
        </is>
      </c>
      <c r="B130" t="inlineStr">
        <is>
          <t>Cillian Lewis</t>
        </is>
      </c>
      <c r="C130" t="inlineStr">
        <is>
          <t>Manilla Cycling</t>
        </is>
      </c>
      <c r="D130" t="inlineStr">
        <is>
          <t>31</t>
        </is>
      </c>
      <c r="E130">
        <f>HYPERLINK("https://www.britishcycling.org.uk/points?person_id=915384&amp;year=2022&amp;type=national&amp;d=6","Results")</f>
        <v/>
      </c>
    </row>
    <row r="131">
      <c r="A131" t="inlineStr">
        <is>
          <t>130</t>
        </is>
      </c>
      <c r="B131" t="inlineStr">
        <is>
          <t>Jamie Coulson</t>
        </is>
      </c>
      <c r="C131" t="inlineStr">
        <is>
          <t>Herne Hill Youth CC</t>
        </is>
      </c>
      <c r="D131" t="inlineStr">
        <is>
          <t>30</t>
        </is>
      </c>
      <c r="E131">
        <f>HYPERLINK("https://www.britishcycling.org.uk/points?person_id=996076&amp;year=2022&amp;type=national&amp;d=6","Results")</f>
        <v/>
      </c>
    </row>
    <row r="132">
      <c r="A132" t="inlineStr">
        <is>
          <t>131</t>
        </is>
      </c>
      <c r="B132" t="inlineStr">
        <is>
          <t>Isaac Alexander Pressley</t>
        </is>
      </c>
      <c r="C132" t="inlineStr">
        <is>
          <t>Clifton CC</t>
        </is>
      </c>
      <c r="D132" t="inlineStr">
        <is>
          <t>30</t>
        </is>
      </c>
      <c r="E132">
        <f>HYPERLINK("https://www.britishcycling.org.uk/points?person_id=535557&amp;year=2022&amp;type=national&amp;d=6","Results")</f>
        <v/>
      </c>
    </row>
    <row r="133">
      <c r="A133" t="inlineStr">
        <is>
          <t>132</t>
        </is>
      </c>
      <c r="B133" t="inlineStr">
        <is>
          <t>Ewan Sexton</t>
        </is>
      </c>
      <c r="C133" t="inlineStr">
        <is>
          <t>West Lothian Clarion CC</t>
        </is>
      </c>
      <c r="D133" t="inlineStr">
        <is>
          <t>30</t>
        </is>
      </c>
      <c r="E133">
        <f>HYPERLINK("https://www.britishcycling.org.uk/points?person_id=614309&amp;year=2022&amp;type=national&amp;d=6","Results")</f>
        <v/>
      </c>
    </row>
    <row r="134">
      <c r="A134" t="inlineStr">
        <is>
          <t>133</t>
        </is>
      </c>
      <c r="B134" t="inlineStr">
        <is>
          <t>Samuel Stewart-Ball</t>
        </is>
      </c>
      <c r="C134" t="inlineStr">
        <is>
          <t>ESV Manchester</t>
        </is>
      </c>
      <c r="D134" t="inlineStr">
        <is>
          <t>30</t>
        </is>
      </c>
      <c r="E134">
        <f>HYPERLINK("https://www.britishcycling.org.uk/points?person_id=687258&amp;year=2022&amp;type=national&amp;d=6","Results")</f>
        <v/>
      </c>
    </row>
    <row r="135">
      <c r="A135" t="inlineStr">
        <is>
          <t>134</t>
        </is>
      </c>
      <c r="B135" t="inlineStr">
        <is>
          <t>Samuel Brook</t>
        </is>
      </c>
      <c r="C135" t="inlineStr">
        <is>
          <t>West Suffolk Wheelers</t>
        </is>
      </c>
      <c r="D135" t="inlineStr">
        <is>
          <t>29</t>
        </is>
      </c>
      <c r="E135">
        <f>HYPERLINK("https://www.britishcycling.org.uk/points?person_id=616119&amp;year=2022&amp;type=national&amp;d=6","Results")</f>
        <v/>
      </c>
    </row>
    <row r="136">
      <c r="A136" t="inlineStr">
        <is>
          <t>135</t>
        </is>
      </c>
      <c r="B136" t="inlineStr">
        <is>
          <t>Benjamin Freeman</t>
        </is>
      </c>
      <c r="C136" t="inlineStr">
        <is>
          <t>Leicester Forest CC</t>
        </is>
      </c>
      <c r="D136" t="inlineStr">
        <is>
          <t>29</t>
        </is>
      </c>
      <c r="E136">
        <f>HYPERLINK("https://www.britishcycling.org.uk/points?person_id=1011853&amp;year=2022&amp;type=national&amp;d=6","Results")</f>
        <v/>
      </c>
    </row>
    <row r="137">
      <c r="A137" t="inlineStr">
        <is>
          <t>136</t>
        </is>
      </c>
      <c r="B137" t="inlineStr">
        <is>
          <t>Euan White</t>
        </is>
      </c>
      <c r="C137" t="inlineStr">
        <is>
          <t>Pro Vision</t>
        </is>
      </c>
      <c r="D137" t="inlineStr">
        <is>
          <t>29</t>
        </is>
      </c>
      <c r="E137">
        <f>HYPERLINK("https://www.britishcycling.org.uk/points?person_id=552760&amp;year=2022&amp;type=national&amp;d=6","Results")</f>
        <v/>
      </c>
    </row>
    <row r="138">
      <c r="A138" t="inlineStr">
        <is>
          <t>137</t>
        </is>
      </c>
      <c r="B138" t="inlineStr">
        <is>
          <t>Arthur Morley</t>
        </is>
      </c>
      <c r="C138" t="inlineStr">
        <is>
          <t>Velo Club Lincoln</t>
        </is>
      </c>
      <c r="D138" t="inlineStr">
        <is>
          <t>28</t>
        </is>
      </c>
      <c r="E138">
        <f>HYPERLINK("https://www.britishcycling.org.uk/points?person_id=644745&amp;year=2022&amp;type=national&amp;d=6","Results")</f>
        <v/>
      </c>
    </row>
    <row r="139">
      <c r="A139" t="inlineStr">
        <is>
          <t>138</t>
        </is>
      </c>
      <c r="B139" t="inlineStr">
        <is>
          <t>Finn O'Brien</t>
        </is>
      </c>
      <c r="C139" t="inlineStr">
        <is>
          <t>Lee Valley Youth Cycling Club</t>
        </is>
      </c>
      <c r="D139" t="inlineStr">
        <is>
          <t>28</t>
        </is>
      </c>
      <c r="E139">
        <f>HYPERLINK("https://www.britishcycling.org.uk/points?person_id=292180&amp;year=2022&amp;type=national&amp;d=6","Results")</f>
        <v/>
      </c>
    </row>
    <row r="140">
      <c r="A140" t="inlineStr">
        <is>
          <t>139</t>
        </is>
      </c>
      <c r="B140" t="inlineStr">
        <is>
          <t>James Canham</t>
        </is>
      </c>
      <c r="C140" t="inlineStr">
        <is>
          <t>RTD - J'sCycleShack</t>
        </is>
      </c>
      <c r="D140" t="inlineStr">
        <is>
          <t>27</t>
        </is>
      </c>
      <c r="E140">
        <f>HYPERLINK("https://www.britishcycling.org.uk/points?person_id=545252&amp;year=2022&amp;type=national&amp;d=6","Results")</f>
        <v/>
      </c>
    </row>
    <row r="141">
      <c r="A141" t="inlineStr">
        <is>
          <t>140</t>
        </is>
      </c>
      <c r="B141" t="inlineStr">
        <is>
          <t>Rupert Cavill</t>
        </is>
      </c>
      <c r="C141" t="inlineStr">
        <is>
          <t>Welwyn Wheelers CC</t>
        </is>
      </c>
      <c r="D141" t="inlineStr">
        <is>
          <t>27</t>
        </is>
      </c>
      <c r="E141">
        <f>HYPERLINK("https://www.britishcycling.org.uk/points?person_id=300592&amp;year=2022&amp;type=national&amp;d=6","Results")</f>
        <v/>
      </c>
    </row>
    <row r="142">
      <c r="A142" t="inlineStr">
        <is>
          <t>141</t>
        </is>
      </c>
      <c r="B142" t="inlineStr">
        <is>
          <t>Hudson Hendry</t>
        </is>
      </c>
      <c r="C142" t="inlineStr">
        <is>
          <t>George Fox Cycling Solutions</t>
        </is>
      </c>
      <c r="D142" t="inlineStr">
        <is>
          <t>26</t>
        </is>
      </c>
      <c r="E142">
        <f>HYPERLINK("https://www.britishcycling.org.uk/points?person_id=840927&amp;year=2022&amp;type=national&amp;d=6","Results")</f>
        <v/>
      </c>
    </row>
    <row r="143">
      <c r="A143" t="inlineStr">
        <is>
          <t>142</t>
        </is>
      </c>
      <c r="B143" t="inlineStr">
        <is>
          <t>William Birchall</t>
        </is>
      </c>
      <c r="C143" t="inlineStr">
        <is>
          <t>Mid Devon CC</t>
        </is>
      </c>
      <c r="D143" t="inlineStr">
        <is>
          <t>25</t>
        </is>
      </c>
      <c r="E143">
        <f>HYPERLINK("https://www.britishcycling.org.uk/points?person_id=699413&amp;year=2022&amp;type=national&amp;d=6","Results")</f>
        <v/>
      </c>
    </row>
    <row r="144">
      <c r="A144" t="inlineStr">
        <is>
          <t>143</t>
        </is>
      </c>
      <c r="B144" t="inlineStr">
        <is>
          <t>Patrick Neely</t>
        </is>
      </c>
      <c r="C144" t="inlineStr">
        <is>
          <t>Solihull CC</t>
        </is>
      </c>
      <c r="D144" t="inlineStr">
        <is>
          <t>25</t>
        </is>
      </c>
      <c r="E144">
        <f>HYPERLINK("https://www.britishcycling.org.uk/points?person_id=660759&amp;year=2022&amp;type=national&amp;d=6","Results")</f>
        <v/>
      </c>
    </row>
    <row r="145">
      <c r="A145" t="inlineStr">
        <is>
          <t>144</t>
        </is>
      </c>
      <c r="B145" t="inlineStr">
        <is>
          <t>Ashley Watton</t>
        </is>
      </c>
      <c r="C145" t="inlineStr">
        <is>
          <t>Chase Racing</t>
        </is>
      </c>
      <c r="D145" t="inlineStr">
        <is>
          <t>25</t>
        </is>
      </c>
      <c r="E145">
        <f>HYPERLINK("https://www.britishcycling.org.uk/points?person_id=678270&amp;year=2022&amp;type=national&amp;d=6","Results")</f>
        <v/>
      </c>
    </row>
    <row r="146">
      <c r="A146" t="inlineStr">
        <is>
          <t>145</t>
        </is>
      </c>
      <c r="B146" t="inlineStr">
        <is>
          <t>Duncan Whalley</t>
        </is>
      </c>
      <c r="C146" t="inlineStr">
        <is>
          <t>Astley &amp; Tyldesley Cycling Club</t>
        </is>
      </c>
      <c r="D146" t="inlineStr">
        <is>
          <t>25</t>
        </is>
      </c>
      <c r="E146">
        <f>HYPERLINK("https://www.britishcycling.org.uk/points?person_id=292677&amp;year=2022&amp;type=national&amp;d=6","Results")</f>
        <v/>
      </c>
    </row>
    <row r="147">
      <c r="A147" t="inlineStr">
        <is>
          <t>146</t>
        </is>
      </c>
      <c r="B147" t="inlineStr">
        <is>
          <t>Montague Flavell</t>
        </is>
      </c>
      <c r="C147" t="inlineStr">
        <is>
          <t>Sotonia CC</t>
        </is>
      </c>
      <c r="D147" t="inlineStr">
        <is>
          <t>24</t>
        </is>
      </c>
      <c r="E147">
        <f>HYPERLINK("https://www.britishcycling.org.uk/points?person_id=804283&amp;year=2022&amp;type=national&amp;d=6","Results")</f>
        <v/>
      </c>
    </row>
    <row r="148">
      <c r="A148" t="inlineStr">
        <is>
          <t>147</t>
        </is>
      </c>
      <c r="B148" t="inlineStr">
        <is>
          <t>Thomas Godfrey</t>
        </is>
      </c>
      <c r="C148" t="inlineStr">
        <is>
          <t>Bedfordshire Road Cycling Club</t>
        </is>
      </c>
      <c r="D148" t="inlineStr">
        <is>
          <t>22</t>
        </is>
      </c>
      <c r="E148">
        <f>HYPERLINK("https://www.britishcycling.org.uk/points?person_id=408344&amp;year=2022&amp;type=national&amp;d=6","Results")</f>
        <v/>
      </c>
    </row>
    <row r="149">
      <c r="A149" t="inlineStr">
        <is>
          <t>148</t>
        </is>
      </c>
      <c r="B149" t="inlineStr">
        <is>
          <t>Jem Henderson</t>
        </is>
      </c>
      <c r="C149" t="inlineStr">
        <is>
          <t>Hetton Hawks Cycling Club</t>
        </is>
      </c>
      <c r="D149" t="inlineStr">
        <is>
          <t>22</t>
        </is>
      </c>
      <c r="E149">
        <f>HYPERLINK("https://www.britishcycling.org.uk/points?person_id=241827&amp;year=2022&amp;type=national&amp;d=6","Results")</f>
        <v/>
      </c>
    </row>
    <row r="150">
      <c r="A150" t="inlineStr">
        <is>
          <t>149</t>
        </is>
      </c>
      <c r="B150" t="inlineStr">
        <is>
          <t>William Hutchinson</t>
        </is>
      </c>
      <c r="C150" t="inlineStr">
        <is>
          <t>Derby Mercury RC</t>
        </is>
      </c>
      <c r="D150" t="inlineStr">
        <is>
          <t>22</t>
        </is>
      </c>
      <c r="E150">
        <f>HYPERLINK("https://www.britishcycling.org.uk/points?person_id=735230&amp;year=2022&amp;type=national&amp;d=6","Results")</f>
        <v/>
      </c>
    </row>
    <row r="151">
      <c r="A151" t="inlineStr">
        <is>
          <t>150</t>
        </is>
      </c>
      <c r="B151" t="inlineStr">
        <is>
          <t>Milo Clarke</t>
        </is>
      </c>
      <c r="C151" t="inlineStr">
        <is>
          <t>Preston Park Youth CC (PPYCC)</t>
        </is>
      </c>
      <c r="D151" t="inlineStr">
        <is>
          <t>21</t>
        </is>
      </c>
      <c r="E151">
        <f>HYPERLINK("https://www.britishcycling.org.uk/points?person_id=885904&amp;year=2022&amp;type=national&amp;d=6","Results")</f>
        <v/>
      </c>
    </row>
    <row r="152">
      <c r="A152" t="inlineStr">
        <is>
          <t>151</t>
        </is>
      </c>
      <c r="B152" t="inlineStr">
        <is>
          <t>Sam Martin</t>
        </is>
      </c>
      <c r="C152" t="inlineStr">
        <is>
          <t>Banbury Star CC</t>
        </is>
      </c>
      <c r="D152" t="inlineStr">
        <is>
          <t>21</t>
        </is>
      </c>
      <c r="E152">
        <f>HYPERLINK("https://www.britishcycling.org.uk/points?person_id=1041432&amp;year=2022&amp;type=national&amp;d=6","Results")</f>
        <v/>
      </c>
    </row>
    <row r="153">
      <c r="A153" t="inlineStr">
        <is>
          <t>152</t>
        </is>
      </c>
      <c r="B153" t="inlineStr">
        <is>
          <t>Cailean Vorster</t>
        </is>
      </c>
      <c r="C153" t="inlineStr">
        <is>
          <t>West Lothian Clarion CC</t>
        </is>
      </c>
      <c r="D153" t="inlineStr">
        <is>
          <t>20</t>
        </is>
      </c>
      <c r="E153">
        <f>HYPERLINK("https://www.britishcycling.org.uk/points?person_id=853347&amp;year=2022&amp;type=national&amp;d=6","Results")</f>
        <v/>
      </c>
    </row>
    <row r="154">
      <c r="A154" t="inlineStr">
        <is>
          <t>153</t>
        </is>
      </c>
      <c r="B154" t="inlineStr">
        <is>
          <t>Reuben Wadey</t>
        </is>
      </c>
      <c r="C154" t="inlineStr">
        <is>
          <t>Avid Sport</t>
        </is>
      </c>
      <c r="D154" t="inlineStr">
        <is>
          <t>20</t>
        </is>
      </c>
      <c r="E154">
        <f>HYPERLINK("https://www.britishcycling.org.uk/points?person_id=538934&amp;year=2022&amp;type=national&amp;d=6","Results")</f>
        <v/>
      </c>
    </row>
    <row r="155">
      <c r="A155" t="inlineStr">
        <is>
          <t>154</t>
        </is>
      </c>
      <c r="B155" t="inlineStr">
        <is>
          <t>Milo Wood</t>
        </is>
      </c>
      <c r="C155" t="inlineStr">
        <is>
          <t>East Bradford CC</t>
        </is>
      </c>
      <c r="D155" t="inlineStr">
        <is>
          <t>19</t>
        </is>
      </c>
      <c r="E155">
        <f>HYPERLINK("https://www.britishcycling.org.uk/points?person_id=536617&amp;year=2022&amp;type=national&amp;d=6","Results")</f>
        <v/>
      </c>
    </row>
    <row r="156">
      <c r="A156" t="inlineStr">
        <is>
          <t>155</t>
        </is>
      </c>
      <c r="B156" t="inlineStr">
        <is>
          <t>William Barlow</t>
        </is>
      </c>
      <c r="C156" t="inlineStr">
        <is>
          <t>Lee Valley Youth Cycling Club</t>
        </is>
      </c>
      <c r="D156" t="inlineStr">
        <is>
          <t>18</t>
        </is>
      </c>
      <c r="E156">
        <f>HYPERLINK("https://www.britishcycling.org.uk/points?person_id=734479&amp;year=2022&amp;type=national&amp;d=6","Results")</f>
        <v/>
      </c>
    </row>
    <row r="157">
      <c r="A157" t="inlineStr">
        <is>
          <t>156</t>
        </is>
      </c>
      <c r="B157" t="inlineStr">
        <is>
          <t>Jarryd Claydon Folley</t>
        </is>
      </c>
      <c r="C157" t="inlineStr">
        <is>
          <t>Team Milton Keynes</t>
        </is>
      </c>
      <c r="D157" t="inlineStr">
        <is>
          <t>18</t>
        </is>
      </c>
      <c r="E157">
        <f>HYPERLINK("https://www.britishcycling.org.uk/points?person_id=944952&amp;year=2022&amp;type=national&amp;d=6","Results")</f>
        <v/>
      </c>
    </row>
    <row r="158">
      <c r="A158" t="inlineStr">
        <is>
          <t>157</t>
        </is>
      </c>
      <c r="B158" t="inlineStr">
        <is>
          <t>Tayyib Farook</t>
        </is>
      </c>
      <c r="C158" t="inlineStr">
        <is>
          <t>Leicester Forest CC</t>
        </is>
      </c>
      <c r="D158" t="inlineStr">
        <is>
          <t>18</t>
        </is>
      </c>
      <c r="E158">
        <f>HYPERLINK("https://www.britishcycling.org.uk/points?person_id=883996&amp;year=2022&amp;type=national&amp;d=6","Results")</f>
        <v/>
      </c>
    </row>
    <row r="159">
      <c r="A159" t="inlineStr">
        <is>
          <t>158</t>
        </is>
      </c>
      <c r="B159" t="inlineStr">
        <is>
          <t>Charlie Holt</t>
        </is>
      </c>
      <c r="C159" t="inlineStr">
        <is>
          <t>Sportcity Velo</t>
        </is>
      </c>
      <c r="D159" t="inlineStr">
        <is>
          <t>18</t>
        </is>
      </c>
      <c r="E159">
        <f>HYPERLINK("https://www.britishcycling.org.uk/points?person_id=1029276&amp;year=2022&amp;type=national&amp;d=6","Results")</f>
        <v/>
      </c>
    </row>
    <row r="160">
      <c r="A160" t="inlineStr">
        <is>
          <t>159</t>
        </is>
      </c>
      <c r="B160" t="inlineStr">
        <is>
          <t>Casey Humber-Kelly</t>
        </is>
      </c>
      <c r="C160" t="inlineStr">
        <is>
          <t>LVC Racing</t>
        </is>
      </c>
      <c r="D160" t="inlineStr">
        <is>
          <t>18</t>
        </is>
      </c>
      <c r="E160">
        <f>HYPERLINK("https://www.britishcycling.org.uk/points?person_id=841761&amp;year=2022&amp;type=national&amp;d=6","Results")</f>
        <v/>
      </c>
    </row>
    <row r="161">
      <c r="A161" t="inlineStr">
        <is>
          <t>160</t>
        </is>
      </c>
      <c r="B161" t="inlineStr">
        <is>
          <t>Sam Parker</t>
        </is>
      </c>
      <c r="C161" t="inlineStr">
        <is>
          <t>Lichfield City CC</t>
        </is>
      </c>
      <c r="D161" t="inlineStr">
        <is>
          <t>18</t>
        </is>
      </c>
      <c r="E161">
        <f>HYPERLINK("https://www.britishcycling.org.uk/points?person_id=477195&amp;year=2022&amp;type=national&amp;d=6","Results")</f>
        <v/>
      </c>
    </row>
    <row r="162">
      <c r="A162" t="inlineStr">
        <is>
          <t>161</t>
        </is>
      </c>
      <c r="B162" t="inlineStr">
        <is>
          <t>David Poole</t>
        </is>
      </c>
      <c r="C162" t="inlineStr">
        <is>
          <t>Stratford CC</t>
        </is>
      </c>
      <c r="D162" t="inlineStr">
        <is>
          <t>18</t>
        </is>
      </c>
      <c r="E162">
        <f>HYPERLINK("https://www.britishcycling.org.uk/points?person_id=960595&amp;year=2022&amp;type=national&amp;d=6","Results")</f>
        <v/>
      </c>
    </row>
    <row r="163">
      <c r="A163" t="inlineStr">
        <is>
          <t>162</t>
        </is>
      </c>
      <c r="B163" t="inlineStr">
        <is>
          <t>William Smith</t>
        </is>
      </c>
      <c r="C163" t="inlineStr">
        <is>
          <t>Colchester Rovers CC</t>
        </is>
      </c>
      <c r="D163" t="inlineStr">
        <is>
          <t>18</t>
        </is>
      </c>
      <c r="E163">
        <f>HYPERLINK("https://www.britishcycling.org.uk/points?person_id=339318&amp;year=2022&amp;type=national&amp;d=6","Results")</f>
        <v/>
      </c>
    </row>
    <row r="164">
      <c r="A164" t="inlineStr">
        <is>
          <t>163</t>
        </is>
      </c>
      <c r="B164" t="inlineStr">
        <is>
          <t>Thomas Woolf</t>
        </is>
      </c>
      <c r="C164" t="inlineStr">
        <is>
          <t>Matlock CC</t>
        </is>
      </c>
      <c r="D164" t="inlineStr">
        <is>
          <t>18</t>
        </is>
      </c>
      <c r="E164">
        <f>HYPERLINK("https://www.britishcycling.org.uk/points?person_id=251886&amp;year=2022&amp;type=national&amp;d=6","Results")</f>
        <v/>
      </c>
    </row>
    <row r="165">
      <c r="A165" t="inlineStr">
        <is>
          <t>164</t>
        </is>
      </c>
      <c r="B165" t="inlineStr">
        <is>
          <t>Callum Marshall</t>
        </is>
      </c>
      <c r="C165" t="inlineStr">
        <is>
          <t>Matlock CC</t>
        </is>
      </c>
      <c r="D165" t="inlineStr">
        <is>
          <t>17</t>
        </is>
      </c>
      <c r="E165">
        <f>HYPERLINK("https://www.britishcycling.org.uk/points?person_id=1017239&amp;year=2022&amp;type=national&amp;d=6","Results")</f>
        <v/>
      </c>
    </row>
    <row r="166">
      <c r="A166" t="inlineStr">
        <is>
          <t>165</t>
        </is>
      </c>
      <c r="B166" t="inlineStr">
        <is>
          <t>Luke Meyer-Eland</t>
        </is>
      </c>
      <c r="C166" t="inlineStr">
        <is>
          <t>VC Londres</t>
        </is>
      </c>
      <c r="D166" t="inlineStr">
        <is>
          <t>17</t>
        </is>
      </c>
      <c r="E166">
        <f>HYPERLINK("https://www.britishcycling.org.uk/points?person_id=1003794&amp;year=2022&amp;type=national&amp;d=6","Results")</f>
        <v/>
      </c>
    </row>
    <row r="167">
      <c r="A167" t="inlineStr">
        <is>
          <t>166</t>
        </is>
      </c>
      <c r="B167" t="inlineStr">
        <is>
          <t>Tanner Beetge</t>
        </is>
      </c>
      <c r="C167" t="inlineStr"/>
      <c r="D167" t="inlineStr">
        <is>
          <t>15</t>
        </is>
      </c>
      <c r="E167">
        <f>HYPERLINK("https://www.britishcycling.org.uk/points?person_id=1004338&amp;year=2022&amp;type=national&amp;d=6","Results")</f>
        <v/>
      </c>
    </row>
    <row r="168">
      <c r="A168" t="inlineStr">
        <is>
          <t>167</t>
        </is>
      </c>
      <c r="B168" t="inlineStr">
        <is>
          <t>Alexander Morgan</t>
        </is>
      </c>
      <c r="C168" t="inlineStr">
        <is>
          <t>Maindy Flyers CC</t>
        </is>
      </c>
      <c r="D168" t="inlineStr">
        <is>
          <t>15</t>
        </is>
      </c>
      <c r="E168">
        <f>HYPERLINK("https://www.britishcycling.org.uk/points?person_id=402218&amp;year=2022&amp;type=national&amp;d=6","Results")</f>
        <v/>
      </c>
    </row>
    <row r="169">
      <c r="A169" t="inlineStr">
        <is>
          <t>168</t>
        </is>
      </c>
      <c r="B169" t="inlineStr">
        <is>
          <t>Ben Baker</t>
        </is>
      </c>
      <c r="C169" t="inlineStr">
        <is>
          <t>NEL Lindsey Go-Ride</t>
        </is>
      </c>
      <c r="D169" t="inlineStr">
        <is>
          <t>14</t>
        </is>
      </c>
      <c r="E169">
        <f>HYPERLINK("https://www.britishcycling.org.uk/points?person_id=672658&amp;year=2022&amp;type=national&amp;d=6","Results")</f>
        <v/>
      </c>
    </row>
    <row r="170">
      <c r="A170" t="inlineStr">
        <is>
          <t>169</t>
        </is>
      </c>
      <c r="B170" t="inlineStr">
        <is>
          <t>Dylan Belton Owen</t>
        </is>
      </c>
      <c r="C170" t="inlineStr">
        <is>
          <t>VC Londres</t>
        </is>
      </c>
      <c r="D170" t="inlineStr">
        <is>
          <t>14</t>
        </is>
      </c>
      <c r="E170">
        <f>HYPERLINK("https://www.britishcycling.org.uk/points?person_id=471652&amp;year=2022&amp;type=national&amp;d=6","Results")</f>
        <v/>
      </c>
    </row>
    <row r="171">
      <c r="A171" t="inlineStr">
        <is>
          <t>170</t>
        </is>
      </c>
      <c r="B171" t="inlineStr">
        <is>
          <t>Isaac Pearcey</t>
        </is>
      </c>
      <c r="C171" t="inlineStr">
        <is>
          <t>Sulis Scorpions Youth CC</t>
        </is>
      </c>
      <c r="D171" t="inlineStr">
        <is>
          <t>14</t>
        </is>
      </c>
      <c r="E171">
        <f>HYPERLINK("https://www.britishcycling.org.uk/points?person_id=853232&amp;year=2022&amp;type=national&amp;d=6","Results")</f>
        <v/>
      </c>
    </row>
    <row r="172">
      <c r="A172" t="inlineStr">
        <is>
          <t>171</t>
        </is>
      </c>
      <c r="B172" t="inlineStr">
        <is>
          <t>Tom Smart</t>
        </is>
      </c>
      <c r="C172" t="inlineStr">
        <is>
          <t>Cotswold Cycles RT</t>
        </is>
      </c>
      <c r="D172" t="inlineStr">
        <is>
          <t>14</t>
        </is>
      </c>
      <c r="E172">
        <f>HYPERLINK("https://www.britishcycling.org.uk/points?person_id=791467&amp;year=2022&amp;type=national&amp;d=6","Results")</f>
        <v/>
      </c>
    </row>
    <row r="173">
      <c r="A173" t="inlineStr">
        <is>
          <t>172</t>
        </is>
      </c>
      <c r="B173" t="inlineStr">
        <is>
          <t>Ben Tamplin</t>
        </is>
      </c>
      <c r="C173" t="inlineStr">
        <is>
          <t>Preston Park Youth CC (PPYCC)</t>
        </is>
      </c>
      <c r="D173" t="inlineStr">
        <is>
          <t>14</t>
        </is>
      </c>
      <c r="E173">
        <f>HYPERLINK("https://www.britishcycling.org.uk/points?person_id=454898&amp;year=2022&amp;type=national&amp;d=6","Results")</f>
        <v/>
      </c>
    </row>
    <row r="174">
      <c r="A174" t="inlineStr">
        <is>
          <t>173</t>
        </is>
      </c>
      <c r="B174" t="inlineStr">
        <is>
          <t>Lewis Underwood</t>
        </is>
      </c>
      <c r="C174" t="inlineStr">
        <is>
          <t>4T+ Cyclopark</t>
        </is>
      </c>
      <c r="D174" t="inlineStr">
        <is>
          <t>14</t>
        </is>
      </c>
      <c r="E174">
        <f>HYPERLINK("https://www.britishcycling.org.uk/points?person_id=989971&amp;year=2022&amp;type=national&amp;d=6","Results")</f>
        <v/>
      </c>
    </row>
    <row r="175">
      <c r="A175" t="inlineStr">
        <is>
          <t>174</t>
        </is>
      </c>
      <c r="B175" t="inlineStr">
        <is>
          <t>Gaian Hardiman</t>
        </is>
      </c>
      <c r="C175" t="inlineStr">
        <is>
          <t>The Bulls</t>
        </is>
      </c>
      <c r="D175" t="inlineStr">
        <is>
          <t>13</t>
        </is>
      </c>
      <c r="E175">
        <f>HYPERLINK("https://www.britishcycling.org.uk/points?person_id=538942&amp;year=2022&amp;type=national&amp;d=6","Results")</f>
        <v/>
      </c>
    </row>
    <row r="176">
      <c r="A176" t="inlineStr">
        <is>
          <t>175</t>
        </is>
      </c>
      <c r="B176" t="inlineStr">
        <is>
          <t>Ted Harvey</t>
        </is>
      </c>
      <c r="C176" t="inlineStr">
        <is>
          <t>Maindy Flyers CC</t>
        </is>
      </c>
      <c r="D176" t="inlineStr">
        <is>
          <t>13</t>
        </is>
      </c>
      <c r="E176">
        <f>HYPERLINK("https://www.britishcycling.org.uk/points?person_id=951325&amp;year=2022&amp;type=national&amp;d=6","Results")</f>
        <v/>
      </c>
    </row>
    <row r="177">
      <c r="A177" t="inlineStr">
        <is>
          <t>176</t>
        </is>
      </c>
      <c r="B177" t="inlineStr">
        <is>
          <t>Caspar Reynolds</t>
        </is>
      </c>
      <c r="C177" t="inlineStr">
        <is>
          <t>Matlock CC</t>
        </is>
      </c>
      <c r="D177" t="inlineStr">
        <is>
          <t>13</t>
        </is>
      </c>
      <c r="E177">
        <f>HYPERLINK("https://www.britishcycling.org.uk/points?person_id=630958&amp;year=2022&amp;type=national&amp;d=6","Results")</f>
        <v/>
      </c>
    </row>
    <row r="178">
      <c r="A178" t="inlineStr">
        <is>
          <t>177</t>
        </is>
      </c>
      <c r="B178" t="inlineStr">
        <is>
          <t>Ewan Watson</t>
        </is>
      </c>
      <c r="C178" t="inlineStr">
        <is>
          <t>Solent Pirates</t>
        </is>
      </c>
      <c r="D178" t="inlineStr">
        <is>
          <t>13</t>
        </is>
      </c>
      <c r="E178">
        <f>HYPERLINK("https://www.britishcycling.org.uk/points?person_id=517456&amp;year=2022&amp;type=national&amp;d=6","Results")</f>
        <v/>
      </c>
    </row>
    <row r="179">
      <c r="A179" t="inlineStr">
        <is>
          <t>178</t>
        </is>
      </c>
      <c r="B179" t="inlineStr">
        <is>
          <t>Charlie Brennan</t>
        </is>
      </c>
      <c r="C179" t="inlineStr">
        <is>
          <t>Sportcity Velo</t>
        </is>
      </c>
      <c r="D179" t="inlineStr">
        <is>
          <t>12</t>
        </is>
      </c>
      <c r="E179">
        <f>HYPERLINK("https://www.britishcycling.org.uk/points?person_id=224803&amp;year=2022&amp;type=national&amp;d=6","Results")</f>
        <v/>
      </c>
    </row>
    <row r="180">
      <c r="A180" t="inlineStr">
        <is>
          <t>179</t>
        </is>
      </c>
      <c r="B180" t="inlineStr">
        <is>
          <t>William Flatau</t>
        </is>
      </c>
      <c r="C180" t="inlineStr">
        <is>
          <t>Elitecycling Junior Team</t>
        </is>
      </c>
      <c r="D180" t="inlineStr">
        <is>
          <t>12</t>
        </is>
      </c>
      <c r="E180">
        <f>HYPERLINK("https://www.britishcycling.org.uk/points?person_id=220101&amp;year=2022&amp;type=national&amp;d=6","Results")</f>
        <v/>
      </c>
    </row>
    <row r="181">
      <c r="A181" t="inlineStr">
        <is>
          <t>180</t>
        </is>
      </c>
      <c r="B181" t="inlineStr">
        <is>
          <t>Ollie Hamilton</t>
        </is>
      </c>
      <c r="C181" t="inlineStr">
        <is>
          <t>Annan Youth Cycling Club</t>
        </is>
      </c>
      <c r="D181" t="inlineStr">
        <is>
          <t>12</t>
        </is>
      </c>
      <c r="E181">
        <f>HYPERLINK("https://www.britishcycling.org.uk/points?person_id=525710&amp;year=2022&amp;type=national&amp;d=6","Results")</f>
        <v/>
      </c>
    </row>
    <row r="182">
      <c r="A182" t="inlineStr">
        <is>
          <t>181</t>
        </is>
      </c>
      <c r="B182" t="inlineStr">
        <is>
          <t>James Smith</t>
        </is>
      </c>
      <c r="C182" t="inlineStr"/>
      <c r="D182" t="inlineStr">
        <is>
          <t>12</t>
        </is>
      </c>
      <c r="E182">
        <f>HYPERLINK("https://www.britishcycling.org.uk/points?person_id=941055&amp;year=2022&amp;type=national&amp;d=6","Results")</f>
        <v/>
      </c>
    </row>
    <row r="183">
      <c r="A183" t="inlineStr">
        <is>
          <t>182</t>
        </is>
      </c>
      <c r="B183" t="inlineStr">
        <is>
          <t>Lewis Trubridge</t>
        </is>
      </c>
      <c r="C183" t="inlineStr"/>
      <c r="D183" t="inlineStr">
        <is>
          <t>12</t>
        </is>
      </c>
      <c r="E183">
        <f>HYPERLINK("https://www.britishcycling.org.uk/points?person_id=978022&amp;year=2022&amp;type=national&amp;d=6","Results")</f>
        <v/>
      </c>
    </row>
    <row r="184">
      <c r="A184" t="inlineStr">
        <is>
          <t>183</t>
        </is>
      </c>
      <c r="B184" t="inlineStr">
        <is>
          <t>Daniel Jones</t>
        </is>
      </c>
      <c r="C184" t="inlineStr">
        <is>
          <t>Lyme RC</t>
        </is>
      </c>
      <c r="D184" t="inlineStr">
        <is>
          <t>11</t>
        </is>
      </c>
      <c r="E184">
        <f>HYPERLINK("https://www.britishcycling.org.uk/points?person_id=537028&amp;year=2022&amp;type=national&amp;d=6","Results")</f>
        <v/>
      </c>
    </row>
    <row r="185">
      <c r="A185" t="inlineStr">
        <is>
          <t>184</t>
        </is>
      </c>
      <c r="B185" t="inlineStr">
        <is>
          <t>Friedrich Schneider</t>
        </is>
      </c>
      <c r="C185" t="inlineStr">
        <is>
          <t>Solihull CC</t>
        </is>
      </c>
      <c r="D185" t="inlineStr">
        <is>
          <t>11</t>
        </is>
      </c>
      <c r="E185">
        <f>HYPERLINK("https://www.britishcycling.org.uk/points?person_id=1008696&amp;year=2022&amp;type=national&amp;d=6","Results")</f>
        <v/>
      </c>
    </row>
    <row r="186">
      <c r="A186" t="inlineStr">
        <is>
          <t>185</t>
        </is>
      </c>
      <c r="B186" t="inlineStr">
        <is>
          <t>Harrison Warner</t>
        </is>
      </c>
      <c r="C186" t="inlineStr">
        <is>
          <t>Velo Club Venta</t>
        </is>
      </c>
      <c r="D186" t="inlineStr">
        <is>
          <t>11</t>
        </is>
      </c>
      <c r="E186">
        <f>HYPERLINK("https://www.britishcycling.org.uk/points?person_id=1028766&amp;year=2022&amp;type=national&amp;d=6","Results")</f>
        <v/>
      </c>
    </row>
    <row r="187">
      <c r="A187" t="inlineStr">
        <is>
          <t>186</t>
        </is>
      </c>
      <c r="B187" t="inlineStr">
        <is>
          <t>Taylor Hinchliffe</t>
        </is>
      </c>
      <c r="C187" t="inlineStr">
        <is>
          <t>Bolsover &amp; District Cycling Club</t>
        </is>
      </c>
      <c r="D187" t="inlineStr">
        <is>
          <t>10</t>
        </is>
      </c>
      <c r="E187">
        <f>HYPERLINK("https://www.britishcycling.org.uk/points?person_id=604747&amp;year=2022&amp;type=national&amp;d=6","Results")</f>
        <v/>
      </c>
    </row>
    <row r="188">
      <c r="A188" t="inlineStr">
        <is>
          <t>187</t>
        </is>
      </c>
      <c r="B188" t="inlineStr">
        <is>
          <t>Matthew Peace</t>
        </is>
      </c>
      <c r="C188" t="inlineStr">
        <is>
          <t>Otley CC</t>
        </is>
      </c>
      <c r="D188" t="inlineStr">
        <is>
          <t>10</t>
        </is>
      </c>
      <c r="E188">
        <f>HYPERLINK("https://www.britishcycling.org.uk/points?person_id=538164&amp;year=2022&amp;type=national&amp;d=6","Results")</f>
        <v/>
      </c>
    </row>
    <row r="189">
      <c r="A189" t="inlineStr">
        <is>
          <t>188</t>
        </is>
      </c>
      <c r="B189" t="inlineStr">
        <is>
          <t>Daniel Rowntree</t>
        </is>
      </c>
      <c r="C189" t="inlineStr">
        <is>
          <t>Bath Cycling Club</t>
        </is>
      </c>
      <c r="D189" t="inlineStr">
        <is>
          <t>10</t>
        </is>
      </c>
      <c r="E189">
        <f>HYPERLINK("https://www.britishcycling.org.uk/points?person_id=246827&amp;year=2022&amp;type=national&amp;d=6","Results")</f>
        <v/>
      </c>
    </row>
    <row r="190">
      <c r="A190" t="inlineStr">
        <is>
          <t>189</t>
        </is>
      </c>
      <c r="B190" t="inlineStr">
        <is>
          <t>Harry Snaith</t>
        </is>
      </c>
      <c r="C190" t="inlineStr">
        <is>
          <t>Derwentside CC</t>
        </is>
      </c>
      <c r="D190" t="inlineStr">
        <is>
          <t>10</t>
        </is>
      </c>
      <c r="E190">
        <f>HYPERLINK("https://www.britishcycling.org.uk/points?person_id=942338&amp;year=2022&amp;type=national&amp;d=6","Results")</f>
        <v/>
      </c>
    </row>
    <row r="191">
      <c r="A191" t="inlineStr">
        <is>
          <t>190</t>
        </is>
      </c>
      <c r="B191" t="inlineStr">
        <is>
          <t>Enzo Stewart</t>
        </is>
      </c>
      <c r="C191" t="inlineStr">
        <is>
          <t>Herne Hill Youth CC</t>
        </is>
      </c>
      <c r="D191" t="inlineStr">
        <is>
          <t>10</t>
        </is>
      </c>
      <c r="E191">
        <f>HYPERLINK("https://www.britishcycling.org.uk/points?person_id=794386&amp;year=2022&amp;type=national&amp;d=6","Results")</f>
        <v/>
      </c>
    </row>
    <row r="192">
      <c r="A192" t="inlineStr">
        <is>
          <t>191</t>
        </is>
      </c>
      <c r="B192" t="inlineStr">
        <is>
          <t>Rory Youngman</t>
        </is>
      </c>
      <c r="C192" t="inlineStr">
        <is>
          <t>SteppingStanes Youth Cycling Club</t>
        </is>
      </c>
      <c r="D192" t="inlineStr">
        <is>
          <t>10</t>
        </is>
      </c>
      <c r="E192">
        <f>HYPERLINK("https://www.britishcycling.org.uk/points?person_id=749373&amp;year=2022&amp;type=national&amp;d=6","Results")</f>
        <v/>
      </c>
    </row>
    <row r="193">
      <c r="A193" t="inlineStr">
        <is>
          <t>192</t>
        </is>
      </c>
      <c r="B193" t="inlineStr">
        <is>
          <t>James Crossey</t>
        </is>
      </c>
      <c r="C193" t="inlineStr">
        <is>
          <t>Dartmoor Velo</t>
        </is>
      </c>
      <c r="D193" t="inlineStr">
        <is>
          <t>9</t>
        </is>
      </c>
      <c r="E193">
        <f>HYPERLINK("https://www.britishcycling.org.uk/points?person_id=601465&amp;year=2022&amp;type=national&amp;d=6","Results")</f>
        <v/>
      </c>
    </row>
    <row r="194">
      <c r="A194" t="inlineStr">
        <is>
          <t>193</t>
        </is>
      </c>
      <c r="B194" t="inlineStr">
        <is>
          <t>Dominik Garner</t>
        </is>
      </c>
      <c r="C194" t="inlineStr">
        <is>
          <t>Limited Edition Cycling</t>
        </is>
      </c>
      <c r="D194" t="inlineStr">
        <is>
          <t>9</t>
        </is>
      </c>
      <c r="E194">
        <f>HYPERLINK("https://www.britishcycling.org.uk/points?person_id=985560&amp;year=2022&amp;type=national&amp;d=6","Results")</f>
        <v/>
      </c>
    </row>
    <row r="195">
      <c r="A195" t="inlineStr">
        <is>
          <t>194</t>
        </is>
      </c>
      <c r="B195" t="inlineStr">
        <is>
          <t>Theo Hester</t>
        </is>
      </c>
      <c r="C195" t="inlineStr">
        <is>
          <t>Avid Sport</t>
        </is>
      </c>
      <c r="D195" t="inlineStr">
        <is>
          <t>9</t>
        </is>
      </c>
      <c r="E195">
        <f>HYPERLINK("https://www.britishcycling.org.uk/points?person_id=1009533&amp;year=2022&amp;type=national&amp;d=6","Results")</f>
        <v/>
      </c>
    </row>
    <row r="196">
      <c r="A196" t="inlineStr">
        <is>
          <t>195</t>
        </is>
      </c>
      <c r="B196" t="inlineStr">
        <is>
          <t>Isaac Horton</t>
        </is>
      </c>
      <c r="C196" t="inlineStr">
        <is>
          <t>Sprockets Cycle Club</t>
        </is>
      </c>
      <c r="D196" t="inlineStr">
        <is>
          <t>9</t>
        </is>
      </c>
      <c r="E196">
        <f>HYPERLINK("https://www.britishcycling.org.uk/points?person_id=737938&amp;year=2022&amp;type=national&amp;d=6","Results")</f>
        <v/>
      </c>
    </row>
    <row r="197">
      <c r="A197" t="inlineStr">
        <is>
          <t>196</t>
        </is>
      </c>
      <c r="B197" t="inlineStr">
        <is>
          <t>Jonathan Lowe</t>
        </is>
      </c>
      <c r="C197" t="inlineStr">
        <is>
          <t>Sotonia CC</t>
        </is>
      </c>
      <c r="D197" t="inlineStr">
        <is>
          <t>9</t>
        </is>
      </c>
      <c r="E197">
        <f>HYPERLINK("https://www.britishcycling.org.uk/points?person_id=1053018&amp;year=2022&amp;type=national&amp;d=6","Results")</f>
        <v/>
      </c>
    </row>
    <row r="198">
      <c r="A198" t="inlineStr">
        <is>
          <t>197</t>
        </is>
      </c>
      <c r="B198" t="inlineStr">
        <is>
          <t>Isaac March</t>
        </is>
      </c>
      <c r="C198" t="inlineStr">
        <is>
          <t>Derwentside CC</t>
        </is>
      </c>
      <c r="D198" t="inlineStr">
        <is>
          <t>9</t>
        </is>
      </c>
      <c r="E198">
        <f>HYPERLINK("https://www.britishcycling.org.uk/points?person_id=1032190&amp;year=2022&amp;type=national&amp;d=6","Results")</f>
        <v/>
      </c>
    </row>
    <row r="199">
      <c r="A199" t="inlineStr">
        <is>
          <t>198</t>
        </is>
      </c>
      <c r="B199" t="inlineStr">
        <is>
          <t>Joseph Young</t>
        </is>
      </c>
      <c r="C199" t="inlineStr">
        <is>
          <t>Ilkeston Cycle Club</t>
        </is>
      </c>
      <c r="D199" t="inlineStr">
        <is>
          <t>9</t>
        </is>
      </c>
      <c r="E199">
        <f>HYPERLINK("https://www.britishcycling.org.uk/points?person_id=991665&amp;year=2022&amp;type=national&amp;d=6","Results")</f>
        <v/>
      </c>
    </row>
    <row r="200">
      <c r="A200" t="inlineStr">
        <is>
          <t>199</t>
        </is>
      </c>
      <c r="B200" t="inlineStr">
        <is>
          <t>Mason Bulfin</t>
        </is>
      </c>
      <c r="C200" t="inlineStr">
        <is>
          <t>Racing Metro 15</t>
        </is>
      </c>
      <c r="D200" t="inlineStr">
        <is>
          <t>8</t>
        </is>
      </c>
      <c r="E200">
        <f>HYPERLINK("https://www.britishcycling.org.uk/points?person_id=990708&amp;year=2022&amp;type=national&amp;d=6","Results")</f>
        <v/>
      </c>
    </row>
    <row r="201">
      <c r="A201" t="inlineStr">
        <is>
          <t>200</t>
        </is>
      </c>
      <c r="B201" t="inlineStr">
        <is>
          <t>Vyaan Dhokia</t>
        </is>
      </c>
      <c r="C201" t="inlineStr">
        <is>
          <t>West Lothian Clarion CC</t>
        </is>
      </c>
      <c r="D201" t="inlineStr">
        <is>
          <t>8</t>
        </is>
      </c>
      <c r="E201">
        <f>HYPERLINK("https://www.britishcycling.org.uk/points?person_id=1015872&amp;year=2022&amp;type=national&amp;d=6","Results")</f>
        <v/>
      </c>
    </row>
    <row r="202">
      <c r="A202" t="inlineStr">
        <is>
          <t>201</t>
        </is>
      </c>
      <c r="B202" t="inlineStr">
        <is>
          <t>Harry Gilligan</t>
        </is>
      </c>
      <c r="C202" t="inlineStr">
        <is>
          <t>Shibden Cycling Club</t>
        </is>
      </c>
      <c r="D202" t="inlineStr">
        <is>
          <t>8</t>
        </is>
      </c>
      <c r="E202">
        <f>HYPERLINK("https://www.britishcycling.org.uk/points?person_id=344309&amp;year=2022&amp;type=national&amp;d=6","Results")</f>
        <v/>
      </c>
    </row>
    <row r="203">
      <c r="A203" t="inlineStr">
        <is>
          <t>202</t>
        </is>
      </c>
      <c r="B203" t="inlineStr">
        <is>
          <t>Benjamin Myers</t>
        </is>
      </c>
      <c r="C203" t="inlineStr">
        <is>
          <t>Colchester Rovers CC</t>
        </is>
      </c>
      <c r="D203" t="inlineStr">
        <is>
          <t>8</t>
        </is>
      </c>
      <c r="E203">
        <f>HYPERLINK("https://www.britishcycling.org.uk/points?person_id=1005929&amp;year=2022&amp;type=national&amp;d=6","Results")</f>
        <v/>
      </c>
    </row>
    <row r="204">
      <c r="A204" t="inlineStr">
        <is>
          <t>203</t>
        </is>
      </c>
      <c r="B204" t="inlineStr">
        <is>
          <t>Ben Southall</t>
        </is>
      </c>
      <c r="C204" t="inlineStr">
        <is>
          <t>Solihull CC</t>
        </is>
      </c>
      <c r="D204" t="inlineStr">
        <is>
          <t>8</t>
        </is>
      </c>
      <c r="E204">
        <f>HYPERLINK("https://www.britishcycling.org.uk/points?person_id=1033978&amp;year=2022&amp;type=national&amp;d=6","Results")</f>
        <v/>
      </c>
    </row>
    <row r="205">
      <c r="A205" t="inlineStr">
        <is>
          <t>204</t>
        </is>
      </c>
      <c r="B205" t="inlineStr">
        <is>
          <t>Eric Till</t>
        </is>
      </c>
      <c r="C205" t="inlineStr">
        <is>
          <t>Discovery Junior Cycling Club</t>
        </is>
      </c>
      <c r="D205" t="inlineStr">
        <is>
          <t>8</t>
        </is>
      </c>
      <c r="E205">
        <f>HYPERLINK("https://www.britishcycling.org.uk/points?person_id=936333&amp;year=2022&amp;type=national&amp;d=6","Results")</f>
        <v/>
      </c>
    </row>
    <row r="206">
      <c r="A206" t="inlineStr">
        <is>
          <t>205</t>
        </is>
      </c>
      <c r="B206" t="inlineStr">
        <is>
          <t>Zac Batey</t>
        </is>
      </c>
      <c r="C206" t="inlineStr">
        <is>
          <t>Reifen Racing</t>
        </is>
      </c>
      <c r="D206" t="inlineStr">
        <is>
          <t>7</t>
        </is>
      </c>
      <c r="E206">
        <f>HYPERLINK("https://www.britishcycling.org.uk/points?person_id=508173&amp;year=2022&amp;type=national&amp;d=6","Results")</f>
        <v/>
      </c>
    </row>
    <row r="207">
      <c r="A207" t="inlineStr">
        <is>
          <t>206</t>
        </is>
      </c>
      <c r="B207" t="inlineStr">
        <is>
          <t>Rytis Petruskevicius</t>
        </is>
      </c>
      <c r="C207" t="inlineStr">
        <is>
          <t>Limited Edition Cycling</t>
        </is>
      </c>
      <c r="D207" t="inlineStr">
        <is>
          <t>7</t>
        </is>
      </c>
      <c r="E207">
        <f>HYPERLINK("https://www.britishcycling.org.uk/points?person_id=678152&amp;year=2022&amp;type=national&amp;d=6","Results")</f>
        <v/>
      </c>
    </row>
    <row r="208">
      <c r="A208" t="inlineStr">
        <is>
          <t>207</t>
        </is>
      </c>
      <c r="B208" t="inlineStr">
        <is>
          <t>Bill Preston</t>
        </is>
      </c>
      <c r="C208" t="inlineStr">
        <is>
          <t>Green Jersey CC</t>
        </is>
      </c>
      <c r="D208" t="inlineStr">
        <is>
          <t>7</t>
        </is>
      </c>
      <c r="E208">
        <f>HYPERLINK("https://www.britishcycling.org.uk/points?person_id=970302&amp;year=2022&amp;type=national&amp;d=6","Results")</f>
        <v/>
      </c>
    </row>
    <row r="209">
      <c r="A209" t="inlineStr">
        <is>
          <t>208</t>
        </is>
      </c>
      <c r="B209" t="inlineStr">
        <is>
          <t>Harry Tozer</t>
        </is>
      </c>
      <c r="C209" t="inlineStr">
        <is>
          <t>Fenland Clarion CC</t>
        </is>
      </c>
      <c r="D209" t="inlineStr">
        <is>
          <t>7</t>
        </is>
      </c>
      <c r="E209">
        <f>HYPERLINK("https://www.britishcycling.org.uk/points?person_id=553357&amp;year=2022&amp;type=national&amp;d=6","Results")</f>
        <v/>
      </c>
    </row>
    <row r="210">
      <c r="A210" t="inlineStr">
        <is>
          <t>209</t>
        </is>
      </c>
      <c r="B210" t="inlineStr">
        <is>
          <t>Joe Tysoe</t>
        </is>
      </c>
      <c r="C210" t="inlineStr">
        <is>
          <t>Lee Valley Youth Cycling Club</t>
        </is>
      </c>
      <c r="D210" t="inlineStr">
        <is>
          <t>7</t>
        </is>
      </c>
      <c r="E210">
        <f>HYPERLINK("https://www.britishcycling.org.uk/points?person_id=847046&amp;year=2022&amp;type=national&amp;d=6","Results")</f>
        <v/>
      </c>
    </row>
    <row r="211">
      <c r="A211" t="inlineStr">
        <is>
          <t>210</t>
        </is>
      </c>
      <c r="B211" t="inlineStr">
        <is>
          <t>Evan Williams</t>
        </is>
      </c>
      <c r="C211" t="inlineStr">
        <is>
          <t>Matlock CC</t>
        </is>
      </c>
      <c r="D211" t="inlineStr">
        <is>
          <t>7</t>
        </is>
      </c>
      <c r="E211">
        <f>HYPERLINK("https://www.britishcycling.org.uk/points?person_id=614112&amp;year=2022&amp;type=national&amp;d=6","Results")</f>
        <v/>
      </c>
    </row>
    <row r="212">
      <c r="A212" t="inlineStr">
        <is>
          <t>211</t>
        </is>
      </c>
      <c r="B212" t="inlineStr">
        <is>
          <t>Santiago Alzate Rivera</t>
        </is>
      </c>
      <c r="C212" t="inlineStr">
        <is>
          <t>VC Londres</t>
        </is>
      </c>
      <c r="D212" t="inlineStr">
        <is>
          <t>6</t>
        </is>
      </c>
      <c r="E212">
        <f>HYPERLINK("https://www.britishcycling.org.uk/points?person_id=990172&amp;year=2022&amp;type=national&amp;d=6","Results")</f>
        <v/>
      </c>
    </row>
    <row r="213">
      <c r="A213" t="inlineStr">
        <is>
          <t>212</t>
        </is>
      </c>
      <c r="B213" t="inlineStr">
        <is>
          <t>Francis Caswell</t>
        </is>
      </c>
      <c r="C213" t="inlineStr">
        <is>
          <t>1st Chard Whls</t>
        </is>
      </c>
      <c r="D213" t="inlineStr">
        <is>
          <t>6</t>
        </is>
      </c>
      <c r="E213">
        <f>HYPERLINK("https://www.britishcycling.org.uk/points?person_id=750201&amp;year=2022&amp;type=national&amp;d=6","Results")</f>
        <v/>
      </c>
    </row>
    <row r="214">
      <c r="A214" t="inlineStr">
        <is>
          <t>213</t>
        </is>
      </c>
      <c r="B214" t="inlineStr">
        <is>
          <t>Murdo Evans</t>
        </is>
      </c>
      <c r="C214" t="inlineStr">
        <is>
          <t>Deeside Thistle CC</t>
        </is>
      </c>
      <c r="D214" t="inlineStr">
        <is>
          <t>6</t>
        </is>
      </c>
      <c r="E214">
        <f>HYPERLINK("https://www.britishcycling.org.uk/points?person_id=615454&amp;year=2022&amp;type=national&amp;d=6","Results")</f>
        <v/>
      </c>
    </row>
    <row r="215">
      <c r="A215" t="inlineStr">
        <is>
          <t>214</t>
        </is>
      </c>
      <c r="B215" t="inlineStr">
        <is>
          <t>Elliot Gurney</t>
        </is>
      </c>
      <c r="C215" t="inlineStr">
        <is>
          <t>Velo Club Venta</t>
        </is>
      </c>
      <c r="D215" t="inlineStr">
        <is>
          <t>6</t>
        </is>
      </c>
      <c r="E215">
        <f>HYPERLINK("https://www.britishcycling.org.uk/points?person_id=1033182&amp;year=2022&amp;type=national&amp;d=6","Results")</f>
        <v/>
      </c>
    </row>
    <row r="216">
      <c r="A216" t="inlineStr">
        <is>
          <t>215</t>
        </is>
      </c>
      <c r="B216" t="inlineStr">
        <is>
          <t>Jack Harker</t>
        </is>
      </c>
      <c r="C216" t="inlineStr">
        <is>
          <t>Hetton Hawks Cycling Club</t>
        </is>
      </c>
      <c r="D216" t="inlineStr">
        <is>
          <t>6</t>
        </is>
      </c>
      <c r="E216">
        <f>HYPERLINK("https://www.britishcycling.org.uk/points?person_id=396032&amp;year=2022&amp;type=national&amp;d=6","Results")</f>
        <v/>
      </c>
    </row>
    <row r="217">
      <c r="A217" t="inlineStr">
        <is>
          <t>216</t>
        </is>
      </c>
      <c r="B217" t="inlineStr">
        <is>
          <t>Daniel Hosty</t>
        </is>
      </c>
      <c r="C217" t="inlineStr"/>
      <c r="D217" t="inlineStr">
        <is>
          <t>6</t>
        </is>
      </c>
      <c r="E217">
        <f>HYPERLINK("https://www.britishcycling.org.uk/points?person_id=1085242&amp;year=2022&amp;type=national&amp;d=6","Results")</f>
        <v/>
      </c>
    </row>
    <row r="218">
      <c r="A218" t="inlineStr">
        <is>
          <t>217</t>
        </is>
      </c>
      <c r="B218" t="inlineStr">
        <is>
          <t>Dylan Sage</t>
        </is>
      </c>
      <c r="C218" t="inlineStr">
        <is>
          <t>Evolution Racing Academy</t>
        </is>
      </c>
      <c r="D218" t="inlineStr">
        <is>
          <t>6</t>
        </is>
      </c>
      <c r="E218">
        <f>HYPERLINK("https://www.britishcycling.org.uk/points?person_id=757298&amp;year=2022&amp;type=national&amp;d=6","Results")</f>
        <v/>
      </c>
    </row>
    <row r="219">
      <c r="A219" t="inlineStr">
        <is>
          <t>218</t>
        </is>
      </c>
      <c r="B219" t="inlineStr">
        <is>
          <t>Harry Gilbank</t>
        </is>
      </c>
      <c r="C219" t="inlineStr">
        <is>
          <t>Lee Valley Youth Cycling Club</t>
        </is>
      </c>
      <c r="D219" t="inlineStr">
        <is>
          <t>5</t>
        </is>
      </c>
      <c r="E219">
        <f>HYPERLINK("https://www.britishcycling.org.uk/points?person_id=938777&amp;year=2022&amp;type=national&amp;d=6","Results")</f>
        <v/>
      </c>
    </row>
    <row r="220">
      <c r="A220" t="inlineStr">
        <is>
          <t>219</t>
        </is>
      </c>
      <c r="B220" t="inlineStr">
        <is>
          <t>Thomas Jacobs</t>
        </is>
      </c>
      <c r="C220" t="inlineStr">
        <is>
          <t>Solent Pirates</t>
        </is>
      </c>
      <c r="D220" t="inlineStr">
        <is>
          <t>5</t>
        </is>
      </c>
      <c r="E220">
        <f>HYPERLINK("https://www.britishcycling.org.uk/points?person_id=961169&amp;year=2022&amp;type=national&amp;d=6","Results")</f>
        <v/>
      </c>
    </row>
    <row r="221">
      <c r="A221" t="inlineStr">
        <is>
          <t>220</t>
        </is>
      </c>
      <c r="B221" t="inlineStr">
        <is>
          <t>Joseph Laidler</t>
        </is>
      </c>
      <c r="C221" t="inlineStr">
        <is>
          <t>Stafford Road Club</t>
        </is>
      </c>
      <c r="D221" t="inlineStr">
        <is>
          <t>5</t>
        </is>
      </c>
      <c r="E221">
        <f>HYPERLINK("https://www.britishcycling.org.uk/points?person_id=1032117&amp;year=2022&amp;type=national&amp;d=6","Results")</f>
        <v/>
      </c>
    </row>
    <row r="222">
      <c r="A222" t="inlineStr">
        <is>
          <t>221</t>
        </is>
      </c>
      <c r="B222" t="inlineStr">
        <is>
          <t>Callum Moreton</t>
        </is>
      </c>
      <c r="C222" t="inlineStr"/>
      <c r="D222" t="inlineStr">
        <is>
          <t>5</t>
        </is>
      </c>
      <c r="E222">
        <f>HYPERLINK("https://www.britishcycling.org.uk/points?person_id=987465&amp;year=2022&amp;type=national&amp;d=6","Results")</f>
        <v/>
      </c>
    </row>
    <row r="223">
      <c r="A223" t="inlineStr">
        <is>
          <t>222</t>
        </is>
      </c>
      <c r="B223" t="inlineStr">
        <is>
          <t>Toby Powys</t>
        </is>
      </c>
      <c r="C223" t="inlineStr">
        <is>
          <t>Cheltenham Town Wheelers</t>
        </is>
      </c>
      <c r="D223" t="inlineStr">
        <is>
          <t>5</t>
        </is>
      </c>
      <c r="E223">
        <f>HYPERLINK("https://www.britishcycling.org.uk/points?person_id=685468&amp;year=2022&amp;type=national&amp;d=6","Results")</f>
        <v/>
      </c>
    </row>
    <row r="224">
      <c r="A224" t="inlineStr">
        <is>
          <t>223</t>
        </is>
      </c>
      <c r="B224" t="inlineStr">
        <is>
          <t>Logan Stander</t>
        </is>
      </c>
      <c r="C224" t="inlineStr"/>
      <c r="D224" t="inlineStr">
        <is>
          <t>5</t>
        </is>
      </c>
      <c r="E224">
        <f>HYPERLINK("https://www.britishcycling.org.uk/points?person_id=873920&amp;year=2022&amp;type=national&amp;d=6","Results")</f>
        <v/>
      </c>
    </row>
    <row r="225">
      <c r="A225" t="inlineStr">
        <is>
          <t>224</t>
        </is>
      </c>
      <c r="B225" t="inlineStr">
        <is>
          <t>Louie Wilson</t>
        </is>
      </c>
      <c r="C225" t="inlineStr"/>
      <c r="D225" t="inlineStr">
        <is>
          <t>5</t>
        </is>
      </c>
      <c r="E225">
        <f>HYPERLINK("https://www.britishcycling.org.uk/points?person_id=370463&amp;year=2022&amp;type=national&amp;d=6","Results")</f>
        <v/>
      </c>
    </row>
    <row r="226">
      <c r="A226" t="inlineStr">
        <is>
          <t>225</t>
        </is>
      </c>
      <c r="B226" t="inlineStr">
        <is>
          <t>Euan Cook</t>
        </is>
      </c>
      <c r="C226" t="inlineStr">
        <is>
          <t>Calder Clarion CC</t>
        </is>
      </c>
      <c r="D226" t="inlineStr">
        <is>
          <t>4</t>
        </is>
      </c>
      <c r="E226">
        <f>HYPERLINK("https://www.britishcycling.org.uk/points?person_id=672067&amp;year=2022&amp;type=national&amp;d=6","Results")</f>
        <v/>
      </c>
    </row>
    <row r="227">
      <c r="A227" t="inlineStr">
        <is>
          <t>226</t>
        </is>
      </c>
      <c r="B227" t="inlineStr">
        <is>
          <t>Harry Drane</t>
        </is>
      </c>
      <c r="C227" t="inlineStr">
        <is>
          <t>Hetton Hawks Cycling Club</t>
        </is>
      </c>
      <c r="D227" t="inlineStr">
        <is>
          <t>4</t>
        </is>
      </c>
      <c r="E227">
        <f>HYPERLINK("https://www.britishcycling.org.uk/points?person_id=971707&amp;year=2022&amp;type=national&amp;d=6","Results")</f>
        <v/>
      </c>
    </row>
    <row r="228">
      <c r="A228" t="inlineStr">
        <is>
          <t>227</t>
        </is>
      </c>
      <c r="B228" t="inlineStr">
        <is>
          <t>Mikhail Gitnik</t>
        </is>
      </c>
      <c r="C228" t="inlineStr">
        <is>
          <t>VC Londres</t>
        </is>
      </c>
      <c r="D228" t="inlineStr">
        <is>
          <t>4</t>
        </is>
      </c>
      <c r="E228">
        <f>HYPERLINK("https://www.britishcycling.org.uk/points?person_id=538608&amp;year=2022&amp;type=national&amp;d=6","Results")</f>
        <v/>
      </c>
    </row>
    <row r="229">
      <c r="A229" t="inlineStr">
        <is>
          <t>228</t>
        </is>
      </c>
      <c r="B229" t="inlineStr">
        <is>
          <t>Liam Ingham</t>
        </is>
      </c>
      <c r="C229" t="inlineStr">
        <is>
          <t>Derwentside CC</t>
        </is>
      </c>
      <c r="D229" t="inlineStr">
        <is>
          <t>4</t>
        </is>
      </c>
      <c r="E229">
        <f>HYPERLINK("https://www.britishcycling.org.uk/points?person_id=845591&amp;year=2022&amp;type=national&amp;d=6","Results")</f>
        <v/>
      </c>
    </row>
    <row r="230">
      <c r="A230" t="inlineStr">
        <is>
          <t>229</t>
        </is>
      </c>
      <c r="B230" t="inlineStr">
        <is>
          <t>Owen Lester</t>
        </is>
      </c>
      <c r="C230" t="inlineStr"/>
      <c r="D230" t="inlineStr">
        <is>
          <t>4</t>
        </is>
      </c>
      <c r="E230">
        <f>HYPERLINK("https://www.britishcycling.org.uk/points?person_id=1044289&amp;year=2022&amp;type=national&amp;d=6","Results")</f>
        <v/>
      </c>
    </row>
    <row r="231">
      <c r="A231" t="inlineStr">
        <is>
          <t>230</t>
        </is>
      </c>
      <c r="B231" t="inlineStr">
        <is>
          <t>Ewan McGrath</t>
        </is>
      </c>
      <c r="C231" t="inlineStr">
        <is>
          <t>Salt Ayre Cog Set</t>
        </is>
      </c>
      <c r="D231" t="inlineStr">
        <is>
          <t>4</t>
        </is>
      </c>
      <c r="E231">
        <f>HYPERLINK("https://www.britishcycling.org.uk/points?person_id=769748&amp;year=2022&amp;type=national&amp;d=6","Results")</f>
        <v/>
      </c>
    </row>
    <row r="232">
      <c r="A232" t="inlineStr">
        <is>
          <t>231</t>
        </is>
      </c>
      <c r="B232" t="inlineStr">
        <is>
          <t>Noah Roscoe</t>
        </is>
      </c>
      <c r="C232" t="inlineStr">
        <is>
          <t>Cheltenham Town Wheelers</t>
        </is>
      </c>
      <c r="D232" t="inlineStr">
        <is>
          <t>4</t>
        </is>
      </c>
      <c r="E232">
        <f>HYPERLINK("https://www.britishcycling.org.uk/points?person_id=943826&amp;year=2022&amp;type=national&amp;d=6","Results")</f>
        <v/>
      </c>
    </row>
    <row r="233">
      <c r="A233" t="inlineStr">
        <is>
          <t>232</t>
        </is>
      </c>
      <c r="B233" t="inlineStr">
        <is>
          <t>Kieran Vanhoutte</t>
        </is>
      </c>
      <c r="C233" t="inlineStr">
        <is>
          <t>Ely &amp; District CC</t>
        </is>
      </c>
      <c r="D233" t="inlineStr">
        <is>
          <t>4</t>
        </is>
      </c>
      <c r="E233">
        <f>HYPERLINK("https://www.britishcycling.org.uk/points?person_id=791494&amp;year=2022&amp;type=national&amp;d=6","Results")</f>
        <v/>
      </c>
    </row>
    <row r="234">
      <c r="A234" t="inlineStr">
        <is>
          <t>233</t>
        </is>
      </c>
      <c r="B234" t="inlineStr">
        <is>
          <t>Jed Winter</t>
        </is>
      </c>
      <c r="C234" t="inlineStr">
        <is>
          <t>Tyneside Vagabonds CC</t>
        </is>
      </c>
      <c r="D234" t="inlineStr">
        <is>
          <t>4</t>
        </is>
      </c>
      <c r="E234">
        <f>HYPERLINK("https://www.britishcycling.org.uk/points?person_id=1086243&amp;year=2022&amp;type=national&amp;d=6","Results")</f>
        <v/>
      </c>
    </row>
    <row r="235">
      <c r="A235" t="inlineStr">
        <is>
          <t>234</t>
        </is>
      </c>
      <c r="B235" t="inlineStr">
        <is>
          <t>Monty Wyatt</t>
        </is>
      </c>
      <c r="C235" t="inlineStr">
        <is>
          <t>Velo Club Venta</t>
        </is>
      </c>
      <c r="D235" t="inlineStr">
        <is>
          <t>4</t>
        </is>
      </c>
      <c r="E235">
        <f>HYPERLINK("https://www.britishcycling.org.uk/points?person_id=139886&amp;year=2022&amp;type=national&amp;d=6","Results")</f>
        <v/>
      </c>
    </row>
    <row r="236">
      <c r="A236" t="inlineStr">
        <is>
          <t>235</t>
        </is>
      </c>
      <c r="B236" t="inlineStr">
        <is>
          <t>Sam Baker</t>
        </is>
      </c>
      <c r="C236" t="inlineStr">
        <is>
          <t>Lincoln Wheelers CC</t>
        </is>
      </c>
      <c r="D236" t="inlineStr">
        <is>
          <t>3</t>
        </is>
      </c>
      <c r="E236">
        <f>HYPERLINK("https://www.britishcycling.org.uk/points?person_id=850640&amp;year=2022&amp;type=national&amp;d=6","Results")</f>
        <v/>
      </c>
    </row>
    <row r="237">
      <c r="A237" t="inlineStr">
        <is>
          <t>236</t>
        </is>
      </c>
      <c r="B237" t="inlineStr">
        <is>
          <t>Alasdair Easton</t>
        </is>
      </c>
      <c r="C237" t="inlineStr">
        <is>
          <t>Edinburgh RC</t>
        </is>
      </c>
      <c r="D237" t="inlineStr">
        <is>
          <t>3</t>
        </is>
      </c>
      <c r="E237">
        <f>HYPERLINK("https://www.britishcycling.org.uk/points?person_id=234091&amp;year=2022&amp;type=national&amp;d=6","Results")</f>
        <v/>
      </c>
    </row>
    <row r="238">
      <c r="A238" t="inlineStr">
        <is>
          <t>237</t>
        </is>
      </c>
      <c r="B238" t="inlineStr">
        <is>
          <t>Douglas Forrester</t>
        </is>
      </c>
      <c r="C238" t="inlineStr">
        <is>
          <t>www.Zepnat.com RT - Lazer helmets</t>
        </is>
      </c>
      <c r="D238" t="inlineStr">
        <is>
          <t>3</t>
        </is>
      </c>
      <c r="E238">
        <f>HYPERLINK("https://www.britishcycling.org.uk/points?person_id=176491&amp;year=2022&amp;type=national&amp;d=6","Results")</f>
        <v/>
      </c>
    </row>
    <row r="239">
      <c r="A239" t="inlineStr">
        <is>
          <t>238</t>
        </is>
      </c>
      <c r="B239" t="inlineStr">
        <is>
          <t>William Hyde</t>
        </is>
      </c>
      <c r="C239" t="inlineStr">
        <is>
          <t>Newport Shropshire CC</t>
        </is>
      </c>
      <c r="D239" t="inlineStr">
        <is>
          <t>3</t>
        </is>
      </c>
      <c r="E239">
        <f>HYPERLINK("https://www.britishcycling.org.uk/points?person_id=578038&amp;year=2022&amp;type=national&amp;d=6","Results")</f>
        <v/>
      </c>
    </row>
    <row r="240">
      <c r="A240" t="inlineStr">
        <is>
          <t>239</t>
        </is>
      </c>
      <c r="B240" t="inlineStr">
        <is>
          <t>Ewan McGhee</t>
        </is>
      </c>
      <c r="C240" t="inlineStr">
        <is>
          <t>C and N Cycles RT</t>
        </is>
      </c>
      <c r="D240" t="inlineStr">
        <is>
          <t>3</t>
        </is>
      </c>
      <c r="E240">
        <f>HYPERLINK("https://www.britishcycling.org.uk/points?person_id=736938&amp;year=2022&amp;type=national&amp;d=6","Results")</f>
        <v/>
      </c>
    </row>
    <row r="241">
      <c r="A241" t="inlineStr">
        <is>
          <t>240</t>
        </is>
      </c>
      <c r="B241" t="inlineStr">
        <is>
          <t>Oscar Pasmore</t>
        </is>
      </c>
      <c r="C241" t="inlineStr">
        <is>
          <t>Velo Myrddin CC powered by Y Beic</t>
        </is>
      </c>
      <c r="D241" t="inlineStr">
        <is>
          <t>3</t>
        </is>
      </c>
      <c r="E241">
        <f>HYPERLINK("https://www.britishcycling.org.uk/points?person_id=533779&amp;year=2022&amp;type=national&amp;d=6","Results")</f>
        <v/>
      </c>
    </row>
    <row r="242">
      <c r="A242" t="inlineStr">
        <is>
          <t>241</t>
        </is>
      </c>
      <c r="B242" t="inlineStr">
        <is>
          <t>Lewis Ridge</t>
        </is>
      </c>
      <c r="C242" t="inlineStr">
        <is>
          <t>Palmer Park Velo RT</t>
        </is>
      </c>
      <c r="D242" t="inlineStr">
        <is>
          <t>3</t>
        </is>
      </c>
      <c r="E242">
        <f>HYPERLINK("https://www.britishcycling.org.uk/points?person_id=137530&amp;year=2022&amp;type=national&amp;d=6","Results")</f>
        <v/>
      </c>
    </row>
    <row r="243">
      <c r="A243" t="inlineStr">
        <is>
          <t>242</t>
        </is>
      </c>
      <c r="B243" t="inlineStr">
        <is>
          <t>George Terry</t>
        </is>
      </c>
      <c r="C243" t="inlineStr">
        <is>
          <t>Poole Wheelers CC</t>
        </is>
      </c>
      <c r="D243" t="inlineStr">
        <is>
          <t>3</t>
        </is>
      </c>
      <c r="E243">
        <f>HYPERLINK("https://www.britishcycling.org.uk/points?person_id=1000178&amp;year=2022&amp;type=national&amp;d=6","Results")</f>
        <v/>
      </c>
    </row>
    <row r="244">
      <c r="A244" t="inlineStr">
        <is>
          <t>243</t>
        </is>
      </c>
      <c r="B244" t="inlineStr">
        <is>
          <t>Oliver Ward</t>
        </is>
      </c>
      <c r="C244" t="inlineStr">
        <is>
          <t>Wolverhampton Wheelers</t>
        </is>
      </c>
      <c r="D244" t="inlineStr">
        <is>
          <t>3</t>
        </is>
      </c>
      <c r="E244">
        <f>HYPERLINK("https://www.britishcycling.org.uk/points?person_id=370337&amp;year=2022&amp;type=national&amp;d=6","Results")</f>
        <v/>
      </c>
    </row>
    <row r="245">
      <c r="A245" t="inlineStr">
        <is>
          <t>244</t>
        </is>
      </c>
      <c r="B245" t="inlineStr">
        <is>
          <t>Hamish Dotchin</t>
        </is>
      </c>
      <c r="C245" t="inlineStr">
        <is>
          <t>NSP Cycling Team</t>
        </is>
      </c>
      <c r="D245" t="inlineStr">
        <is>
          <t>2</t>
        </is>
      </c>
      <c r="E245">
        <f>HYPERLINK("https://www.britishcycling.org.uk/points?person_id=990661&amp;year=2022&amp;type=national&amp;d=6","Results")</f>
        <v/>
      </c>
    </row>
    <row r="246">
      <c r="A246" t="inlineStr">
        <is>
          <t>245</t>
        </is>
      </c>
      <c r="B246" t="inlineStr">
        <is>
          <t>Rhys Everall</t>
        </is>
      </c>
      <c r="C246" t="inlineStr">
        <is>
          <t>Wolverhampton Wheelers</t>
        </is>
      </c>
      <c r="D246" t="inlineStr">
        <is>
          <t>2</t>
        </is>
      </c>
      <c r="E246">
        <f>HYPERLINK("https://www.britishcycling.org.uk/points?person_id=1087684&amp;year=2022&amp;type=national&amp;d=6","Results")</f>
        <v/>
      </c>
    </row>
    <row r="247">
      <c r="A247" t="inlineStr">
        <is>
          <t>246</t>
        </is>
      </c>
      <c r="B247" t="inlineStr">
        <is>
          <t>Oscar Farrow</t>
        </is>
      </c>
      <c r="C247" t="inlineStr">
        <is>
          <t>Sleaford Wheelers Cycling Club</t>
        </is>
      </c>
      <c r="D247" t="inlineStr">
        <is>
          <t>2</t>
        </is>
      </c>
      <c r="E247">
        <f>HYPERLINK("https://www.britishcycling.org.uk/points?person_id=440059&amp;year=2022&amp;type=national&amp;d=6","Results")</f>
        <v/>
      </c>
    </row>
    <row r="248">
      <c r="A248" t="inlineStr">
        <is>
          <t>247</t>
        </is>
      </c>
      <c r="B248" t="inlineStr">
        <is>
          <t>Struan Horsburgh</t>
        </is>
      </c>
      <c r="C248" t="inlineStr">
        <is>
          <t>Black Isle Mountain Bike Club</t>
        </is>
      </c>
      <c r="D248" t="inlineStr">
        <is>
          <t>2</t>
        </is>
      </c>
      <c r="E248">
        <f>HYPERLINK("https://www.britishcycling.org.uk/points?person_id=889385&amp;year=2022&amp;type=national&amp;d=6","Results")</f>
        <v/>
      </c>
    </row>
    <row r="249">
      <c r="A249" t="inlineStr">
        <is>
          <t>248</t>
        </is>
      </c>
      <c r="B249" t="inlineStr">
        <is>
          <t>James Kiehlmann</t>
        </is>
      </c>
      <c r="C249" t="inlineStr">
        <is>
          <t>Royal Albert CC</t>
        </is>
      </c>
      <c r="D249" t="inlineStr">
        <is>
          <t>2</t>
        </is>
      </c>
      <c r="E249">
        <f>HYPERLINK("https://www.britishcycling.org.uk/points?person_id=405788&amp;year=2022&amp;type=national&amp;d=6","Results")</f>
        <v/>
      </c>
    </row>
    <row r="250">
      <c r="A250" t="inlineStr">
        <is>
          <t>249</t>
        </is>
      </c>
      <c r="B250" t="inlineStr">
        <is>
          <t>Oliver Shears</t>
        </is>
      </c>
      <c r="C250" t="inlineStr">
        <is>
          <t>Palmer Park Velo RT</t>
        </is>
      </c>
      <c r="D250" t="inlineStr">
        <is>
          <t>2</t>
        </is>
      </c>
      <c r="E250">
        <f>HYPERLINK("https://www.britishcycling.org.uk/points?person_id=944236&amp;year=2022&amp;type=national&amp;d=6","Results")</f>
        <v/>
      </c>
    </row>
    <row r="251">
      <c r="A251" t="inlineStr">
        <is>
          <t>250</t>
        </is>
      </c>
      <c r="B251" t="inlineStr">
        <is>
          <t>Freddie Capel</t>
        </is>
      </c>
      <c r="C251" t="inlineStr">
        <is>
          <t>Coalville Wheelers CC</t>
        </is>
      </c>
      <c r="D251" t="inlineStr">
        <is>
          <t>1</t>
        </is>
      </c>
      <c r="E251">
        <f>HYPERLINK("https://www.britishcycling.org.uk/points?person_id=999826&amp;year=2022&amp;type=national&amp;d=6","Results")</f>
        <v/>
      </c>
    </row>
    <row r="252">
      <c r="A252" t="inlineStr">
        <is>
          <t>251</t>
        </is>
      </c>
      <c r="B252" t="inlineStr">
        <is>
          <t>Zac Harley</t>
        </is>
      </c>
      <c r="C252" t="inlineStr">
        <is>
          <t>Cycle Stars</t>
        </is>
      </c>
      <c r="D252" t="inlineStr">
        <is>
          <t>1</t>
        </is>
      </c>
      <c r="E252">
        <f>HYPERLINK("https://www.britishcycling.org.uk/points?person_id=943033&amp;year=2022&amp;type=national&amp;d=6","Results")</f>
        <v/>
      </c>
    </row>
    <row r="253">
      <c r="A253" t="inlineStr">
        <is>
          <t>252</t>
        </is>
      </c>
      <c r="B253" t="inlineStr">
        <is>
          <t>James Harrison</t>
        </is>
      </c>
      <c r="C253" t="inlineStr">
        <is>
          <t>Clifton CC</t>
        </is>
      </c>
      <c r="D253" t="inlineStr">
        <is>
          <t>1</t>
        </is>
      </c>
      <c r="E253">
        <f>HYPERLINK("https://www.britishcycling.org.uk/points?person_id=549640&amp;year=2022&amp;type=national&amp;d=6","Results")</f>
        <v/>
      </c>
    </row>
    <row r="254">
      <c r="A254" t="inlineStr">
        <is>
          <t>253</t>
        </is>
      </c>
      <c r="B254" t="inlineStr">
        <is>
          <t>Wilf Jones</t>
        </is>
      </c>
      <c r="C254" t="inlineStr">
        <is>
          <t>Cotswold Cycles RT</t>
        </is>
      </c>
      <c r="D254" t="inlineStr">
        <is>
          <t>1</t>
        </is>
      </c>
      <c r="E254">
        <f>HYPERLINK("https://www.britishcycling.org.uk/points?person_id=735895&amp;year=2022&amp;type=national&amp;d=6","Results")</f>
        <v/>
      </c>
    </row>
    <row r="255">
      <c r="A255" t="inlineStr">
        <is>
          <t>254</t>
        </is>
      </c>
      <c r="B255" t="inlineStr">
        <is>
          <t>John Kitto</t>
        </is>
      </c>
      <c r="C255" t="inlineStr">
        <is>
          <t>Palmer Park Velo RT</t>
        </is>
      </c>
      <c r="D255" t="inlineStr">
        <is>
          <t>1</t>
        </is>
      </c>
      <c r="E255">
        <f>HYPERLINK("https://www.britishcycling.org.uk/points?person_id=749769&amp;year=2022&amp;type=national&amp;d=6","Results")</f>
        <v/>
      </c>
    </row>
    <row r="256">
      <c r="A256" t="inlineStr">
        <is>
          <t>255</t>
        </is>
      </c>
      <c r="B256" t="inlineStr">
        <is>
          <t>Samuel Smith</t>
        </is>
      </c>
      <c r="C256" t="inlineStr">
        <is>
          <t>St Ives CC</t>
        </is>
      </c>
      <c r="D256" t="inlineStr">
        <is>
          <t>1</t>
        </is>
      </c>
      <c r="E256">
        <f>HYPERLINK("https://www.britishcycling.org.uk/points?person_id=625457&amp;year=2022&amp;type=national&amp;d=6","Results")</f>
        <v/>
      </c>
    </row>
    <row r="257">
      <c r="A257" t="inlineStr">
        <is>
          <t>256</t>
        </is>
      </c>
      <c r="B257" t="inlineStr">
        <is>
          <t>Noah Starbuck</t>
        </is>
      </c>
      <c r="C257" t="inlineStr">
        <is>
          <t>Sleaford Wheelers Cycling Club</t>
        </is>
      </c>
      <c r="D257" t="inlineStr">
        <is>
          <t>1</t>
        </is>
      </c>
      <c r="E257">
        <f>HYPERLINK("https://www.britishcycling.org.uk/points?person_id=449356&amp;year=2022&amp;type=national&amp;d=6","Results")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6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Oliver Akers</t>
        </is>
      </c>
      <c r="C2" t="inlineStr">
        <is>
          <t>Garden Shed UK-Ribble-Verge Sport</t>
        </is>
      </c>
      <c r="D2" t="inlineStr">
        <is>
          <t>543</t>
        </is>
      </c>
      <c r="E2">
        <f>HYPERLINK("https://www.britishcycling.org.uk/points?person_id=216333&amp;year=2022&amp;type=national&amp;d=6","Results")</f>
        <v/>
      </c>
    </row>
    <row r="3">
      <c r="A3" t="inlineStr">
        <is>
          <t>2</t>
        </is>
      </c>
      <c r="B3" t="inlineStr">
        <is>
          <t>Sebastian Grindley</t>
        </is>
      </c>
      <c r="C3" t="inlineStr">
        <is>
          <t>North Cheshire Clarion</t>
        </is>
      </c>
      <c r="D3" t="inlineStr">
        <is>
          <t>373</t>
        </is>
      </c>
      <c r="E3">
        <f>HYPERLINK("https://www.britishcycling.org.uk/points?person_id=330519&amp;year=2022&amp;type=national&amp;d=6","Results")</f>
        <v/>
      </c>
    </row>
    <row r="4">
      <c r="A4" t="inlineStr">
        <is>
          <t>3</t>
        </is>
      </c>
      <c r="B4" t="inlineStr">
        <is>
          <t>Alfie Amey</t>
        </is>
      </c>
      <c r="C4" t="inlineStr">
        <is>
          <t>GKR Racing</t>
        </is>
      </c>
      <c r="D4" t="inlineStr">
        <is>
          <t>360</t>
        </is>
      </c>
      <c r="E4">
        <f>HYPERLINK("https://www.britishcycling.org.uk/points?person_id=218543&amp;year=2022&amp;type=national&amp;d=6","Results")</f>
        <v/>
      </c>
    </row>
    <row r="5">
      <c r="A5" t="inlineStr">
        <is>
          <t>4</t>
        </is>
      </c>
      <c r="B5" t="inlineStr">
        <is>
          <t>Reuben Oakley</t>
        </is>
      </c>
      <c r="C5" t="inlineStr">
        <is>
          <t>ROTOR Race Team</t>
        </is>
      </c>
      <c r="D5" t="inlineStr">
        <is>
          <t>311</t>
        </is>
      </c>
      <c r="E5">
        <f>HYPERLINK("https://www.britishcycling.org.uk/points?person_id=289132&amp;year=2022&amp;type=national&amp;d=6","Results")</f>
        <v/>
      </c>
    </row>
    <row r="6">
      <c r="A6" t="inlineStr">
        <is>
          <t>5</t>
        </is>
      </c>
      <c r="B6" t="inlineStr">
        <is>
          <t>Mackenzie Mellish</t>
        </is>
      </c>
      <c r="C6" t="inlineStr">
        <is>
          <t>Vector Cycling Race Team</t>
        </is>
      </c>
      <c r="D6" t="inlineStr">
        <is>
          <t>305</t>
        </is>
      </c>
      <c r="E6">
        <f>HYPERLINK("https://www.britishcycling.org.uk/points?person_id=181327&amp;year=2022&amp;type=national&amp;d=6","Results")</f>
        <v/>
      </c>
    </row>
    <row r="7">
      <c r="A7" t="inlineStr">
        <is>
          <t>6</t>
        </is>
      </c>
      <c r="B7" t="inlineStr">
        <is>
          <t>Luke Gibson</t>
        </is>
      </c>
      <c r="C7" t="inlineStr">
        <is>
          <t>4T+ Cyclopark</t>
        </is>
      </c>
      <c r="D7" t="inlineStr">
        <is>
          <t>258</t>
        </is>
      </c>
      <c r="E7">
        <f>HYPERLINK("https://www.britishcycling.org.uk/points?person_id=218449&amp;year=2022&amp;type=national&amp;d=6","Results")</f>
        <v/>
      </c>
    </row>
    <row r="8">
      <c r="A8" t="inlineStr">
        <is>
          <t>7</t>
        </is>
      </c>
      <c r="B8" t="inlineStr">
        <is>
          <t>Ben Coppola</t>
        </is>
      </c>
      <c r="C8" t="inlineStr">
        <is>
          <t>Four4th</t>
        </is>
      </c>
      <c r="D8" t="inlineStr">
        <is>
          <t>254</t>
        </is>
      </c>
      <c r="E8">
        <f>HYPERLINK("https://www.britishcycling.org.uk/points?person_id=139080&amp;year=2022&amp;type=national&amp;d=6","Results")</f>
        <v/>
      </c>
    </row>
    <row r="9">
      <c r="A9" t="inlineStr">
        <is>
          <t>8</t>
        </is>
      </c>
      <c r="B9" t="inlineStr">
        <is>
          <t>Scott Fisher</t>
        </is>
      </c>
      <c r="C9" t="inlineStr">
        <is>
          <t>Una Forza Racing</t>
        </is>
      </c>
      <c r="D9" t="inlineStr">
        <is>
          <t>254</t>
        </is>
      </c>
      <c r="E9">
        <f>HYPERLINK("https://www.britishcycling.org.uk/points?person_id=262830&amp;year=2022&amp;type=national&amp;d=6","Results")</f>
        <v/>
      </c>
    </row>
    <row r="10">
      <c r="A10" t="inlineStr">
        <is>
          <t>9</t>
        </is>
      </c>
      <c r="B10" t="inlineStr">
        <is>
          <t>Joel Hurt</t>
        </is>
      </c>
      <c r="C10" t="inlineStr">
        <is>
          <t>Derwentside CC</t>
        </is>
      </c>
      <c r="D10" t="inlineStr">
        <is>
          <t>248</t>
        </is>
      </c>
      <c r="E10">
        <f>HYPERLINK("https://www.britishcycling.org.uk/points?person_id=218581&amp;year=2022&amp;type=national&amp;d=6","Results")</f>
        <v/>
      </c>
    </row>
    <row r="11">
      <c r="A11" t="inlineStr">
        <is>
          <t>10</t>
        </is>
      </c>
      <c r="B11" t="inlineStr">
        <is>
          <t>Mark Lightfoot</t>
        </is>
      </c>
      <c r="C11" t="inlineStr">
        <is>
          <t>Tofauti Everyone Active</t>
        </is>
      </c>
      <c r="D11" t="inlineStr">
        <is>
          <t>242</t>
        </is>
      </c>
      <c r="E11">
        <f>HYPERLINK("https://www.britishcycling.org.uk/points?person_id=242567&amp;year=2022&amp;type=national&amp;d=6","Results")</f>
        <v/>
      </c>
    </row>
    <row r="12">
      <c r="A12" t="inlineStr">
        <is>
          <t>11</t>
        </is>
      </c>
      <c r="B12" t="inlineStr">
        <is>
          <t>Oscar Martin</t>
        </is>
      </c>
      <c r="C12" t="inlineStr">
        <is>
          <t>ROTOR Race Team</t>
        </is>
      </c>
      <c r="D12" t="inlineStr">
        <is>
          <t>240</t>
        </is>
      </c>
      <c r="E12">
        <f>HYPERLINK("https://www.britishcycling.org.uk/points?person_id=386481&amp;year=2022&amp;type=national&amp;d=6","Results")</f>
        <v/>
      </c>
    </row>
    <row r="13">
      <c r="A13" t="inlineStr">
        <is>
          <t>12</t>
        </is>
      </c>
      <c r="B13" t="inlineStr">
        <is>
          <t>Lewis Tinsley</t>
        </is>
      </c>
      <c r="C13" t="inlineStr">
        <is>
          <t>ROTOR Race Team</t>
        </is>
      </c>
      <c r="D13" t="inlineStr">
        <is>
          <t>236</t>
        </is>
      </c>
      <c r="E13">
        <f>HYPERLINK("https://www.britishcycling.org.uk/points?person_id=285574&amp;year=2022&amp;type=national&amp;d=6","Results")</f>
        <v/>
      </c>
    </row>
    <row r="14">
      <c r="A14" t="inlineStr">
        <is>
          <t>13</t>
        </is>
      </c>
      <c r="B14" t="inlineStr">
        <is>
          <t>Max Greensill</t>
        </is>
      </c>
      <c r="C14" t="inlineStr">
        <is>
          <t>Hope Factory Racing (UCI CX Team)</t>
        </is>
      </c>
      <c r="D14" t="inlineStr">
        <is>
          <t>226</t>
        </is>
      </c>
      <c r="E14">
        <f>HYPERLINK("https://www.britishcycling.org.uk/points?person_id=468266&amp;year=2022&amp;type=national&amp;d=6","Results")</f>
        <v/>
      </c>
    </row>
    <row r="15">
      <c r="A15" t="inlineStr">
        <is>
          <t>14</t>
        </is>
      </c>
      <c r="B15" t="inlineStr">
        <is>
          <t>Jacob Bush</t>
        </is>
      </c>
      <c r="C15" t="inlineStr">
        <is>
          <t>Trinity Racing Cross (Junior)</t>
        </is>
      </c>
      <c r="D15" t="inlineStr">
        <is>
          <t>203</t>
        </is>
      </c>
      <c r="E15">
        <f>HYPERLINK("https://www.britishcycling.org.uk/points?person_id=688933&amp;year=2022&amp;type=national&amp;d=6","Results")</f>
        <v/>
      </c>
    </row>
    <row r="16">
      <c r="A16" t="inlineStr">
        <is>
          <t>15</t>
        </is>
      </c>
      <c r="B16" t="inlineStr">
        <is>
          <t>Rowan Baxter</t>
        </is>
      </c>
      <c r="C16" t="inlineStr">
        <is>
          <t>Huddersfield Star Wheelers</t>
        </is>
      </c>
      <c r="D16" t="inlineStr">
        <is>
          <t>200</t>
        </is>
      </c>
      <c r="E16">
        <f>HYPERLINK("https://www.britishcycling.org.uk/points?person_id=314080&amp;year=2022&amp;type=national&amp;d=6","Results")</f>
        <v/>
      </c>
    </row>
    <row r="17">
      <c r="A17" t="inlineStr">
        <is>
          <t>16</t>
        </is>
      </c>
      <c r="B17" t="inlineStr">
        <is>
          <t>Oliver Peace</t>
        </is>
      </c>
      <c r="C17" t="inlineStr">
        <is>
          <t>Tofauti Everyone Active</t>
        </is>
      </c>
      <c r="D17" t="inlineStr">
        <is>
          <t>194</t>
        </is>
      </c>
      <c r="E17">
        <f>HYPERLINK("https://www.britishcycling.org.uk/points?person_id=538163&amp;year=2022&amp;type=national&amp;d=6","Results")</f>
        <v/>
      </c>
    </row>
    <row r="18">
      <c r="A18" t="inlineStr">
        <is>
          <t>17</t>
        </is>
      </c>
      <c r="B18" t="inlineStr">
        <is>
          <t>Oscar Taylor</t>
        </is>
      </c>
      <c r="C18" t="inlineStr">
        <is>
          <t>Clifton CC</t>
        </is>
      </c>
      <c r="D18" t="inlineStr">
        <is>
          <t>193</t>
        </is>
      </c>
      <c r="E18">
        <f>HYPERLINK("https://www.britishcycling.org.uk/points?person_id=271238&amp;year=2022&amp;type=national&amp;d=6","Results")</f>
        <v/>
      </c>
    </row>
    <row r="19">
      <c r="A19" t="inlineStr">
        <is>
          <t>18</t>
        </is>
      </c>
      <c r="B19" t="inlineStr">
        <is>
          <t>Dan Eastham</t>
        </is>
      </c>
      <c r="C19" t="inlineStr">
        <is>
          <t>Cog Set Papyrus Racing Club</t>
        </is>
      </c>
      <c r="D19" t="inlineStr">
        <is>
          <t>161</t>
        </is>
      </c>
      <c r="E19">
        <f>HYPERLINK("https://www.britishcycling.org.uk/points?person_id=169719&amp;year=2022&amp;type=national&amp;d=6","Results")</f>
        <v/>
      </c>
    </row>
    <row r="20">
      <c r="A20" t="inlineStr">
        <is>
          <t>19</t>
        </is>
      </c>
      <c r="B20" t="inlineStr">
        <is>
          <t>Nathaniel Henderson</t>
        </is>
      </c>
      <c r="C20" t="inlineStr">
        <is>
          <t>Hetton Hawks Cycling Club</t>
        </is>
      </c>
      <c r="D20" t="inlineStr">
        <is>
          <t>156</t>
        </is>
      </c>
      <c r="E20">
        <f>HYPERLINK("https://www.britishcycling.org.uk/points?person_id=241825&amp;year=2022&amp;type=national&amp;d=6","Results")</f>
        <v/>
      </c>
    </row>
    <row r="21">
      <c r="A21" t="inlineStr">
        <is>
          <t>20</t>
        </is>
      </c>
      <c r="B21" t="inlineStr">
        <is>
          <t>Joe Watkins-Wilson</t>
        </is>
      </c>
      <c r="C21" t="inlineStr">
        <is>
          <t>North Cheshire Clarion</t>
        </is>
      </c>
      <c r="D21" t="inlineStr">
        <is>
          <t>147</t>
        </is>
      </c>
      <c r="E21">
        <f>HYPERLINK("https://www.britishcycling.org.uk/points?person_id=550008&amp;year=2022&amp;type=national&amp;d=6","Results")</f>
        <v/>
      </c>
    </row>
    <row r="22">
      <c r="A22" t="inlineStr">
        <is>
          <t>21</t>
        </is>
      </c>
      <c r="B22" t="inlineStr">
        <is>
          <t>Spencer Corder</t>
        </is>
      </c>
      <c r="C22" t="inlineStr">
        <is>
          <t>ROTOR Race Team</t>
        </is>
      </c>
      <c r="D22" t="inlineStr">
        <is>
          <t>146</t>
        </is>
      </c>
      <c r="E22">
        <f>HYPERLINK("https://www.britishcycling.org.uk/points?person_id=290168&amp;year=2022&amp;type=national&amp;d=6","Results")</f>
        <v/>
      </c>
    </row>
    <row r="23">
      <c r="A23" t="inlineStr">
        <is>
          <t>22</t>
        </is>
      </c>
      <c r="B23" t="inlineStr">
        <is>
          <t>Ruan Vorster</t>
        </is>
      </c>
      <c r="C23" t="inlineStr">
        <is>
          <t>West Lothian Clarion CC</t>
        </is>
      </c>
      <c r="D23" t="inlineStr">
        <is>
          <t>145</t>
        </is>
      </c>
      <c r="E23">
        <f>HYPERLINK("https://www.britishcycling.org.uk/points?person_id=837786&amp;year=2022&amp;type=national&amp;d=6","Results")</f>
        <v/>
      </c>
    </row>
    <row r="24">
      <c r="A24" t="inlineStr">
        <is>
          <t>23</t>
        </is>
      </c>
      <c r="B24" t="inlineStr">
        <is>
          <t>Joseph Wright</t>
        </is>
      </c>
      <c r="C24" t="inlineStr">
        <is>
          <t>Team Zoyland Race Academy</t>
        </is>
      </c>
      <c r="D24" t="inlineStr">
        <is>
          <t>134</t>
        </is>
      </c>
      <c r="E24">
        <f>HYPERLINK("https://www.britishcycling.org.uk/points?person_id=424325&amp;year=2022&amp;type=national&amp;d=6","Results")</f>
        <v/>
      </c>
    </row>
    <row r="25">
      <c r="A25" t="inlineStr">
        <is>
          <t>24</t>
        </is>
      </c>
      <c r="B25" t="inlineStr">
        <is>
          <t>Sam Barbour</t>
        </is>
      </c>
      <c r="C25" t="inlineStr">
        <is>
          <t>SteppingStanes Youth Cycling Club</t>
        </is>
      </c>
      <c r="D25" t="inlineStr">
        <is>
          <t>124</t>
        </is>
      </c>
      <c r="E25">
        <f>HYPERLINK("https://www.britishcycling.org.uk/points?person_id=525069&amp;year=2022&amp;type=national&amp;d=6","Results")</f>
        <v/>
      </c>
    </row>
    <row r="26">
      <c r="A26" t="inlineStr">
        <is>
          <t>25</t>
        </is>
      </c>
      <c r="B26" t="inlineStr">
        <is>
          <t>Milo McIntosh</t>
        </is>
      </c>
      <c r="C26" t="inlineStr">
        <is>
          <t>The Cycling Academy</t>
        </is>
      </c>
      <c r="D26" t="inlineStr">
        <is>
          <t>115</t>
        </is>
      </c>
      <c r="E26">
        <f>HYPERLINK("https://www.britishcycling.org.uk/points?person_id=1008140&amp;year=2022&amp;type=national&amp;d=6","Results")</f>
        <v/>
      </c>
    </row>
    <row r="27">
      <c r="A27" t="inlineStr">
        <is>
          <t>26</t>
        </is>
      </c>
      <c r="B27" t="inlineStr">
        <is>
          <t>Oliver Meentzen-Alldritt</t>
        </is>
      </c>
      <c r="C27" t="inlineStr">
        <is>
          <t>Wolverhampton Wheelers</t>
        </is>
      </c>
      <c r="D27" t="inlineStr">
        <is>
          <t>115</t>
        </is>
      </c>
      <c r="E27">
        <f>HYPERLINK("https://www.britishcycling.org.uk/points?person_id=1003534&amp;year=2022&amp;type=national&amp;d=6","Results")</f>
        <v/>
      </c>
    </row>
    <row r="28">
      <c r="A28" t="inlineStr">
        <is>
          <t>27</t>
        </is>
      </c>
      <c r="B28" t="inlineStr">
        <is>
          <t>Campbell Mackintosh</t>
        </is>
      </c>
      <c r="C28" t="inlineStr">
        <is>
          <t>Nevis Cycles Racing Team</t>
        </is>
      </c>
      <c r="D28" t="inlineStr">
        <is>
          <t>112</t>
        </is>
      </c>
      <c r="E28">
        <f>HYPERLINK("https://www.britishcycling.org.uk/points?person_id=669702&amp;year=2022&amp;type=national&amp;d=6","Results")</f>
        <v/>
      </c>
    </row>
    <row r="29">
      <c r="A29" t="inlineStr">
        <is>
          <t>28</t>
        </is>
      </c>
      <c r="B29" t="inlineStr">
        <is>
          <t>Kai Buckley</t>
        </is>
      </c>
      <c r="C29" t="inlineStr">
        <is>
          <t>Beeston Cycling Club</t>
        </is>
      </c>
      <c r="D29" t="inlineStr">
        <is>
          <t>109</t>
        </is>
      </c>
      <c r="E29">
        <f>HYPERLINK("https://www.britishcycling.org.uk/points?person_id=527317&amp;year=2022&amp;type=national&amp;d=6","Results")</f>
        <v/>
      </c>
    </row>
    <row r="30">
      <c r="A30" t="inlineStr">
        <is>
          <t>29</t>
        </is>
      </c>
      <c r="B30" t="inlineStr">
        <is>
          <t>Otto Chilton</t>
        </is>
      </c>
      <c r="C30" t="inlineStr">
        <is>
          <t>Derby Mercury RC</t>
        </is>
      </c>
      <c r="D30" t="inlineStr">
        <is>
          <t>109</t>
        </is>
      </c>
      <c r="E30">
        <f>HYPERLINK("https://www.britishcycling.org.uk/points?person_id=194740&amp;year=2022&amp;type=national&amp;d=6","Results")</f>
        <v/>
      </c>
    </row>
    <row r="31">
      <c r="A31" t="inlineStr">
        <is>
          <t>30</t>
        </is>
      </c>
      <c r="B31" t="inlineStr">
        <is>
          <t>Ben Mellor</t>
        </is>
      </c>
      <c r="C31" t="inlineStr">
        <is>
          <t>Matlock CC</t>
        </is>
      </c>
      <c r="D31" t="inlineStr">
        <is>
          <t>108</t>
        </is>
      </c>
      <c r="E31">
        <f>HYPERLINK("https://www.britishcycling.org.uk/points?person_id=242326&amp;year=2022&amp;type=national&amp;d=6","Results")</f>
        <v/>
      </c>
    </row>
    <row r="32">
      <c r="A32" t="inlineStr">
        <is>
          <t>31</t>
        </is>
      </c>
      <c r="B32" t="inlineStr">
        <is>
          <t>Yani Angelo Djelil</t>
        </is>
      </c>
      <c r="C32" t="inlineStr">
        <is>
          <t>CT Luc Wallays – jonge renners Roeselare</t>
        </is>
      </c>
      <c r="D32" t="inlineStr">
        <is>
          <t>104</t>
        </is>
      </c>
      <c r="E32">
        <f>HYPERLINK("https://www.britishcycling.org.uk/points?person_id=176985&amp;year=2022&amp;type=national&amp;d=6","Results")</f>
        <v/>
      </c>
    </row>
    <row r="33">
      <c r="A33" t="inlineStr">
        <is>
          <t>32</t>
        </is>
      </c>
      <c r="B33" t="inlineStr">
        <is>
          <t>Ethan Storti</t>
        </is>
      </c>
      <c r="C33" t="inlineStr">
        <is>
          <t>Welwyn Wheelers CC</t>
        </is>
      </c>
      <c r="D33" t="inlineStr">
        <is>
          <t>102</t>
        </is>
      </c>
      <c r="E33">
        <f>HYPERLINK("https://www.britishcycling.org.uk/points?person_id=284887&amp;year=2022&amp;type=national&amp;d=6","Results")</f>
        <v/>
      </c>
    </row>
    <row r="34">
      <c r="A34" t="inlineStr">
        <is>
          <t>33</t>
        </is>
      </c>
      <c r="B34" t="inlineStr">
        <is>
          <t>Harry Howlett</t>
        </is>
      </c>
      <c r="C34" t="inlineStr">
        <is>
          <t>Origin Race Team</t>
        </is>
      </c>
      <c r="D34" t="inlineStr">
        <is>
          <t>101</t>
        </is>
      </c>
      <c r="E34">
        <f>HYPERLINK("https://www.britishcycling.org.uk/points?person_id=688897&amp;year=2022&amp;type=national&amp;d=6","Results")</f>
        <v/>
      </c>
    </row>
    <row r="35">
      <c r="A35" t="inlineStr">
        <is>
          <t>34</t>
        </is>
      </c>
      <c r="B35" t="inlineStr">
        <is>
          <t>Max Darnton</t>
        </is>
      </c>
      <c r="C35" t="inlineStr">
        <is>
          <t>Nova Race Team</t>
        </is>
      </c>
      <c r="D35" t="inlineStr">
        <is>
          <t>97</t>
        </is>
      </c>
      <c r="E35">
        <f>HYPERLINK("https://www.britishcycling.org.uk/points?person_id=752858&amp;year=2022&amp;type=national&amp;d=6","Results")</f>
        <v/>
      </c>
    </row>
    <row r="36">
      <c r="A36" t="inlineStr">
        <is>
          <t>35</t>
        </is>
      </c>
      <c r="B36" t="inlineStr">
        <is>
          <t>Noah Horton</t>
        </is>
      </c>
      <c r="C36" t="inlineStr">
        <is>
          <t>Palmer Park Velo RT</t>
        </is>
      </c>
      <c r="D36" t="inlineStr">
        <is>
          <t>95</t>
        </is>
      </c>
      <c r="E36">
        <f>HYPERLINK("https://www.britishcycling.org.uk/points?person_id=616955&amp;year=2022&amp;type=national&amp;d=6","Results")</f>
        <v/>
      </c>
    </row>
    <row r="37">
      <c r="A37" t="inlineStr">
        <is>
          <t>36</t>
        </is>
      </c>
      <c r="B37" t="inlineStr">
        <is>
          <t>Pedro Hutchinson</t>
        </is>
      </c>
      <c r="C37" t="inlineStr">
        <is>
          <t>Velo Club Venta</t>
        </is>
      </c>
      <c r="D37" t="inlineStr">
        <is>
          <t>91</t>
        </is>
      </c>
      <c r="E37">
        <f>HYPERLINK("https://www.britishcycling.org.uk/points?person_id=1001672&amp;year=2022&amp;type=national&amp;d=6","Results")</f>
        <v/>
      </c>
    </row>
    <row r="38">
      <c r="A38" t="inlineStr">
        <is>
          <t>37</t>
        </is>
      </c>
      <c r="B38" t="inlineStr">
        <is>
          <t>Jack Parnaby</t>
        </is>
      </c>
      <c r="C38" t="inlineStr">
        <is>
          <t>Shibden Cycling Club</t>
        </is>
      </c>
      <c r="D38" t="inlineStr">
        <is>
          <t>90</t>
        </is>
      </c>
      <c r="E38">
        <f>HYPERLINK("https://www.britishcycling.org.uk/points?person_id=870368&amp;year=2022&amp;type=national&amp;d=6","Results")</f>
        <v/>
      </c>
    </row>
    <row r="39">
      <c r="A39" t="inlineStr">
        <is>
          <t>38</t>
        </is>
      </c>
      <c r="B39" t="inlineStr">
        <is>
          <t>Piers Higginson</t>
        </is>
      </c>
      <c r="C39" t="inlineStr">
        <is>
          <t>VC Londres</t>
        </is>
      </c>
      <c r="D39" t="inlineStr">
        <is>
          <t>88</t>
        </is>
      </c>
      <c r="E39">
        <f>HYPERLINK("https://www.britishcycling.org.uk/points?person_id=351505&amp;year=2022&amp;type=national&amp;d=6","Results")</f>
        <v/>
      </c>
    </row>
    <row r="40">
      <c r="A40" t="inlineStr">
        <is>
          <t>39</t>
        </is>
      </c>
      <c r="B40" t="inlineStr">
        <is>
          <t>John White</t>
        </is>
      </c>
      <c r="C40" t="inlineStr">
        <is>
          <t>North Cheshire Clarion</t>
        </is>
      </c>
      <c r="D40" t="inlineStr">
        <is>
          <t>88</t>
        </is>
      </c>
      <c r="E40">
        <f>HYPERLINK("https://www.britishcycling.org.uk/points?person_id=195431&amp;year=2022&amp;type=national&amp;d=6","Results")</f>
        <v/>
      </c>
    </row>
    <row r="41">
      <c r="A41" t="inlineStr">
        <is>
          <t>40</t>
        </is>
      </c>
      <c r="B41" t="inlineStr">
        <is>
          <t>Ethan Grimshaw</t>
        </is>
      </c>
      <c r="C41" t="inlineStr">
        <is>
          <t>Cookson Cycles</t>
        </is>
      </c>
      <c r="D41" t="inlineStr">
        <is>
          <t>87</t>
        </is>
      </c>
      <c r="E41">
        <f>HYPERLINK("https://www.britishcycling.org.uk/points?person_id=215903&amp;year=2022&amp;type=national&amp;d=6","Results")</f>
        <v/>
      </c>
    </row>
    <row r="42">
      <c r="A42" t="inlineStr">
        <is>
          <t>41</t>
        </is>
      </c>
      <c r="B42" t="inlineStr">
        <is>
          <t>Jed Smithson</t>
        </is>
      </c>
      <c r="C42" t="inlineStr">
        <is>
          <t>Fensham Howes - MAS Design</t>
        </is>
      </c>
      <c r="D42" t="inlineStr">
        <is>
          <t>87</t>
        </is>
      </c>
      <c r="E42">
        <f>HYPERLINK("https://www.britishcycling.org.uk/points?person_id=255200&amp;year=2022&amp;type=national&amp;d=6","Results")</f>
        <v/>
      </c>
    </row>
    <row r="43">
      <c r="A43" t="inlineStr">
        <is>
          <t>42</t>
        </is>
      </c>
      <c r="B43" t="inlineStr">
        <is>
          <t>William Pollard</t>
        </is>
      </c>
      <c r="C43" t="inlineStr">
        <is>
          <t>Welwyn Wheelers CC</t>
        </is>
      </c>
      <c r="D43" t="inlineStr">
        <is>
          <t>86</t>
        </is>
      </c>
      <c r="E43">
        <f>HYPERLINK("https://www.britishcycling.org.uk/points?person_id=612428&amp;year=2022&amp;type=national&amp;d=6","Results")</f>
        <v/>
      </c>
    </row>
    <row r="44">
      <c r="A44" t="inlineStr">
        <is>
          <t>43</t>
        </is>
      </c>
      <c r="B44" t="inlineStr">
        <is>
          <t>Edward Charles</t>
        </is>
      </c>
      <c r="C44" t="inlineStr">
        <is>
          <t>WORX Factory Racing</t>
        </is>
      </c>
      <c r="D44" t="inlineStr">
        <is>
          <t>85</t>
        </is>
      </c>
      <c r="E44">
        <f>HYPERLINK("https://www.britishcycling.org.uk/points?person_id=292863&amp;year=2022&amp;type=national&amp;d=6","Results")</f>
        <v/>
      </c>
    </row>
    <row r="45">
      <c r="A45" t="inlineStr">
        <is>
          <t>44</t>
        </is>
      </c>
      <c r="B45" t="inlineStr">
        <is>
          <t>George Harvey</t>
        </is>
      </c>
      <c r="C45" t="inlineStr">
        <is>
          <t>VC Jubilee</t>
        </is>
      </c>
      <c r="D45" t="inlineStr">
        <is>
          <t>83</t>
        </is>
      </c>
      <c r="E45">
        <f>HYPERLINK("https://www.britishcycling.org.uk/points?person_id=253080&amp;year=2022&amp;type=national&amp;d=6","Results")</f>
        <v/>
      </c>
    </row>
    <row r="46">
      <c r="A46" t="inlineStr">
        <is>
          <t>45</t>
        </is>
      </c>
      <c r="B46" t="inlineStr">
        <is>
          <t>Alasdair Mildred</t>
        </is>
      </c>
      <c r="C46" t="inlineStr">
        <is>
          <t>VéloElite RC</t>
        </is>
      </c>
      <c r="D46" t="inlineStr">
        <is>
          <t>82</t>
        </is>
      </c>
      <c r="E46">
        <f>HYPERLINK("https://www.britishcycling.org.uk/points?person_id=614243&amp;year=2022&amp;type=national&amp;d=6","Results")</f>
        <v/>
      </c>
    </row>
    <row r="47">
      <c r="A47" t="inlineStr">
        <is>
          <t>46</t>
        </is>
      </c>
      <c r="B47" t="inlineStr">
        <is>
          <t>Finn Mason</t>
        </is>
      </c>
      <c r="C47" t="inlineStr">
        <is>
          <t>The Cycling Academy</t>
        </is>
      </c>
      <c r="D47" t="inlineStr">
        <is>
          <t>80</t>
        </is>
      </c>
      <c r="E47">
        <f>HYPERLINK("https://www.britishcycling.org.uk/points?person_id=177268&amp;year=2022&amp;type=national&amp;d=6","Results")</f>
        <v/>
      </c>
    </row>
    <row r="48">
      <c r="A48" t="inlineStr">
        <is>
          <t>47</t>
        </is>
      </c>
      <c r="B48" t="inlineStr">
        <is>
          <t>Elliot Fraser</t>
        </is>
      </c>
      <c r="C48" t="inlineStr">
        <is>
          <t>Clifton CC</t>
        </is>
      </c>
      <c r="D48" t="inlineStr">
        <is>
          <t>79</t>
        </is>
      </c>
      <c r="E48">
        <f>HYPERLINK("https://www.britishcycling.org.uk/points?person_id=1015530&amp;year=2022&amp;type=national&amp;d=6","Results")</f>
        <v/>
      </c>
    </row>
    <row r="49">
      <c r="A49" t="inlineStr">
        <is>
          <t>48</t>
        </is>
      </c>
      <c r="B49" t="inlineStr">
        <is>
          <t>Ewan Dix</t>
        </is>
      </c>
      <c r="C49" t="inlineStr"/>
      <c r="D49" t="inlineStr">
        <is>
          <t>78</t>
        </is>
      </c>
      <c r="E49">
        <f>HYPERLINK("https://www.britishcycling.org.uk/points?person_id=543546&amp;year=2022&amp;type=national&amp;d=6","Results")</f>
        <v/>
      </c>
    </row>
    <row r="50">
      <c r="A50" t="inlineStr">
        <is>
          <t>49</t>
        </is>
      </c>
      <c r="B50" t="inlineStr">
        <is>
          <t>Reece Pittman</t>
        </is>
      </c>
      <c r="C50" t="inlineStr">
        <is>
          <t>Palmer Park Velo RT</t>
        </is>
      </c>
      <c r="D50" t="inlineStr">
        <is>
          <t>78</t>
        </is>
      </c>
      <c r="E50">
        <f>HYPERLINK("https://www.britishcycling.org.uk/points?person_id=744729&amp;year=2022&amp;type=national&amp;d=6","Results")</f>
        <v/>
      </c>
    </row>
    <row r="51">
      <c r="A51" t="inlineStr">
        <is>
          <t>50</t>
        </is>
      </c>
      <c r="B51" t="inlineStr">
        <is>
          <t>Oliver Moss</t>
        </is>
      </c>
      <c r="C51" t="inlineStr">
        <is>
          <t>Clifton CC</t>
        </is>
      </c>
      <c r="D51" t="inlineStr">
        <is>
          <t>77</t>
        </is>
      </c>
      <c r="E51">
        <f>HYPERLINK("https://www.britishcycling.org.uk/points?person_id=580888&amp;year=2022&amp;type=national&amp;d=6","Results")</f>
        <v/>
      </c>
    </row>
    <row r="52">
      <c r="A52" t="inlineStr">
        <is>
          <t>51</t>
        </is>
      </c>
      <c r="B52" t="inlineStr">
        <is>
          <t>Evan McKenzie</t>
        </is>
      </c>
      <c r="C52" t="inlineStr">
        <is>
          <t>ROTOR Race Team</t>
        </is>
      </c>
      <c r="D52" t="inlineStr">
        <is>
          <t>76</t>
        </is>
      </c>
      <c r="E52">
        <f>HYPERLINK("https://www.britishcycling.org.uk/points?person_id=621093&amp;year=2022&amp;type=national&amp;d=6","Results")</f>
        <v/>
      </c>
    </row>
    <row r="53">
      <c r="A53" t="inlineStr">
        <is>
          <t>52</t>
        </is>
      </c>
      <c r="B53" t="inlineStr">
        <is>
          <t>Douglas Main</t>
        </is>
      </c>
      <c r="C53" t="inlineStr">
        <is>
          <t>Derby Mercury RC</t>
        </is>
      </c>
      <c r="D53" t="inlineStr">
        <is>
          <t>75</t>
        </is>
      </c>
      <c r="E53">
        <f>HYPERLINK("https://www.britishcycling.org.uk/points?person_id=263419&amp;year=2022&amp;type=national&amp;d=6","Results")</f>
        <v/>
      </c>
    </row>
    <row r="54">
      <c r="A54" t="inlineStr">
        <is>
          <t>53</t>
        </is>
      </c>
      <c r="B54" t="inlineStr">
        <is>
          <t>Peter Ferguson</t>
        </is>
      </c>
      <c r="C54" t="inlineStr">
        <is>
          <t>ROTOR Race Team</t>
        </is>
      </c>
      <c r="D54" t="inlineStr">
        <is>
          <t>74</t>
        </is>
      </c>
      <c r="E54">
        <f>HYPERLINK("https://www.britishcycling.org.uk/points?person_id=461832&amp;year=2022&amp;type=national&amp;d=6","Results")</f>
        <v/>
      </c>
    </row>
    <row r="55">
      <c r="A55" t="inlineStr">
        <is>
          <t>54</t>
        </is>
      </c>
      <c r="B55" t="inlineStr">
        <is>
          <t>Harley Gregory</t>
        </is>
      </c>
      <c r="C55" t="inlineStr">
        <is>
          <t>West Suffolk Wheelers</t>
        </is>
      </c>
      <c r="D55" t="inlineStr">
        <is>
          <t>72</t>
        </is>
      </c>
      <c r="E55">
        <f>HYPERLINK("https://www.britishcycling.org.uk/points?person_id=287901&amp;year=2022&amp;type=national&amp;d=6","Results")</f>
        <v/>
      </c>
    </row>
    <row r="56">
      <c r="A56" t="inlineStr">
        <is>
          <t>55</t>
        </is>
      </c>
      <c r="B56" t="inlineStr">
        <is>
          <t>Angus Stoneham</t>
        </is>
      </c>
      <c r="C56" t="inlineStr">
        <is>
          <t>Beaconsfield Cycling Club</t>
        </is>
      </c>
      <c r="D56" t="inlineStr">
        <is>
          <t>71</t>
        </is>
      </c>
      <c r="E56">
        <f>HYPERLINK("https://www.britishcycling.org.uk/points?person_id=883496&amp;year=2022&amp;type=national&amp;d=6","Results")</f>
        <v/>
      </c>
    </row>
    <row r="57">
      <c r="A57" t="inlineStr">
        <is>
          <t>56</t>
        </is>
      </c>
      <c r="B57" t="inlineStr">
        <is>
          <t>Finlay Mowat</t>
        </is>
      </c>
      <c r="C57" t="inlineStr">
        <is>
          <t>Avid Sport</t>
        </is>
      </c>
      <c r="D57" t="inlineStr">
        <is>
          <t>70</t>
        </is>
      </c>
      <c r="E57">
        <f>HYPERLINK("https://www.britishcycling.org.uk/points?person_id=973812&amp;year=2022&amp;type=national&amp;d=6","Results")</f>
        <v/>
      </c>
    </row>
    <row r="58">
      <c r="A58" t="inlineStr">
        <is>
          <t>57</t>
        </is>
      </c>
      <c r="B58" t="inlineStr">
        <is>
          <t>Max Saunders</t>
        </is>
      </c>
      <c r="C58" t="inlineStr">
        <is>
          <t>Solihull CC</t>
        </is>
      </c>
      <c r="D58" t="inlineStr">
        <is>
          <t>68</t>
        </is>
      </c>
      <c r="E58">
        <f>HYPERLINK("https://www.britishcycling.org.uk/points?person_id=290561&amp;year=2022&amp;type=national&amp;d=6","Results")</f>
        <v/>
      </c>
    </row>
    <row r="59">
      <c r="A59" t="inlineStr">
        <is>
          <t>58</t>
        </is>
      </c>
      <c r="B59" t="inlineStr">
        <is>
          <t>Oliver Dawson</t>
        </is>
      </c>
      <c r="C59" t="inlineStr">
        <is>
          <t>RTD - J'sCycleShack</t>
        </is>
      </c>
      <c r="D59" t="inlineStr">
        <is>
          <t>67</t>
        </is>
      </c>
      <c r="E59">
        <f>HYPERLINK("https://www.britishcycling.org.uk/points?person_id=561633&amp;year=2022&amp;type=national&amp;d=6","Results")</f>
        <v/>
      </c>
    </row>
    <row r="60">
      <c r="A60" t="inlineStr">
        <is>
          <t>59</t>
        </is>
      </c>
      <c r="B60" t="inlineStr">
        <is>
          <t>Daniel Lloyd</t>
        </is>
      </c>
      <c r="C60" t="inlineStr">
        <is>
          <t>VC Londres</t>
        </is>
      </c>
      <c r="D60" t="inlineStr">
        <is>
          <t>65</t>
        </is>
      </c>
      <c r="E60">
        <f>HYPERLINK("https://www.britishcycling.org.uk/points?person_id=181151&amp;year=2022&amp;type=national&amp;d=6","Results")</f>
        <v/>
      </c>
    </row>
    <row r="61">
      <c r="A61" t="inlineStr">
        <is>
          <t>60</t>
        </is>
      </c>
      <c r="B61" t="inlineStr">
        <is>
          <t>Daniel Porter</t>
        </is>
      </c>
      <c r="C61" t="inlineStr">
        <is>
          <t>Bolton Hot Wheels CC</t>
        </is>
      </c>
      <c r="D61" t="inlineStr">
        <is>
          <t>65</t>
        </is>
      </c>
      <c r="E61">
        <f>HYPERLINK("https://www.britishcycling.org.uk/points?person_id=292345&amp;year=2022&amp;type=national&amp;d=6","Results")</f>
        <v/>
      </c>
    </row>
    <row r="62">
      <c r="A62" t="inlineStr">
        <is>
          <t>61</t>
        </is>
      </c>
      <c r="B62" t="inlineStr">
        <is>
          <t>Toby Pullan</t>
        </is>
      </c>
      <c r="C62" t="inlineStr">
        <is>
          <t>Cambridge Junior Cycling Club</t>
        </is>
      </c>
      <c r="D62" t="inlineStr">
        <is>
          <t>65</t>
        </is>
      </c>
      <c r="E62">
        <f>HYPERLINK("https://www.britishcycling.org.uk/points?person_id=612654&amp;year=2022&amp;type=national&amp;d=6","Results")</f>
        <v/>
      </c>
    </row>
    <row r="63">
      <c r="A63" t="inlineStr">
        <is>
          <t>62</t>
        </is>
      </c>
      <c r="B63" t="inlineStr">
        <is>
          <t>Oscar Hoult</t>
        </is>
      </c>
      <c r="C63" t="inlineStr">
        <is>
          <t>Velo Club Venta</t>
        </is>
      </c>
      <c r="D63" t="inlineStr">
        <is>
          <t>63</t>
        </is>
      </c>
      <c r="E63">
        <f>HYPERLINK("https://www.britishcycling.org.uk/points?person_id=1003145&amp;year=2022&amp;type=national&amp;d=6","Results")</f>
        <v/>
      </c>
    </row>
    <row r="64">
      <c r="A64" t="inlineStr">
        <is>
          <t>63</t>
        </is>
      </c>
      <c r="B64" t="inlineStr">
        <is>
          <t>Evan Williams</t>
        </is>
      </c>
      <c r="C64" t="inlineStr">
        <is>
          <t>Ignite</t>
        </is>
      </c>
      <c r="D64" t="inlineStr">
        <is>
          <t>63</t>
        </is>
      </c>
      <c r="E64">
        <f>HYPERLINK("https://www.britishcycling.org.uk/points?person_id=1031267&amp;year=2022&amp;type=national&amp;d=6","Results")</f>
        <v/>
      </c>
    </row>
    <row r="65">
      <c r="A65" t="inlineStr">
        <is>
          <t>64</t>
        </is>
      </c>
      <c r="B65" t="inlineStr">
        <is>
          <t>Oscar Davies</t>
        </is>
      </c>
      <c r="C65" t="inlineStr">
        <is>
          <t>CC Abergavenny - JP Signs &amp; Print</t>
        </is>
      </c>
      <c r="D65" t="inlineStr">
        <is>
          <t>62</t>
        </is>
      </c>
      <c r="E65">
        <f>HYPERLINK("https://www.britishcycling.org.uk/points?person_id=413609&amp;year=2022&amp;type=national&amp;d=6","Results")</f>
        <v/>
      </c>
    </row>
    <row r="66">
      <c r="A66" t="inlineStr">
        <is>
          <t>65</t>
        </is>
      </c>
      <c r="B66" t="inlineStr">
        <is>
          <t>Harry Ellison</t>
        </is>
      </c>
      <c r="C66" t="inlineStr">
        <is>
          <t>Shibden Cycling Club</t>
        </is>
      </c>
      <c r="D66" t="inlineStr">
        <is>
          <t>62</t>
        </is>
      </c>
      <c r="E66">
        <f>HYPERLINK("https://www.britishcycling.org.uk/points?person_id=546296&amp;year=2022&amp;type=national&amp;d=6","Results")</f>
        <v/>
      </c>
    </row>
    <row r="67">
      <c r="A67" t="inlineStr">
        <is>
          <t>66</t>
        </is>
      </c>
      <c r="B67" t="inlineStr">
        <is>
          <t>Murray Gray</t>
        </is>
      </c>
      <c r="C67" t="inlineStr">
        <is>
          <t>ROTOR Race Team</t>
        </is>
      </c>
      <c r="D67" t="inlineStr">
        <is>
          <t>62</t>
        </is>
      </c>
      <c r="E67">
        <f>HYPERLINK("https://www.britishcycling.org.uk/points?person_id=651336&amp;year=2022&amp;type=national&amp;d=6","Results")</f>
        <v/>
      </c>
    </row>
    <row r="68">
      <c r="A68" t="inlineStr">
        <is>
          <t>67</t>
        </is>
      </c>
      <c r="B68" t="inlineStr">
        <is>
          <t>Tommy Stroud</t>
        </is>
      </c>
      <c r="C68" t="inlineStr">
        <is>
          <t>Ignite</t>
        </is>
      </c>
      <c r="D68" t="inlineStr">
        <is>
          <t>61</t>
        </is>
      </c>
      <c r="E68">
        <f>HYPERLINK("https://www.britishcycling.org.uk/points?person_id=752011&amp;year=2022&amp;type=national&amp;d=6","Results")</f>
        <v/>
      </c>
    </row>
    <row r="69">
      <c r="A69" t="inlineStr">
        <is>
          <t>68</t>
        </is>
      </c>
      <c r="B69" t="inlineStr">
        <is>
          <t>Callum Evans</t>
        </is>
      </c>
      <c r="C69" t="inlineStr">
        <is>
          <t>Sleaford Wheelers Cycling Club</t>
        </is>
      </c>
      <c r="D69" t="inlineStr">
        <is>
          <t>60</t>
        </is>
      </c>
      <c r="E69">
        <f>HYPERLINK("https://www.britishcycling.org.uk/points?person_id=735592&amp;year=2022&amp;type=national&amp;d=6","Results")</f>
        <v/>
      </c>
    </row>
    <row r="70">
      <c r="A70" t="inlineStr">
        <is>
          <t>69</t>
        </is>
      </c>
      <c r="B70" t="inlineStr">
        <is>
          <t>Arlo Carey</t>
        </is>
      </c>
      <c r="C70" t="inlineStr">
        <is>
          <t>Pedalon.co.uk</t>
        </is>
      </c>
      <c r="D70" t="inlineStr">
        <is>
          <t>59</t>
        </is>
      </c>
      <c r="E70">
        <f>HYPERLINK("https://www.britishcycling.org.uk/points?person_id=173174&amp;year=2022&amp;type=national&amp;d=6","Results")</f>
        <v/>
      </c>
    </row>
    <row r="71">
      <c r="A71" t="inlineStr">
        <is>
          <t>70</t>
        </is>
      </c>
      <c r="B71" t="inlineStr">
        <is>
          <t>Oliver Morgan</t>
        </is>
      </c>
      <c r="C71" t="inlineStr">
        <is>
          <t>Ignite</t>
        </is>
      </c>
      <c r="D71" t="inlineStr">
        <is>
          <t>59</t>
        </is>
      </c>
      <c r="E71">
        <f>HYPERLINK("https://www.britishcycling.org.uk/points?person_id=454208&amp;year=2022&amp;type=national&amp;d=6","Results")</f>
        <v/>
      </c>
    </row>
    <row r="72">
      <c r="A72" t="inlineStr">
        <is>
          <t>71</t>
        </is>
      </c>
      <c r="B72" t="inlineStr">
        <is>
          <t>Lewis Smith</t>
        </is>
      </c>
      <c r="C72" t="inlineStr">
        <is>
          <t>Origin Race Team</t>
        </is>
      </c>
      <c r="D72" t="inlineStr">
        <is>
          <t>59</t>
        </is>
      </c>
      <c r="E72">
        <f>HYPERLINK("https://www.britishcycling.org.uk/points?person_id=525367&amp;year=2022&amp;type=national&amp;d=6","Results")</f>
        <v/>
      </c>
    </row>
    <row r="73">
      <c r="A73" t="inlineStr">
        <is>
          <t>72</t>
        </is>
      </c>
      <c r="B73" t="inlineStr">
        <is>
          <t>Raphael Tabiner</t>
        </is>
      </c>
      <c r="C73" t="inlineStr">
        <is>
          <t>Tofauti Everyone Active</t>
        </is>
      </c>
      <c r="D73" t="inlineStr">
        <is>
          <t>58</t>
        </is>
      </c>
      <c r="E73">
        <f>HYPERLINK("https://www.britishcycling.org.uk/points?person_id=524253&amp;year=2022&amp;type=national&amp;d=6","Results")</f>
        <v/>
      </c>
    </row>
    <row r="74">
      <c r="A74" t="inlineStr">
        <is>
          <t>73</t>
        </is>
      </c>
      <c r="B74" t="inlineStr">
        <is>
          <t>Luke Harris</t>
        </is>
      </c>
      <c r="C74" t="inlineStr">
        <is>
          <t>Halesowen A &amp; CC</t>
        </is>
      </c>
      <c r="D74" t="inlineStr">
        <is>
          <t>57</t>
        </is>
      </c>
      <c r="E74">
        <f>HYPERLINK("https://www.britishcycling.org.uk/points?person_id=125834&amp;year=2022&amp;type=national&amp;d=6","Results")</f>
        <v/>
      </c>
    </row>
    <row r="75">
      <c r="A75" t="inlineStr">
        <is>
          <t>74</t>
        </is>
      </c>
      <c r="B75" t="inlineStr">
        <is>
          <t>Cameron Archibald</t>
        </is>
      </c>
      <c r="C75" t="inlineStr">
        <is>
          <t>Falkirk Junior Bike Club</t>
        </is>
      </c>
      <c r="D75" t="inlineStr">
        <is>
          <t>56</t>
        </is>
      </c>
      <c r="E75">
        <f>HYPERLINK("https://www.britishcycling.org.uk/points?person_id=772296&amp;year=2022&amp;type=national&amp;d=6","Results")</f>
        <v/>
      </c>
    </row>
    <row r="76">
      <c r="A76" t="inlineStr">
        <is>
          <t>75</t>
        </is>
      </c>
      <c r="B76" t="inlineStr">
        <is>
          <t>Louis Kebbell</t>
        </is>
      </c>
      <c r="C76" t="inlineStr"/>
      <c r="D76" t="inlineStr">
        <is>
          <t>54</t>
        </is>
      </c>
      <c r="E76">
        <f>HYPERLINK("https://www.britishcycling.org.uk/points?person_id=1034910&amp;year=2022&amp;type=national&amp;d=6","Results")</f>
        <v/>
      </c>
    </row>
    <row r="77">
      <c r="A77" t="inlineStr">
        <is>
          <t>76</t>
        </is>
      </c>
      <c r="B77" t="inlineStr">
        <is>
          <t>Henry Weaver</t>
        </is>
      </c>
      <c r="C77" t="inlineStr">
        <is>
          <t>Southborough &amp; District Whls</t>
        </is>
      </c>
      <c r="D77" t="inlineStr">
        <is>
          <t>48</t>
        </is>
      </c>
      <c r="E77">
        <f>HYPERLINK("https://www.britishcycling.org.uk/points?person_id=1003674&amp;year=2022&amp;type=national&amp;d=6","Results")</f>
        <v/>
      </c>
    </row>
    <row r="78">
      <c r="A78" t="inlineStr">
        <is>
          <t>77</t>
        </is>
      </c>
      <c r="B78" t="inlineStr">
        <is>
          <t>Oscar Heslop</t>
        </is>
      </c>
      <c r="C78" t="inlineStr">
        <is>
          <t>Team Milton Keynes</t>
        </is>
      </c>
      <c r="D78" t="inlineStr">
        <is>
          <t>47</t>
        </is>
      </c>
      <c r="E78">
        <f>HYPERLINK("https://www.britishcycling.org.uk/points?person_id=841031&amp;year=2022&amp;type=national&amp;d=6","Results")</f>
        <v/>
      </c>
    </row>
    <row r="79">
      <c r="A79" t="inlineStr">
        <is>
          <t>78</t>
        </is>
      </c>
      <c r="B79" t="inlineStr">
        <is>
          <t>Oliver Blyth</t>
        </is>
      </c>
      <c r="C79" t="inlineStr">
        <is>
          <t>Edinburgh RC</t>
        </is>
      </c>
      <c r="D79" t="inlineStr">
        <is>
          <t>46</t>
        </is>
      </c>
      <c r="E79">
        <f>HYPERLINK("https://www.britishcycling.org.uk/points?person_id=564639&amp;year=2022&amp;type=national&amp;d=6","Results")</f>
        <v/>
      </c>
    </row>
    <row r="80">
      <c r="A80" t="inlineStr">
        <is>
          <t>79</t>
        </is>
      </c>
      <c r="B80" t="inlineStr">
        <is>
          <t>Owain Williams</t>
        </is>
      </c>
      <c r="C80" t="inlineStr">
        <is>
          <t>Hillingdon Slipstreamers</t>
        </is>
      </c>
      <c r="D80" t="inlineStr">
        <is>
          <t>46</t>
        </is>
      </c>
      <c r="E80">
        <f>HYPERLINK("https://www.britishcycling.org.uk/points?person_id=311199&amp;year=2022&amp;type=national&amp;d=6","Results")</f>
        <v/>
      </c>
    </row>
    <row r="81">
      <c r="A81" t="inlineStr">
        <is>
          <t>80</t>
        </is>
      </c>
      <c r="B81" t="inlineStr">
        <is>
          <t>Ben Marsh</t>
        </is>
      </c>
      <c r="C81" t="inlineStr">
        <is>
          <t>BCC Race Team</t>
        </is>
      </c>
      <c r="D81" t="inlineStr">
        <is>
          <t>44</t>
        </is>
      </c>
      <c r="E81">
        <f>HYPERLINK("https://www.britishcycling.org.uk/points?person_id=287098&amp;year=2022&amp;type=national&amp;d=6","Results")</f>
        <v/>
      </c>
    </row>
    <row r="82">
      <c r="A82" t="inlineStr">
        <is>
          <t>81</t>
        </is>
      </c>
      <c r="B82" t="inlineStr">
        <is>
          <t>Finlay Taylor</t>
        </is>
      </c>
      <c r="C82" t="inlineStr">
        <is>
          <t>Royal Albert CC</t>
        </is>
      </c>
      <c r="D82" t="inlineStr">
        <is>
          <t>44</t>
        </is>
      </c>
      <c r="E82">
        <f>HYPERLINK("https://www.britishcycling.org.uk/points?person_id=297675&amp;year=2022&amp;type=national&amp;d=6","Results")</f>
        <v/>
      </c>
    </row>
    <row r="83">
      <c r="A83" t="inlineStr">
        <is>
          <t>82</t>
        </is>
      </c>
      <c r="B83" t="inlineStr">
        <is>
          <t>Sebastian Anderson</t>
        </is>
      </c>
      <c r="C83" t="inlineStr">
        <is>
          <t>Orwell Velo</t>
        </is>
      </c>
      <c r="D83" t="inlineStr">
        <is>
          <t>43</t>
        </is>
      </c>
      <c r="E83">
        <f>HYPERLINK("https://www.britishcycling.org.uk/points?person_id=1001366&amp;year=2022&amp;type=national&amp;d=6","Results")</f>
        <v/>
      </c>
    </row>
    <row r="84">
      <c r="A84" t="inlineStr">
        <is>
          <t>83</t>
        </is>
      </c>
      <c r="B84" t="inlineStr">
        <is>
          <t>Alex Taylor</t>
        </is>
      </c>
      <c r="C84" t="inlineStr">
        <is>
          <t>Pedalon.co.uk</t>
        </is>
      </c>
      <c r="D84" t="inlineStr">
        <is>
          <t>43</t>
        </is>
      </c>
      <c r="E84">
        <f>HYPERLINK("https://www.britishcycling.org.uk/points?person_id=662940&amp;year=2022&amp;type=national&amp;d=6","Results")</f>
        <v/>
      </c>
    </row>
    <row r="85">
      <c r="A85" t="inlineStr">
        <is>
          <t>84</t>
        </is>
      </c>
      <c r="B85" t="inlineStr">
        <is>
          <t>Alexander Robinson</t>
        </is>
      </c>
      <c r="C85" t="inlineStr">
        <is>
          <t>Clifton CC</t>
        </is>
      </c>
      <c r="D85" t="inlineStr">
        <is>
          <t>42</t>
        </is>
      </c>
      <c r="E85">
        <f>HYPERLINK("https://www.britishcycling.org.uk/points?person_id=554229&amp;year=2022&amp;type=national&amp;d=6","Results")</f>
        <v/>
      </c>
    </row>
    <row r="86">
      <c r="A86" t="inlineStr">
        <is>
          <t>85</t>
        </is>
      </c>
      <c r="B86" t="inlineStr">
        <is>
          <t>Felix Earth</t>
        </is>
      </c>
      <c r="C86" t="inlineStr">
        <is>
          <t>Sleaford Wheelers Cycling Club</t>
        </is>
      </c>
      <c r="D86" t="inlineStr">
        <is>
          <t>41</t>
        </is>
      </c>
      <c r="E86">
        <f>HYPERLINK("https://www.britishcycling.org.uk/points?person_id=706564&amp;year=2022&amp;type=national&amp;d=6","Results")</f>
        <v/>
      </c>
    </row>
    <row r="87">
      <c r="A87" t="inlineStr">
        <is>
          <t>86</t>
        </is>
      </c>
      <c r="B87" t="inlineStr">
        <is>
          <t>Zak Machin</t>
        </is>
      </c>
      <c r="C87" t="inlineStr">
        <is>
          <t>Cero - Cycle Division Racing Team</t>
        </is>
      </c>
      <c r="D87" t="inlineStr">
        <is>
          <t>40</t>
        </is>
      </c>
      <c r="E87">
        <f>HYPERLINK("https://www.britishcycling.org.uk/points?person_id=575012&amp;year=2022&amp;type=national&amp;d=6","Results")</f>
        <v/>
      </c>
    </row>
    <row r="88">
      <c r="A88" t="inlineStr">
        <is>
          <t>87</t>
        </is>
      </c>
      <c r="B88" t="inlineStr">
        <is>
          <t>George Watch</t>
        </is>
      </c>
      <c r="C88" t="inlineStr">
        <is>
          <t>Team Zoyland Race Academy</t>
        </is>
      </c>
      <c r="D88" t="inlineStr">
        <is>
          <t>40</t>
        </is>
      </c>
      <c r="E88">
        <f>HYPERLINK("https://www.britishcycling.org.uk/points?person_id=532098&amp;year=2022&amp;type=national&amp;d=6","Results")</f>
        <v/>
      </c>
    </row>
    <row r="89">
      <c r="A89" t="inlineStr">
        <is>
          <t>88</t>
        </is>
      </c>
      <c r="B89" t="inlineStr">
        <is>
          <t>Sam Gilbert</t>
        </is>
      </c>
      <c r="C89" t="inlineStr">
        <is>
          <t>Welwyn Wheelers CC</t>
        </is>
      </c>
      <c r="D89" t="inlineStr">
        <is>
          <t>39</t>
        </is>
      </c>
      <c r="E89">
        <f>HYPERLINK("https://www.britishcycling.org.uk/points?person_id=267609&amp;year=2022&amp;type=national&amp;d=6","Results")</f>
        <v/>
      </c>
    </row>
    <row r="90">
      <c r="A90" t="inlineStr">
        <is>
          <t>89</t>
        </is>
      </c>
      <c r="B90" t="inlineStr">
        <is>
          <t>Dominic Switzer</t>
        </is>
      </c>
      <c r="C90" t="inlineStr">
        <is>
          <t>Welland Valley CC</t>
        </is>
      </c>
      <c r="D90" t="inlineStr">
        <is>
          <t>37</t>
        </is>
      </c>
      <c r="E90">
        <f>HYPERLINK("https://www.britishcycling.org.uk/points?person_id=180600&amp;year=2022&amp;type=national&amp;d=6","Results")</f>
        <v/>
      </c>
    </row>
    <row r="91">
      <c r="A91" t="inlineStr">
        <is>
          <t>90</t>
        </is>
      </c>
      <c r="B91" t="inlineStr">
        <is>
          <t>Jack Beveridge</t>
        </is>
      </c>
      <c r="C91" t="inlineStr">
        <is>
          <t>Avid Sport</t>
        </is>
      </c>
      <c r="D91" t="inlineStr">
        <is>
          <t>34</t>
        </is>
      </c>
      <c r="E91">
        <f>HYPERLINK("https://www.britishcycling.org.uk/points?person_id=269894&amp;year=2022&amp;type=national&amp;d=6","Results")</f>
        <v/>
      </c>
    </row>
    <row r="92">
      <c r="A92" t="inlineStr">
        <is>
          <t>91</t>
        </is>
      </c>
      <c r="B92" t="inlineStr">
        <is>
          <t>James Elves</t>
        </is>
      </c>
      <c r="C92" t="inlineStr">
        <is>
          <t>Reifen Racing</t>
        </is>
      </c>
      <c r="D92" t="inlineStr">
        <is>
          <t>34</t>
        </is>
      </c>
      <c r="E92">
        <f>HYPERLINK("https://www.britishcycling.org.uk/points?person_id=880319&amp;year=2022&amp;type=national&amp;d=6","Results")</f>
        <v/>
      </c>
    </row>
    <row r="93">
      <c r="A93" t="inlineStr">
        <is>
          <t>92</t>
        </is>
      </c>
      <c r="B93" t="inlineStr">
        <is>
          <t>Callum Jones</t>
        </is>
      </c>
      <c r="C93" t="inlineStr">
        <is>
          <t>Beeston Cycling Club</t>
        </is>
      </c>
      <c r="D93" t="inlineStr">
        <is>
          <t>34</t>
        </is>
      </c>
      <c r="E93">
        <f>HYPERLINK("https://www.britishcycling.org.uk/points?person_id=542019&amp;year=2022&amp;type=national&amp;d=6","Results")</f>
        <v/>
      </c>
    </row>
    <row r="94">
      <c r="A94" t="inlineStr">
        <is>
          <t>93</t>
        </is>
      </c>
      <c r="B94" t="inlineStr">
        <is>
          <t>Dillon Barnes</t>
        </is>
      </c>
      <c r="C94" t="inlineStr">
        <is>
          <t>Palmer Park Velo RT</t>
        </is>
      </c>
      <c r="D94" t="inlineStr">
        <is>
          <t>33</t>
        </is>
      </c>
      <c r="E94">
        <f>HYPERLINK("https://www.britishcycling.org.uk/points?person_id=995916&amp;year=2022&amp;type=national&amp;d=6","Results")</f>
        <v/>
      </c>
    </row>
    <row r="95">
      <c r="A95" t="inlineStr">
        <is>
          <t>94</t>
        </is>
      </c>
      <c r="B95" t="inlineStr">
        <is>
          <t>Bilal Hardaker</t>
        </is>
      </c>
      <c r="C95" t="inlineStr">
        <is>
          <t>East Bradford CC</t>
        </is>
      </c>
      <c r="D95" t="inlineStr">
        <is>
          <t>33</t>
        </is>
      </c>
      <c r="E95">
        <f>HYPERLINK("https://www.britishcycling.org.uk/points?person_id=585532&amp;year=2022&amp;type=national&amp;d=6","Results")</f>
        <v/>
      </c>
    </row>
    <row r="96">
      <c r="A96" t="inlineStr">
        <is>
          <t>95</t>
        </is>
      </c>
      <c r="B96" t="inlineStr">
        <is>
          <t>Noah Bleteau</t>
        </is>
      </c>
      <c r="C96" t="inlineStr">
        <is>
          <t>The Cycling Academy</t>
        </is>
      </c>
      <c r="D96" t="inlineStr">
        <is>
          <t>32</t>
        </is>
      </c>
      <c r="E96">
        <f>HYPERLINK("https://www.britishcycling.org.uk/points?person_id=668904&amp;year=2022&amp;type=national&amp;d=6","Results")</f>
        <v/>
      </c>
    </row>
    <row r="97">
      <c r="A97" t="inlineStr">
        <is>
          <t>96</t>
        </is>
      </c>
      <c r="B97" t="inlineStr">
        <is>
          <t>Jack Sutton</t>
        </is>
      </c>
      <c r="C97" t="inlineStr">
        <is>
          <t>Stonham Barns Park – SYRT</t>
        </is>
      </c>
      <c r="D97" t="inlineStr">
        <is>
          <t>32</t>
        </is>
      </c>
      <c r="E97">
        <f>HYPERLINK("https://www.britishcycling.org.uk/points?person_id=939075&amp;year=2022&amp;type=national&amp;d=6","Results")</f>
        <v/>
      </c>
    </row>
    <row r="98">
      <c r="A98" t="inlineStr">
        <is>
          <t>97</t>
        </is>
      </c>
      <c r="B98" t="inlineStr">
        <is>
          <t>Dylan Cherruault</t>
        </is>
      </c>
      <c r="C98" t="inlineStr">
        <is>
          <t>Avid Sport</t>
        </is>
      </c>
      <c r="D98" t="inlineStr">
        <is>
          <t>31</t>
        </is>
      </c>
      <c r="E98">
        <f>HYPERLINK("https://www.britishcycling.org.uk/points?person_id=615296&amp;year=2022&amp;type=national&amp;d=6","Results")</f>
        <v/>
      </c>
    </row>
    <row r="99">
      <c r="A99" t="inlineStr">
        <is>
          <t>98</t>
        </is>
      </c>
      <c r="B99" t="inlineStr">
        <is>
          <t>Ben Lucas</t>
        </is>
      </c>
      <c r="C99" t="inlineStr">
        <is>
          <t>Wolverhampton Wheelers</t>
        </is>
      </c>
      <c r="D99" t="inlineStr">
        <is>
          <t>30</t>
        </is>
      </c>
      <c r="E99">
        <f>HYPERLINK("https://www.britishcycling.org.uk/points?person_id=705913&amp;year=2022&amp;type=national&amp;d=6","Results")</f>
        <v/>
      </c>
    </row>
    <row r="100">
      <c r="A100" t="inlineStr">
        <is>
          <t>99</t>
        </is>
      </c>
      <c r="B100" t="inlineStr">
        <is>
          <t>Alfie Davies</t>
        </is>
      </c>
      <c r="C100" t="inlineStr">
        <is>
          <t>Clee Cycles</t>
        </is>
      </c>
      <c r="D100" t="inlineStr">
        <is>
          <t>28</t>
        </is>
      </c>
      <c r="E100">
        <f>HYPERLINK("https://www.britishcycling.org.uk/points?person_id=231550&amp;year=2022&amp;type=national&amp;d=6","Results")</f>
        <v/>
      </c>
    </row>
    <row r="101">
      <c r="A101" t="inlineStr">
        <is>
          <t>100</t>
        </is>
      </c>
      <c r="B101" t="inlineStr">
        <is>
          <t>Tomos Pattinson</t>
        </is>
      </c>
      <c r="C101" t="inlineStr">
        <is>
          <t>Halesowen A &amp; CC</t>
        </is>
      </c>
      <c r="D101" t="inlineStr">
        <is>
          <t>28</t>
        </is>
      </c>
      <c r="E101">
        <f>HYPERLINK("https://www.britishcycling.org.uk/points?person_id=335419&amp;year=2022&amp;type=national&amp;d=6","Results")</f>
        <v/>
      </c>
    </row>
    <row r="102">
      <c r="A102" t="inlineStr">
        <is>
          <t>101</t>
        </is>
      </c>
      <c r="B102" t="inlineStr">
        <is>
          <t>Isaac Dutton</t>
        </is>
      </c>
      <c r="C102" t="inlineStr">
        <is>
          <t>VC Londres</t>
        </is>
      </c>
      <c r="D102" t="inlineStr">
        <is>
          <t>27</t>
        </is>
      </c>
      <c r="E102">
        <f>HYPERLINK("https://www.britishcycling.org.uk/points?person_id=953326&amp;year=2022&amp;type=national&amp;d=6","Results")</f>
        <v/>
      </c>
    </row>
    <row r="103">
      <c r="A103" t="inlineStr">
        <is>
          <t>102</t>
        </is>
      </c>
      <c r="B103" t="inlineStr">
        <is>
          <t>Aidan Worden</t>
        </is>
      </c>
      <c r="C103" t="inlineStr">
        <is>
          <t>Red Rose Olympic CC</t>
        </is>
      </c>
      <c r="D103" t="inlineStr">
        <is>
          <t>26</t>
        </is>
      </c>
      <c r="E103">
        <f>HYPERLINK("https://www.britishcycling.org.uk/points?person_id=456930&amp;year=2022&amp;type=national&amp;d=6","Results")</f>
        <v/>
      </c>
    </row>
    <row r="104">
      <c r="A104" t="inlineStr">
        <is>
          <t>103</t>
        </is>
      </c>
      <c r="B104" t="inlineStr">
        <is>
          <t>Louis Boulton</t>
        </is>
      </c>
      <c r="C104" t="inlineStr">
        <is>
          <t>VC Jubilee</t>
        </is>
      </c>
      <c r="D104" t="inlineStr">
        <is>
          <t>25</t>
        </is>
      </c>
      <c r="E104">
        <f>HYPERLINK("https://www.britishcycling.org.uk/points?person_id=427670&amp;year=2022&amp;type=national&amp;d=6","Results")</f>
        <v/>
      </c>
    </row>
    <row r="105">
      <c r="A105" t="inlineStr">
        <is>
          <t>104</t>
        </is>
      </c>
      <c r="B105" t="inlineStr">
        <is>
          <t>Ethan Campbell</t>
        </is>
      </c>
      <c r="C105" t="inlineStr">
        <is>
          <t>Newport Shropshire CC</t>
        </is>
      </c>
      <c r="D105" t="inlineStr">
        <is>
          <t>25</t>
        </is>
      </c>
      <c r="E105">
        <f>HYPERLINK("https://www.britishcycling.org.uk/points?person_id=918573&amp;year=2022&amp;type=national&amp;d=6","Results")</f>
        <v/>
      </c>
    </row>
    <row r="106">
      <c r="A106" t="inlineStr">
        <is>
          <t>105</t>
        </is>
      </c>
      <c r="B106" t="inlineStr">
        <is>
          <t>Toby Bush</t>
        </is>
      </c>
      <c r="C106" t="inlineStr">
        <is>
          <t>Beeston Cycling Club</t>
        </is>
      </c>
      <c r="D106" t="inlineStr">
        <is>
          <t>24</t>
        </is>
      </c>
      <c r="E106">
        <f>HYPERLINK("https://www.britishcycling.org.uk/points?person_id=940845&amp;year=2022&amp;type=national&amp;d=6","Results")</f>
        <v/>
      </c>
    </row>
    <row r="107">
      <c r="A107" t="inlineStr">
        <is>
          <t>106</t>
        </is>
      </c>
      <c r="B107" t="inlineStr">
        <is>
          <t>Louis Kirk</t>
        </is>
      </c>
      <c r="C107" t="inlineStr">
        <is>
          <t>Sotonia CC</t>
        </is>
      </c>
      <c r="D107" t="inlineStr">
        <is>
          <t>24</t>
        </is>
      </c>
      <c r="E107">
        <f>HYPERLINK("https://www.britishcycling.org.uk/points?person_id=615829&amp;year=2022&amp;type=national&amp;d=6","Results")</f>
        <v/>
      </c>
    </row>
    <row r="108">
      <c r="A108" t="inlineStr">
        <is>
          <t>107</t>
        </is>
      </c>
      <c r="B108" t="inlineStr">
        <is>
          <t>Alexander Montero</t>
        </is>
      </c>
      <c r="C108" t="inlineStr">
        <is>
          <t>Lee Velo (South East London)</t>
        </is>
      </c>
      <c r="D108" t="inlineStr">
        <is>
          <t>24</t>
        </is>
      </c>
      <c r="E108">
        <f>HYPERLINK("https://www.britishcycling.org.uk/points?person_id=1011945&amp;year=2022&amp;type=national&amp;d=6","Results")</f>
        <v/>
      </c>
    </row>
    <row r="109">
      <c r="A109" t="inlineStr">
        <is>
          <t>108</t>
        </is>
      </c>
      <c r="B109" t="inlineStr">
        <is>
          <t>Robert Smart</t>
        </is>
      </c>
      <c r="C109" t="inlineStr">
        <is>
          <t>Ythan CC</t>
        </is>
      </c>
      <c r="D109" t="inlineStr">
        <is>
          <t>24</t>
        </is>
      </c>
      <c r="E109">
        <f>HYPERLINK("https://www.britishcycling.org.uk/points?person_id=806276&amp;year=2022&amp;type=national&amp;d=6","Results")</f>
        <v/>
      </c>
    </row>
    <row r="110">
      <c r="A110" t="inlineStr">
        <is>
          <t>109</t>
        </is>
      </c>
      <c r="B110" t="inlineStr">
        <is>
          <t>Kieron Heuberger</t>
        </is>
      </c>
      <c r="C110" t="inlineStr">
        <is>
          <t>Backstedt Bike Performance RC</t>
        </is>
      </c>
      <c r="D110" t="inlineStr">
        <is>
          <t>23</t>
        </is>
      </c>
      <c r="E110">
        <f>HYPERLINK("https://www.britishcycling.org.uk/points?person_id=509672&amp;year=2022&amp;type=national&amp;d=6","Results")</f>
        <v/>
      </c>
    </row>
    <row r="111">
      <c r="A111" t="inlineStr">
        <is>
          <t>110</t>
        </is>
      </c>
      <c r="B111" t="inlineStr">
        <is>
          <t>Luke Mannings</t>
        </is>
      </c>
      <c r="C111" t="inlineStr">
        <is>
          <t>Halesowen A &amp; CC</t>
        </is>
      </c>
      <c r="D111" t="inlineStr">
        <is>
          <t>23</t>
        </is>
      </c>
      <c r="E111">
        <f>HYPERLINK("https://www.britishcycling.org.uk/points?person_id=286250&amp;year=2022&amp;type=national&amp;d=6","Results")</f>
        <v/>
      </c>
    </row>
    <row r="112">
      <c r="A112" t="inlineStr">
        <is>
          <t>111</t>
        </is>
      </c>
      <c r="B112" t="inlineStr">
        <is>
          <t>Robert Fautley</t>
        </is>
      </c>
      <c r="C112" t="inlineStr">
        <is>
          <t>Didcot Phoenix CC</t>
        </is>
      </c>
      <c r="D112" t="inlineStr">
        <is>
          <t>21</t>
        </is>
      </c>
      <c r="E112">
        <f>HYPERLINK("https://www.britishcycling.org.uk/points?person_id=991522&amp;year=2022&amp;type=national&amp;d=6","Results")</f>
        <v/>
      </c>
    </row>
    <row r="113">
      <c r="A113" t="inlineStr">
        <is>
          <t>112</t>
        </is>
      </c>
      <c r="B113" t="inlineStr">
        <is>
          <t>Billy Laight</t>
        </is>
      </c>
      <c r="C113" t="inlineStr">
        <is>
          <t>Halesowen A &amp; CC</t>
        </is>
      </c>
      <c r="D113" t="inlineStr">
        <is>
          <t>21</t>
        </is>
      </c>
      <c r="E113">
        <f>HYPERLINK("https://www.britishcycling.org.uk/points?person_id=388661&amp;year=2022&amp;type=national&amp;d=6","Results")</f>
        <v/>
      </c>
    </row>
    <row r="114">
      <c r="A114" t="inlineStr">
        <is>
          <t>113</t>
        </is>
      </c>
      <c r="B114" t="inlineStr">
        <is>
          <t>Benjamin Pearcey</t>
        </is>
      </c>
      <c r="C114" t="inlineStr">
        <is>
          <t>Avid Sport</t>
        </is>
      </c>
      <c r="D114" t="inlineStr">
        <is>
          <t>21</t>
        </is>
      </c>
      <c r="E114">
        <f>HYPERLINK("https://www.britishcycling.org.uk/points?person_id=853062&amp;year=2022&amp;type=national&amp;d=6","Results")</f>
        <v/>
      </c>
    </row>
    <row r="115">
      <c r="A115" t="inlineStr">
        <is>
          <t>114</t>
        </is>
      </c>
      <c r="B115" t="inlineStr">
        <is>
          <t>Nathan Smith</t>
        </is>
      </c>
      <c r="C115" t="inlineStr">
        <is>
          <t>Clifton CC</t>
        </is>
      </c>
      <c r="D115" t="inlineStr">
        <is>
          <t>21</t>
        </is>
      </c>
      <c r="E115">
        <f>HYPERLINK("https://www.britishcycling.org.uk/points?person_id=840393&amp;year=2022&amp;type=national&amp;d=6","Results")</f>
        <v/>
      </c>
    </row>
    <row r="116">
      <c r="A116" t="inlineStr">
        <is>
          <t>115</t>
        </is>
      </c>
      <c r="B116" t="inlineStr">
        <is>
          <t>Alexander Burden</t>
        </is>
      </c>
      <c r="C116" t="inlineStr">
        <is>
          <t>Solihull CC</t>
        </is>
      </c>
      <c r="D116" t="inlineStr">
        <is>
          <t>20</t>
        </is>
      </c>
      <c r="E116">
        <f>HYPERLINK("https://www.britishcycling.org.uk/points?person_id=384760&amp;year=2022&amp;type=national&amp;d=6","Results")</f>
        <v/>
      </c>
    </row>
    <row r="117">
      <c r="A117" t="inlineStr">
        <is>
          <t>116</t>
        </is>
      </c>
      <c r="B117" t="inlineStr">
        <is>
          <t>Sonny D'souza</t>
        </is>
      </c>
      <c r="C117" t="inlineStr">
        <is>
          <t>London Dynamo</t>
        </is>
      </c>
      <c r="D117" t="inlineStr">
        <is>
          <t>20</t>
        </is>
      </c>
      <c r="E117">
        <f>HYPERLINK("https://www.britishcycling.org.uk/points?person_id=871752&amp;year=2022&amp;type=national&amp;d=6","Results")</f>
        <v/>
      </c>
    </row>
    <row r="118">
      <c r="A118" t="inlineStr">
        <is>
          <t>117</t>
        </is>
      </c>
      <c r="B118" t="inlineStr">
        <is>
          <t>Joshua Hemmings</t>
        </is>
      </c>
      <c r="C118" t="inlineStr">
        <is>
          <t>Verulam - reallymoving.com</t>
        </is>
      </c>
      <c r="D118" t="inlineStr">
        <is>
          <t>20</t>
        </is>
      </c>
      <c r="E118">
        <f>HYPERLINK("https://www.britishcycling.org.uk/points?person_id=948151&amp;year=2022&amp;type=national&amp;d=6","Results")</f>
        <v/>
      </c>
    </row>
    <row r="119">
      <c r="A119" t="inlineStr">
        <is>
          <t>118</t>
        </is>
      </c>
      <c r="B119" t="inlineStr">
        <is>
          <t>Adam Marsh</t>
        </is>
      </c>
      <c r="C119" t="inlineStr">
        <is>
          <t>Salt Ayre Cog Set</t>
        </is>
      </c>
      <c r="D119" t="inlineStr">
        <is>
          <t>20</t>
        </is>
      </c>
      <c r="E119">
        <f>HYPERLINK("https://www.britishcycling.org.uk/points?person_id=990528&amp;year=2022&amp;type=national&amp;d=6","Results")</f>
        <v/>
      </c>
    </row>
    <row r="120">
      <c r="A120" t="inlineStr">
        <is>
          <t>119</t>
        </is>
      </c>
      <c r="B120" t="inlineStr">
        <is>
          <t>Jake Speed</t>
        </is>
      </c>
      <c r="C120" t="inlineStr">
        <is>
          <t>The Cycling Academy</t>
        </is>
      </c>
      <c r="D120" t="inlineStr">
        <is>
          <t>20</t>
        </is>
      </c>
      <c r="E120">
        <f>HYPERLINK("https://www.britishcycling.org.uk/points?person_id=233308&amp;year=2022&amp;type=national&amp;d=6","Results")</f>
        <v/>
      </c>
    </row>
    <row r="121">
      <c r="A121" t="inlineStr">
        <is>
          <t>120</t>
        </is>
      </c>
      <c r="B121" t="inlineStr">
        <is>
          <t>Lewis Dey</t>
        </is>
      </c>
      <c r="C121" t="inlineStr">
        <is>
          <t>RT23</t>
        </is>
      </c>
      <c r="D121" t="inlineStr">
        <is>
          <t>19</t>
        </is>
      </c>
      <c r="E121">
        <f>HYPERLINK("https://www.britishcycling.org.uk/points?person_id=756132&amp;year=2022&amp;type=national&amp;d=6","Results")</f>
        <v/>
      </c>
    </row>
    <row r="122">
      <c r="A122" t="inlineStr">
        <is>
          <t>121</t>
        </is>
      </c>
      <c r="B122" t="inlineStr">
        <is>
          <t>Emil Howell</t>
        </is>
      </c>
      <c r="C122" t="inlineStr">
        <is>
          <t>Matlock CC</t>
        </is>
      </c>
      <c r="D122" t="inlineStr">
        <is>
          <t>19</t>
        </is>
      </c>
      <c r="E122">
        <f>HYPERLINK("https://www.britishcycling.org.uk/points?person_id=951329&amp;year=2022&amp;type=national&amp;d=6","Results")</f>
        <v/>
      </c>
    </row>
    <row r="123">
      <c r="A123" t="inlineStr">
        <is>
          <t>122</t>
        </is>
      </c>
      <c r="B123" t="inlineStr">
        <is>
          <t>Llion Rees-Jenkins</t>
        </is>
      </c>
      <c r="C123" t="inlineStr">
        <is>
          <t>Caffi Gruff</t>
        </is>
      </c>
      <c r="D123" t="inlineStr">
        <is>
          <t>18</t>
        </is>
      </c>
      <c r="E123">
        <f>HYPERLINK("https://www.britishcycling.org.uk/points?person_id=498169&amp;year=2022&amp;type=national&amp;d=6","Results")</f>
        <v/>
      </c>
    </row>
    <row r="124">
      <c r="A124" t="inlineStr">
        <is>
          <t>123</t>
        </is>
      </c>
      <c r="B124" t="inlineStr">
        <is>
          <t>Alasdair Baillie</t>
        </is>
      </c>
      <c r="C124" t="inlineStr">
        <is>
          <t>Spokes Racing Team</t>
        </is>
      </c>
      <c r="D124" t="inlineStr">
        <is>
          <t>17</t>
        </is>
      </c>
      <c r="E124">
        <f>HYPERLINK("https://www.britishcycling.org.uk/points?person_id=456616&amp;year=2022&amp;type=national&amp;d=6","Results")</f>
        <v/>
      </c>
    </row>
    <row r="125">
      <c r="A125" t="inlineStr">
        <is>
          <t>124</t>
        </is>
      </c>
      <c r="B125" t="inlineStr">
        <is>
          <t>Max Bufton</t>
        </is>
      </c>
      <c r="C125" t="inlineStr">
        <is>
          <t>Cero - Cycle Division Racing Team</t>
        </is>
      </c>
      <c r="D125" t="inlineStr">
        <is>
          <t>16</t>
        </is>
      </c>
      <c r="E125">
        <f>HYPERLINK("https://www.britishcycling.org.uk/points?person_id=291487&amp;year=2022&amp;type=national&amp;d=6","Results")</f>
        <v/>
      </c>
    </row>
    <row r="126">
      <c r="A126" t="inlineStr">
        <is>
          <t>125</t>
        </is>
      </c>
      <c r="B126" t="inlineStr">
        <is>
          <t>Kayden Davidson</t>
        </is>
      </c>
      <c r="C126" t="inlineStr">
        <is>
          <t>Team Andrew Allan Architecture</t>
        </is>
      </c>
      <c r="D126" t="inlineStr">
        <is>
          <t>16</t>
        </is>
      </c>
      <c r="E126">
        <f>HYPERLINK("https://www.britishcycling.org.uk/points?person_id=525779&amp;year=2022&amp;type=national&amp;d=6","Results")</f>
        <v/>
      </c>
    </row>
    <row r="127">
      <c r="A127" t="inlineStr">
        <is>
          <t>126</t>
        </is>
      </c>
      <c r="B127" t="inlineStr">
        <is>
          <t>Ahron Dick</t>
        </is>
      </c>
      <c r="C127" t="inlineStr">
        <is>
          <t>Edinburgh RC</t>
        </is>
      </c>
      <c r="D127" t="inlineStr">
        <is>
          <t>16</t>
        </is>
      </c>
      <c r="E127">
        <f>HYPERLINK("https://www.britishcycling.org.uk/points?person_id=671786&amp;year=2022&amp;type=national&amp;d=6","Results")</f>
        <v/>
      </c>
    </row>
    <row r="128">
      <c r="A128" t="inlineStr">
        <is>
          <t>127</t>
        </is>
      </c>
      <c r="B128" t="inlineStr">
        <is>
          <t>Cormac Nisbet</t>
        </is>
      </c>
      <c r="C128" t="inlineStr">
        <is>
          <t>High Wycombe Cycling Club</t>
        </is>
      </c>
      <c r="D128" t="inlineStr">
        <is>
          <t>16</t>
        </is>
      </c>
      <c r="E128">
        <f>HYPERLINK("https://www.britishcycling.org.uk/points?person_id=377987&amp;year=2022&amp;type=national&amp;d=6","Results")</f>
        <v/>
      </c>
    </row>
    <row r="129">
      <c r="A129" t="inlineStr">
        <is>
          <t>128</t>
        </is>
      </c>
      <c r="B129" t="inlineStr">
        <is>
          <t>Callum Prior</t>
        </is>
      </c>
      <c r="C129" t="inlineStr">
        <is>
          <t>Team Milton Keynes</t>
        </is>
      </c>
      <c r="D129" t="inlineStr">
        <is>
          <t>16</t>
        </is>
      </c>
      <c r="E129">
        <f>HYPERLINK("https://www.britishcycling.org.uk/points?person_id=818178&amp;year=2022&amp;type=national&amp;d=6","Results")</f>
        <v/>
      </c>
    </row>
    <row r="130">
      <c r="A130" t="inlineStr">
        <is>
          <t>129</t>
        </is>
      </c>
      <c r="B130" t="inlineStr">
        <is>
          <t>Jacques Goetz</t>
        </is>
      </c>
      <c r="C130" t="inlineStr">
        <is>
          <t>Otley CC</t>
        </is>
      </c>
      <c r="D130" t="inlineStr">
        <is>
          <t>15</t>
        </is>
      </c>
      <c r="E130">
        <f>HYPERLINK("https://www.britishcycling.org.uk/points?person_id=982194&amp;year=2022&amp;type=national&amp;d=6","Results")</f>
        <v/>
      </c>
    </row>
    <row r="131">
      <c r="A131" t="inlineStr">
        <is>
          <t>130</t>
        </is>
      </c>
      <c r="B131" t="inlineStr">
        <is>
          <t>Ellis Jackson</t>
        </is>
      </c>
      <c r="C131" t="inlineStr">
        <is>
          <t>Origin Race Team</t>
        </is>
      </c>
      <c r="D131" t="inlineStr">
        <is>
          <t>15</t>
        </is>
      </c>
      <c r="E131">
        <f>HYPERLINK("https://www.britishcycling.org.uk/points?person_id=330990&amp;year=2022&amp;type=national&amp;d=6","Results")</f>
        <v/>
      </c>
    </row>
    <row r="132">
      <c r="A132" t="inlineStr">
        <is>
          <t>131</t>
        </is>
      </c>
      <c r="B132" t="inlineStr">
        <is>
          <t>Matthew Jordan</t>
        </is>
      </c>
      <c r="C132" t="inlineStr">
        <is>
          <t>Solihull CC</t>
        </is>
      </c>
      <c r="D132" t="inlineStr">
        <is>
          <t>15</t>
        </is>
      </c>
      <c r="E132">
        <f>HYPERLINK("https://www.britishcycling.org.uk/points?person_id=520346&amp;year=2022&amp;type=national&amp;d=6","Results")</f>
        <v/>
      </c>
    </row>
    <row r="133">
      <c r="A133" t="inlineStr">
        <is>
          <t>132</t>
        </is>
      </c>
      <c r="B133" t="inlineStr">
        <is>
          <t>Joseph O'Brien</t>
        </is>
      </c>
      <c r="C133" t="inlineStr">
        <is>
          <t>Zappi Junior Race Team</t>
        </is>
      </c>
      <c r="D133" t="inlineStr">
        <is>
          <t>15</t>
        </is>
      </c>
      <c r="E133">
        <f>HYPERLINK("https://www.britishcycling.org.uk/points?person_id=236453&amp;year=2022&amp;type=national&amp;d=6","Results")</f>
        <v/>
      </c>
    </row>
    <row r="134">
      <c r="A134" t="inlineStr">
        <is>
          <t>133</t>
        </is>
      </c>
      <c r="B134" t="inlineStr">
        <is>
          <t>Frederick Barlow</t>
        </is>
      </c>
      <c r="C134" t="inlineStr">
        <is>
          <t>Shaftesbury CC</t>
        </is>
      </c>
      <c r="D134" t="inlineStr">
        <is>
          <t>14</t>
        </is>
      </c>
      <c r="E134">
        <f>HYPERLINK("https://www.britishcycling.org.uk/points?person_id=616875&amp;year=2022&amp;type=national&amp;d=6","Results")</f>
        <v/>
      </c>
    </row>
    <row r="135">
      <c r="A135" t="inlineStr">
        <is>
          <t>134</t>
        </is>
      </c>
      <c r="B135" t="inlineStr">
        <is>
          <t>George Mahon</t>
        </is>
      </c>
      <c r="C135" t="inlineStr">
        <is>
          <t>Poole Wheelers CC</t>
        </is>
      </c>
      <c r="D135" t="inlineStr">
        <is>
          <t>14</t>
        </is>
      </c>
      <c r="E135">
        <f>HYPERLINK("https://www.britishcycling.org.uk/points?person_id=979086&amp;year=2022&amp;type=national&amp;d=6","Results")</f>
        <v/>
      </c>
    </row>
    <row r="136">
      <c r="A136" t="inlineStr">
        <is>
          <t>135</t>
        </is>
      </c>
      <c r="B136" t="inlineStr">
        <is>
          <t>Charlie Thorpe</t>
        </is>
      </c>
      <c r="C136" t="inlineStr">
        <is>
          <t>RTD - J'sCycleShack</t>
        </is>
      </c>
      <c r="D136" t="inlineStr">
        <is>
          <t>14</t>
        </is>
      </c>
      <c r="E136">
        <f>HYPERLINK("https://www.britishcycling.org.uk/points?person_id=706680&amp;year=2022&amp;type=national&amp;d=6","Results")</f>
        <v/>
      </c>
    </row>
    <row r="137">
      <c r="A137" t="inlineStr">
        <is>
          <t>136</t>
        </is>
      </c>
      <c r="B137" t="inlineStr">
        <is>
          <t>John Appleby</t>
        </is>
      </c>
      <c r="C137" t="inlineStr">
        <is>
          <t>API-Metrow/Bodyby JR</t>
        </is>
      </c>
      <c r="D137" t="inlineStr">
        <is>
          <t>13</t>
        </is>
      </c>
      <c r="E137">
        <f>HYPERLINK("https://www.britishcycling.org.uk/points?person_id=382573&amp;year=2022&amp;type=national&amp;d=6","Results")</f>
        <v/>
      </c>
    </row>
    <row r="138">
      <c r="A138" t="inlineStr">
        <is>
          <t>137</t>
        </is>
      </c>
      <c r="B138" t="inlineStr">
        <is>
          <t>Rhys Griffin</t>
        </is>
      </c>
      <c r="C138" t="inlineStr">
        <is>
          <t>Cardiff JIF</t>
        </is>
      </c>
      <c r="D138" t="inlineStr">
        <is>
          <t>13</t>
        </is>
      </c>
      <c r="E138">
        <f>HYPERLINK("https://www.britishcycling.org.uk/points?person_id=237118&amp;year=2022&amp;type=national&amp;d=6","Results")</f>
        <v/>
      </c>
    </row>
    <row r="139">
      <c r="A139" t="inlineStr">
        <is>
          <t>138</t>
        </is>
      </c>
      <c r="B139" t="inlineStr">
        <is>
          <t>Callum Rushworth</t>
        </is>
      </c>
      <c r="C139" t="inlineStr">
        <is>
          <t>East Bradford CC</t>
        </is>
      </c>
      <c r="D139" t="inlineStr">
        <is>
          <t>13</t>
        </is>
      </c>
      <c r="E139">
        <f>HYPERLINK("https://www.britishcycling.org.uk/points?person_id=550311&amp;year=2022&amp;type=national&amp;d=6","Results")</f>
        <v/>
      </c>
    </row>
    <row r="140">
      <c r="A140" t="inlineStr">
        <is>
          <t>139</t>
        </is>
      </c>
      <c r="B140" t="inlineStr">
        <is>
          <t>Edward Selwood</t>
        </is>
      </c>
      <c r="C140" t="inlineStr">
        <is>
          <t>Mid Devon CC</t>
        </is>
      </c>
      <c r="D140" t="inlineStr">
        <is>
          <t>13</t>
        </is>
      </c>
      <c r="E140">
        <f>HYPERLINK("https://www.britishcycling.org.uk/points?person_id=183050&amp;year=2022&amp;type=national&amp;d=6","Results")</f>
        <v/>
      </c>
    </row>
    <row r="141">
      <c r="A141" t="inlineStr">
        <is>
          <t>140</t>
        </is>
      </c>
      <c r="B141" t="inlineStr">
        <is>
          <t>Daniel Bentley</t>
        </is>
      </c>
      <c r="C141" t="inlineStr">
        <is>
          <t>East Bradford CC</t>
        </is>
      </c>
      <c r="D141" t="inlineStr">
        <is>
          <t>12</t>
        </is>
      </c>
      <c r="E141">
        <f>HYPERLINK("https://www.britishcycling.org.uk/points?person_id=177662&amp;year=2022&amp;type=national&amp;d=6","Results")</f>
        <v/>
      </c>
    </row>
    <row r="142">
      <c r="A142" t="inlineStr">
        <is>
          <t>141</t>
        </is>
      </c>
      <c r="B142" t="inlineStr">
        <is>
          <t>Denholm Edwards</t>
        </is>
      </c>
      <c r="C142" t="inlineStr">
        <is>
          <t>Harrogate Nova CC</t>
        </is>
      </c>
      <c r="D142" t="inlineStr">
        <is>
          <t>12</t>
        </is>
      </c>
      <c r="E142">
        <f>HYPERLINK("https://www.britishcycling.org.uk/points?person_id=416881&amp;year=2022&amp;type=national&amp;d=6","Results")</f>
        <v/>
      </c>
    </row>
    <row r="143">
      <c r="A143" t="inlineStr">
        <is>
          <t>142</t>
        </is>
      </c>
      <c r="B143" t="inlineStr">
        <is>
          <t>William Gilbank</t>
        </is>
      </c>
      <c r="C143" t="inlineStr">
        <is>
          <t>Lee Valley Youth Cycling Club</t>
        </is>
      </c>
      <c r="D143" t="inlineStr">
        <is>
          <t>12</t>
        </is>
      </c>
      <c r="E143">
        <f>HYPERLINK("https://www.britishcycling.org.uk/points?person_id=761225&amp;year=2022&amp;type=national&amp;d=6","Results")</f>
        <v/>
      </c>
    </row>
    <row r="144">
      <c r="A144" t="inlineStr">
        <is>
          <t>143</t>
        </is>
      </c>
      <c r="B144" t="inlineStr">
        <is>
          <t>Archie Honeysett</t>
        </is>
      </c>
      <c r="C144" t="inlineStr">
        <is>
          <t>Salt Ayre Cog Set</t>
        </is>
      </c>
      <c r="D144" t="inlineStr">
        <is>
          <t>12</t>
        </is>
      </c>
      <c r="E144">
        <f>HYPERLINK("https://www.britishcycling.org.uk/points?person_id=326805&amp;year=2022&amp;type=national&amp;d=6","Results")</f>
        <v/>
      </c>
    </row>
    <row r="145">
      <c r="A145" t="inlineStr">
        <is>
          <t>144</t>
        </is>
      </c>
      <c r="B145" t="inlineStr">
        <is>
          <t>Noah Inman</t>
        </is>
      </c>
      <c r="C145" t="inlineStr">
        <is>
          <t>Ashfield RC</t>
        </is>
      </c>
      <c r="D145" t="inlineStr">
        <is>
          <t>12</t>
        </is>
      </c>
      <c r="E145">
        <f>HYPERLINK("https://www.britishcycling.org.uk/points?person_id=454908&amp;year=2022&amp;type=national&amp;d=6","Results")</f>
        <v/>
      </c>
    </row>
    <row r="146">
      <c r="A146" t="inlineStr">
        <is>
          <t>145</t>
        </is>
      </c>
      <c r="B146" t="inlineStr">
        <is>
          <t>Oscar Karta-Smith</t>
        </is>
      </c>
      <c r="C146" t="inlineStr">
        <is>
          <t>Colchester Rovers CC</t>
        </is>
      </c>
      <c r="D146" t="inlineStr">
        <is>
          <t>12</t>
        </is>
      </c>
      <c r="E146">
        <f>HYPERLINK("https://www.britishcycling.org.uk/points?person_id=860578&amp;year=2022&amp;type=national&amp;d=6","Results")</f>
        <v/>
      </c>
    </row>
    <row r="147">
      <c r="A147" t="inlineStr">
        <is>
          <t>146</t>
        </is>
      </c>
      <c r="B147" t="inlineStr">
        <is>
          <t>John O'Sullivan</t>
        </is>
      </c>
      <c r="C147" t="inlineStr">
        <is>
          <t>Cycle Club Ashwell (CCA)</t>
        </is>
      </c>
      <c r="D147" t="inlineStr">
        <is>
          <t>12</t>
        </is>
      </c>
      <c r="E147">
        <f>HYPERLINK("https://www.britishcycling.org.uk/points?person_id=891408&amp;year=2022&amp;type=national&amp;d=6","Results")</f>
        <v/>
      </c>
    </row>
    <row r="148">
      <c r="A148" t="inlineStr">
        <is>
          <t>147</t>
        </is>
      </c>
      <c r="B148" t="inlineStr">
        <is>
          <t>Joseph Turnbull</t>
        </is>
      </c>
      <c r="C148" t="inlineStr">
        <is>
          <t>Otley CC</t>
        </is>
      </c>
      <c r="D148" t="inlineStr">
        <is>
          <t>12</t>
        </is>
      </c>
      <c r="E148">
        <f>HYPERLINK("https://www.britishcycling.org.uk/points?person_id=204411&amp;year=2022&amp;type=national&amp;d=6","Results")</f>
        <v/>
      </c>
    </row>
    <row r="149">
      <c r="A149" t="inlineStr">
        <is>
          <t>148</t>
        </is>
      </c>
      <c r="B149" t="inlineStr">
        <is>
          <t>Joseph Chapman</t>
        </is>
      </c>
      <c r="C149" t="inlineStr">
        <is>
          <t>Bolsover &amp; District Cycling Club</t>
        </is>
      </c>
      <c r="D149" t="inlineStr">
        <is>
          <t>11</t>
        </is>
      </c>
      <c r="E149">
        <f>HYPERLINK("https://www.britishcycling.org.uk/points?person_id=655651&amp;year=2022&amp;type=national&amp;d=6","Results")</f>
        <v/>
      </c>
    </row>
    <row r="150">
      <c r="A150" t="inlineStr">
        <is>
          <t>149</t>
        </is>
      </c>
      <c r="B150" t="inlineStr">
        <is>
          <t>Toby Clayson</t>
        </is>
      </c>
      <c r="C150" t="inlineStr">
        <is>
          <t>VC Deal</t>
        </is>
      </c>
      <c r="D150" t="inlineStr">
        <is>
          <t>11</t>
        </is>
      </c>
      <c r="E150">
        <f>HYPERLINK("https://www.britishcycling.org.uk/points?person_id=431068&amp;year=2022&amp;type=national&amp;d=6","Results")</f>
        <v/>
      </c>
    </row>
    <row r="151">
      <c r="A151" t="inlineStr">
        <is>
          <t>150</t>
        </is>
      </c>
      <c r="B151" t="inlineStr">
        <is>
          <t>Daniel Lean</t>
        </is>
      </c>
      <c r="C151" t="inlineStr">
        <is>
          <t>Velo Club Venta</t>
        </is>
      </c>
      <c r="D151" t="inlineStr">
        <is>
          <t>11</t>
        </is>
      </c>
      <c r="E151">
        <f>HYPERLINK("https://www.britishcycling.org.uk/points?person_id=957455&amp;year=2022&amp;type=national&amp;d=6","Results")</f>
        <v/>
      </c>
    </row>
    <row r="152">
      <c r="A152" t="inlineStr">
        <is>
          <t>151</t>
        </is>
      </c>
      <c r="B152" t="inlineStr">
        <is>
          <t>Benjamin Livesey</t>
        </is>
      </c>
      <c r="C152" t="inlineStr">
        <is>
          <t>Cog Set Papyrus Racing Club</t>
        </is>
      </c>
      <c r="D152" t="inlineStr">
        <is>
          <t>11</t>
        </is>
      </c>
      <c r="E152">
        <f>HYPERLINK("https://www.britishcycling.org.uk/points?person_id=387309&amp;year=2022&amp;type=national&amp;d=6","Results")</f>
        <v/>
      </c>
    </row>
    <row r="153">
      <c r="A153" t="inlineStr">
        <is>
          <t>152</t>
        </is>
      </c>
      <c r="B153" t="inlineStr">
        <is>
          <t>Rory Maddocks</t>
        </is>
      </c>
      <c r="C153" t="inlineStr">
        <is>
          <t>Kinross CC</t>
        </is>
      </c>
      <c r="D153" t="inlineStr">
        <is>
          <t>11</t>
        </is>
      </c>
      <c r="E153">
        <f>HYPERLINK("https://www.britishcycling.org.uk/points?person_id=330561&amp;year=2022&amp;type=national&amp;d=6","Results")</f>
        <v/>
      </c>
    </row>
    <row r="154">
      <c r="A154" t="inlineStr">
        <is>
          <t>153</t>
        </is>
      </c>
      <c r="B154" t="inlineStr">
        <is>
          <t>Tom Pruett</t>
        </is>
      </c>
      <c r="C154" t="inlineStr">
        <is>
          <t>Welwyn Wheelers CC</t>
        </is>
      </c>
      <c r="D154" t="inlineStr">
        <is>
          <t>11</t>
        </is>
      </c>
      <c r="E154">
        <f>HYPERLINK("https://www.britishcycling.org.uk/points?person_id=751484&amp;year=2022&amp;type=national&amp;d=6","Results")</f>
        <v/>
      </c>
    </row>
    <row r="155">
      <c r="A155" t="inlineStr">
        <is>
          <t>154</t>
        </is>
      </c>
      <c r="B155" t="inlineStr">
        <is>
          <t>Sebastian Varley</t>
        </is>
      </c>
      <c r="C155" t="inlineStr">
        <is>
          <t>Derby Mercury RC</t>
        </is>
      </c>
      <c r="D155" t="inlineStr">
        <is>
          <t>11</t>
        </is>
      </c>
      <c r="E155">
        <f>HYPERLINK("https://www.britishcycling.org.uk/points?person_id=287620&amp;year=2022&amp;type=national&amp;d=6","Results")</f>
        <v/>
      </c>
    </row>
    <row r="156">
      <c r="A156" t="inlineStr">
        <is>
          <t>155</t>
        </is>
      </c>
      <c r="B156" t="inlineStr">
        <is>
          <t>Lucas Buksh</t>
        </is>
      </c>
      <c r="C156" t="inlineStr">
        <is>
          <t>Kettering CC</t>
        </is>
      </c>
      <c r="D156" t="inlineStr">
        <is>
          <t>10</t>
        </is>
      </c>
      <c r="E156">
        <f>HYPERLINK("https://www.britishcycling.org.uk/points?person_id=849111&amp;year=2022&amp;type=national&amp;d=6","Results")</f>
        <v/>
      </c>
    </row>
    <row r="157">
      <c r="A157" t="inlineStr">
        <is>
          <t>156</t>
        </is>
      </c>
      <c r="B157" t="inlineStr">
        <is>
          <t>Matthew Hitchings</t>
        </is>
      </c>
      <c r="C157" t="inlineStr">
        <is>
          <t>Cotswold Cycles RT</t>
        </is>
      </c>
      <c r="D157" t="inlineStr">
        <is>
          <t>10</t>
        </is>
      </c>
      <c r="E157">
        <f>HYPERLINK("https://www.britishcycling.org.uk/points?person_id=553488&amp;year=2022&amp;type=national&amp;d=6","Results")</f>
        <v/>
      </c>
    </row>
    <row r="158">
      <c r="A158" t="inlineStr">
        <is>
          <t>157</t>
        </is>
      </c>
      <c r="B158" t="inlineStr">
        <is>
          <t>Thomas Hocking</t>
        </is>
      </c>
      <c r="C158" t="inlineStr"/>
      <c r="D158" t="inlineStr">
        <is>
          <t>10</t>
        </is>
      </c>
      <c r="E158">
        <f>HYPERLINK("https://www.britishcycling.org.uk/points?person_id=1042161&amp;year=2022&amp;type=national&amp;d=6","Results")</f>
        <v/>
      </c>
    </row>
    <row r="159">
      <c r="A159" t="inlineStr">
        <is>
          <t>158</t>
        </is>
      </c>
      <c r="B159" t="inlineStr">
        <is>
          <t>Oliver Murphy</t>
        </is>
      </c>
      <c r="C159" t="inlineStr">
        <is>
          <t>ROTOR Race Team</t>
        </is>
      </c>
      <c r="D159" t="inlineStr">
        <is>
          <t>10</t>
        </is>
      </c>
      <c r="E159">
        <f>HYPERLINK("https://www.britishcycling.org.uk/points?person_id=407094&amp;year=2022&amp;type=national&amp;d=6","Results")</f>
        <v/>
      </c>
    </row>
    <row r="160">
      <c r="A160" t="inlineStr">
        <is>
          <t>159</t>
        </is>
      </c>
      <c r="B160" t="inlineStr">
        <is>
          <t>Iestyn Stephens</t>
        </is>
      </c>
      <c r="C160" t="inlineStr">
        <is>
          <t>West Wales Cycle Racing Team</t>
        </is>
      </c>
      <c r="D160" t="inlineStr">
        <is>
          <t>10</t>
        </is>
      </c>
      <c r="E160">
        <f>HYPERLINK("https://www.britishcycling.org.uk/points?person_id=1021349&amp;year=2022&amp;type=national&amp;d=6","Results")</f>
        <v/>
      </c>
    </row>
    <row r="161">
      <c r="A161" t="inlineStr">
        <is>
          <t>160</t>
        </is>
      </c>
      <c r="B161" t="inlineStr">
        <is>
          <t>Johan Thomsen</t>
        </is>
      </c>
      <c r="C161" t="inlineStr"/>
      <c r="D161" t="inlineStr">
        <is>
          <t>10</t>
        </is>
      </c>
      <c r="E161">
        <f>HYPERLINK("https://www.britishcycling.org.uk/points?person_id=851583&amp;year=2022&amp;type=national&amp;d=6","Results")</f>
        <v/>
      </c>
    </row>
    <row r="162">
      <c r="A162" t="inlineStr">
        <is>
          <t>161</t>
        </is>
      </c>
      <c r="B162" t="inlineStr">
        <is>
          <t>Connor Wilkinson</t>
        </is>
      </c>
      <c r="C162" t="inlineStr">
        <is>
          <t>Boston Whls CC</t>
        </is>
      </c>
      <c r="D162" t="inlineStr">
        <is>
          <t>10</t>
        </is>
      </c>
      <c r="E162">
        <f>HYPERLINK("https://www.britishcycling.org.uk/points?person_id=318352&amp;year=2022&amp;type=national&amp;d=6","Results")</f>
        <v/>
      </c>
    </row>
    <row r="163">
      <c r="A163" t="inlineStr">
        <is>
          <t>162</t>
        </is>
      </c>
      <c r="B163" t="inlineStr">
        <is>
          <t>Luke Goodwill</t>
        </is>
      </c>
      <c r="C163" t="inlineStr">
        <is>
          <t>VC Londres</t>
        </is>
      </c>
      <c r="D163" t="inlineStr">
        <is>
          <t>9</t>
        </is>
      </c>
      <c r="E163">
        <f>HYPERLINK("https://www.britishcycling.org.uk/points?person_id=297438&amp;year=2022&amp;type=national&amp;d=6","Results")</f>
        <v/>
      </c>
    </row>
    <row r="164">
      <c r="A164" t="inlineStr">
        <is>
          <t>163</t>
        </is>
      </c>
      <c r="B164" t="inlineStr">
        <is>
          <t>Louie Harris</t>
        </is>
      </c>
      <c r="C164" t="inlineStr">
        <is>
          <t>VC Deal</t>
        </is>
      </c>
      <c r="D164" t="inlineStr">
        <is>
          <t>9</t>
        </is>
      </c>
      <c r="E164">
        <f>HYPERLINK("https://www.britishcycling.org.uk/points?person_id=418535&amp;year=2022&amp;type=national&amp;d=6","Results")</f>
        <v/>
      </c>
    </row>
    <row r="165">
      <c r="A165" t="inlineStr">
        <is>
          <t>164</t>
        </is>
      </c>
      <c r="B165" t="inlineStr">
        <is>
          <t>Ciaran Lally</t>
        </is>
      </c>
      <c r="C165" t="inlineStr">
        <is>
          <t>Reifen Racing</t>
        </is>
      </c>
      <c r="D165" t="inlineStr">
        <is>
          <t>9</t>
        </is>
      </c>
      <c r="E165">
        <f>HYPERLINK("https://www.britishcycling.org.uk/points?person_id=338418&amp;year=2022&amp;type=national&amp;d=6","Results")</f>
        <v/>
      </c>
    </row>
    <row r="166">
      <c r="A166" t="inlineStr">
        <is>
          <t>165</t>
        </is>
      </c>
      <c r="B166" t="inlineStr">
        <is>
          <t>Luke Mahoney</t>
        </is>
      </c>
      <c r="C166" t="inlineStr">
        <is>
          <t>North Devon Velo</t>
        </is>
      </c>
      <c r="D166" t="inlineStr">
        <is>
          <t>9</t>
        </is>
      </c>
      <c r="E166">
        <f>HYPERLINK("https://www.britishcycling.org.uk/points?person_id=621530&amp;year=2022&amp;type=national&amp;d=6","Results")</f>
        <v/>
      </c>
    </row>
    <row r="167">
      <c r="A167" t="inlineStr">
        <is>
          <t>166</t>
        </is>
      </c>
      <c r="B167" t="inlineStr">
        <is>
          <t>Arran Robinson</t>
        </is>
      </c>
      <c r="C167" t="inlineStr">
        <is>
          <t>Hetton Hawks Cycling Club</t>
        </is>
      </c>
      <c r="D167" t="inlineStr">
        <is>
          <t>9</t>
        </is>
      </c>
      <c r="E167">
        <f>HYPERLINK("https://www.britishcycling.org.uk/points?person_id=402641&amp;year=2022&amp;type=national&amp;d=6","Results")</f>
        <v/>
      </c>
    </row>
    <row r="168">
      <c r="A168" t="inlineStr">
        <is>
          <t>167</t>
        </is>
      </c>
      <c r="B168" t="inlineStr">
        <is>
          <t>Rhys Thomas</t>
        </is>
      </c>
      <c r="C168" t="inlineStr">
        <is>
          <t>Backstedt Bike Performance JRT</t>
        </is>
      </c>
      <c r="D168" t="inlineStr">
        <is>
          <t>9</t>
        </is>
      </c>
      <c r="E168">
        <f>HYPERLINK("https://www.britishcycling.org.uk/points?person_id=374390&amp;year=2022&amp;type=national&amp;d=6","Results")</f>
        <v/>
      </c>
    </row>
    <row r="169">
      <c r="A169" t="inlineStr">
        <is>
          <t>168</t>
        </is>
      </c>
      <c r="B169" t="inlineStr">
        <is>
          <t>Matthew Calvert</t>
        </is>
      </c>
      <c r="C169" t="inlineStr">
        <is>
          <t>Matlock CC</t>
        </is>
      </c>
      <c r="D169" t="inlineStr">
        <is>
          <t>8</t>
        </is>
      </c>
      <c r="E169">
        <f>HYPERLINK("https://www.britishcycling.org.uk/points?person_id=842384&amp;year=2022&amp;type=national&amp;d=6","Results")</f>
        <v/>
      </c>
    </row>
    <row r="170">
      <c r="A170" t="inlineStr">
        <is>
          <t>169</t>
        </is>
      </c>
      <c r="B170" t="inlineStr">
        <is>
          <t>Tyler Clare</t>
        </is>
      </c>
      <c r="C170" t="inlineStr">
        <is>
          <t>Inverness Cycle Club</t>
        </is>
      </c>
      <c r="D170" t="inlineStr">
        <is>
          <t>8</t>
        </is>
      </c>
      <c r="E170">
        <f>HYPERLINK("https://www.britishcycling.org.uk/points?person_id=1019548&amp;year=2022&amp;type=national&amp;d=6","Results")</f>
        <v/>
      </c>
    </row>
    <row r="171">
      <c r="A171" t="inlineStr">
        <is>
          <t>170</t>
        </is>
      </c>
      <c r="B171" t="inlineStr">
        <is>
          <t>Joshua Tate</t>
        </is>
      </c>
      <c r="C171" t="inlineStr">
        <is>
          <t>Southborough &amp; District Whls</t>
        </is>
      </c>
      <c r="D171" t="inlineStr">
        <is>
          <t>8</t>
        </is>
      </c>
      <c r="E171">
        <f>HYPERLINK("https://www.britishcycling.org.uk/points?person_id=1027264&amp;year=2022&amp;type=national&amp;d=6","Results")</f>
        <v/>
      </c>
    </row>
    <row r="172">
      <c r="A172" t="inlineStr">
        <is>
          <t>171</t>
        </is>
      </c>
      <c r="B172" t="inlineStr">
        <is>
          <t>Thomas Hepton</t>
        </is>
      </c>
      <c r="C172" t="inlineStr">
        <is>
          <t>Paul Milnes - Bradford Olympic RC</t>
        </is>
      </c>
      <c r="D172" t="inlineStr">
        <is>
          <t>7</t>
        </is>
      </c>
      <c r="E172">
        <f>HYPERLINK("https://www.britishcycling.org.uk/points?person_id=453615&amp;year=2022&amp;type=national&amp;d=6","Results")</f>
        <v/>
      </c>
    </row>
    <row r="173">
      <c r="A173" t="inlineStr">
        <is>
          <t>172</t>
        </is>
      </c>
      <c r="B173" t="inlineStr">
        <is>
          <t>Tom Hyde</t>
        </is>
      </c>
      <c r="C173" t="inlineStr">
        <is>
          <t>Newport Shropshire CC</t>
        </is>
      </c>
      <c r="D173" t="inlineStr">
        <is>
          <t>7</t>
        </is>
      </c>
      <c r="E173">
        <f>HYPERLINK("https://www.britishcycling.org.uk/points?person_id=570842&amp;year=2022&amp;type=national&amp;d=6","Results")</f>
        <v/>
      </c>
    </row>
    <row r="174">
      <c r="A174" t="inlineStr">
        <is>
          <t>173</t>
        </is>
      </c>
      <c r="B174" t="inlineStr">
        <is>
          <t>Toby Manning</t>
        </is>
      </c>
      <c r="C174" t="inlineStr">
        <is>
          <t>VC Deal</t>
        </is>
      </c>
      <c r="D174" t="inlineStr">
        <is>
          <t>7</t>
        </is>
      </c>
      <c r="E174">
        <f>HYPERLINK("https://www.britishcycling.org.uk/points?person_id=374210&amp;year=2022&amp;type=national&amp;d=6","Results")</f>
        <v/>
      </c>
    </row>
    <row r="175">
      <c r="A175" t="inlineStr">
        <is>
          <t>174</t>
        </is>
      </c>
      <c r="B175" t="inlineStr">
        <is>
          <t>Calum Moir</t>
        </is>
      </c>
      <c r="C175" t="inlineStr">
        <is>
          <t>Zappi Junior Race Team</t>
        </is>
      </c>
      <c r="D175" t="inlineStr">
        <is>
          <t>7</t>
        </is>
      </c>
      <c r="E175">
        <f>HYPERLINK("https://www.britishcycling.org.uk/points?person_id=255500&amp;year=2022&amp;type=national&amp;d=6","Results")</f>
        <v/>
      </c>
    </row>
    <row r="176">
      <c r="A176" t="inlineStr">
        <is>
          <t>175</t>
        </is>
      </c>
      <c r="B176" t="inlineStr">
        <is>
          <t>Alasdair Ray</t>
        </is>
      </c>
      <c r="C176" t="inlineStr">
        <is>
          <t>West Lothian Clarion CC</t>
        </is>
      </c>
      <c r="D176" t="inlineStr">
        <is>
          <t>7</t>
        </is>
      </c>
      <c r="E176">
        <f>HYPERLINK("https://www.britishcycling.org.uk/points?person_id=948455&amp;year=2022&amp;type=national&amp;d=6","Results")</f>
        <v/>
      </c>
    </row>
    <row r="177">
      <c r="A177" t="inlineStr">
        <is>
          <t>176</t>
        </is>
      </c>
      <c r="B177" t="inlineStr">
        <is>
          <t>Cody Lee</t>
        </is>
      </c>
      <c r="C177" t="inlineStr">
        <is>
          <t>Hetton Hawks Cycling Club</t>
        </is>
      </c>
      <c r="D177" t="inlineStr">
        <is>
          <t>6</t>
        </is>
      </c>
      <c r="E177">
        <f>HYPERLINK("https://www.britishcycling.org.uk/points?person_id=320148&amp;year=2022&amp;type=national&amp;d=6","Results")</f>
        <v/>
      </c>
    </row>
    <row r="178">
      <c r="A178" t="inlineStr">
        <is>
          <t>177</t>
        </is>
      </c>
      <c r="B178" t="inlineStr">
        <is>
          <t>Thomas Munn</t>
        </is>
      </c>
      <c r="C178" t="inlineStr">
        <is>
          <t>Avid Sport</t>
        </is>
      </c>
      <c r="D178" t="inlineStr">
        <is>
          <t>6</t>
        </is>
      </c>
      <c r="E178">
        <f>HYPERLINK("https://www.britishcycling.org.uk/points?person_id=983985&amp;year=2022&amp;type=national&amp;d=6","Results")</f>
        <v/>
      </c>
    </row>
    <row r="179">
      <c r="A179" t="inlineStr">
        <is>
          <t>178</t>
        </is>
      </c>
      <c r="B179" t="inlineStr">
        <is>
          <t>Alexander Rabaiotti</t>
        </is>
      </c>
      <c r="C179" t="inlineStr">
        <is>
          <t>Maindy Flyers CC</t>
        </is>
      </c>
      <c r="D179" t="inlineStr">
        <is>
          <t>6</t>
        </is>
      </c>
      <c r="E179">
        <f>HYPERLINK("https://www.britishcycling.org.uk/points?person_id=539946&amp;year=2022&amp;type=national&amp;d=6","Results")</f>
        <v/>
      </c>
    </row>
    <row r="180">
      <c r="A180" t="inlineStr">
        <is>
          <t>179</t>
        </is>
      </c>
      <c r="B180" t="inlineStr">
        <is>
          <t>Bobby Buenfeld</t>
        </is>
      </c>
      <c r="C180" t="inlineStr">
        <is>
          <t>Velo Club Venta</t>
        </is>
      </c>
      <c r="D180" t="inlineStr">
        <is>
          <t>5</t>
        </is>
      </c>
      <c r="E180">
        <f>HYPERLINK("https://www.britishcycling.org.uk/points?person_id=378863&amp;year=2022&amp;type=national&amp;d=6","Results")</f>
        <v/>
      </c>
    </row>
    <row r="181">
      <c r="A181" t="inlineStr">
        <is>
          <t>180</t>
        </is>
      </c>
      <c r="B181" t="inlineStr">
        <is>
          <t>Chris King</t>
        </is>
      </c>
      <c r="C181" t="inlineStr">
        <is>
          <t>Lee Valley Youth Cycling Club</t>
        </is>
      </c>
      <c r="D181" t="inlineStr">
        <is>
          <t>5</t>
        </is>
      </c>
      <c r="E181">
        <f>HYPERLINK("https://www.britishcycling.org.uk/points?person_id=1029876&amp;year=2022&amp;type=national&amp;d=6","Results")</f>
        <v/>
      </c>
    </row>
    <row r="182">
      <c r="A182" t="inlineStr">
        <is>
          <t>181</t>
        </is>
      </c>
      <c r="B182" t="inlineStr">
        <is>
          <t>Oliver Masters</t>
        </is>
      </c>
      <c r="C182" t="inlineStr">
        <is>
          <t>Southborough &amp; District Whls</t>
        </is>
      </c>
      <c r="D182" t="inlineStr">
        <is>
          <t>5</t>
        </is>
      </c>
      <c r="E182">
        <f>HYPERLINK("https://www.britishcycling.org.uk/points?person_id=1003635&amp;year=2022&amp;type=national&amp;d=6","Results")</f>
        <v/>
      </c>
    </row>
    <row r="183">
      <c r="A183" t="inlineStr">
        <is>
          <t>182</t>
        </is>
      </c>
      <c r="B183" t="inlineStr">
        <is>
          <t>Daniel Backhouse</t>
        </is>
      </c>
      <c r="C183" t="inlineStr">
        <is>
          <t>Lincoln Wheelers CC</t>
        </is>
      </c>
      <c r="D183" t="inlineStr">
        <is>
          <t>4</t>
        </is>
      </c>
      <c r="E183">
        <f>HYPERLINK("https://www.britishcycling.org.uk/points?person_id=404269&amp;year=2022&amp;type=national&amp;d=6","Results")</f>
        <v/>
      </c>
    </row>
    <row r="184">
      <c r="A184" t="inlineStr">
        <is>
          <t>183</t>
        </is>
      </c>
      <c r="B184" t="inlineStr">
        <is>
          <t>Luke Brumpton</t>
        </is>
      </c>
      <c r="C184" t="inlineStr">
        <is>
          <t>NEL Lindsey Go-Ride</t>
        </is>
      </c>
      <c r="D184" t="inlineStr">
        <is>
          <t>4</t>
        </is>
      </c>
      <c r="E184">
        <f>HYPERLINK("https://www.britishcycling.org.uk/points?person_id=359548&amp;year=2022&amp;type=national&amp;d=6","Results")</f>
        <v/>
      </c>
    </row>
    <row r="185">
      <c r="A185" t="inlineStr">
        <is>
          <t>184</t>
        </is>
      </c>
      <c r="B185" t="inlineStr">
        <is>
          <t>Alfred Bunyan</t>
        </is>
      </c>
      <c r="C185" t="inlineStr">
        <is>
          <t>Preston Park Youth CC (PPYCC)</t>
        </is>
      </c>
      <c r="D185" t="inlineStr">
        <is>
          <t>4</t>
        </is>
      </c>
      <c r="E185">
        <f>HYPERLINK("https://www.britishcycling.org.uk/points?person_id=452656&amp;year=2022&amp;type=national&amp;d=6","Results")</f>
        <v/>
      </c>
    </row>
    <row r="186">
      <c r="A186" t="inlineStr">
        <is>
          <t>185</t>
        </is>
      </c>
      <c r="B186" t="inlineStr">
        <is>
          <t>Ruben Kane</t>
        </is>
      </c>
      <c r="C186" t="inlineStr">
        <is>
          <t>Hub Vélo</t>
        </is>
      </c>
      <c r="D186" t="inlineStr">
        <is>
          <t>4</t>
        </is>
      </c>
      <c r="E186">
        <f>HYPERLINK("https://www.britishcycling.org.uk/points?person_id=306080&amp;year=2022&amp;type=national&amp;d=6","Results")</f>
        <v/>
      </c>
    </row>
    <row r="187">
      <c r="A187" t="inlineStr">
        <is>
          <t>186</t>
        </is>
      </c>
      <c r="B187" t="inlineStr">
        <is>
          <t>Benjamin Kennedy</t>
        </is>
      </c>
      <c r="C187" t="inlineStr">
        <is>
          <t>Spokes Racing Team</t>
        </is>
      </c>
      <c r="D187" t="inlineStr">
        <is>
          <t>4</t>
        </is>
      </c>
      <c r="E187">
        <f>HYPERLINK("https://www.britishcycling.org.uk/points?person_id=570232&amp;year=2022&amp;type=national&amp;d=6","Results")</f>
        <v/>
      </c>
    </row>
    <row r="188">
      <c r="A188" t="inlineStr">
        <is>
          <t>187</t>
        </is>
      </c>
      <c r="B188" t="inlineStr">
        <is>
          <t>Felix Skelton</t>
        </is>
      </c>
      <c r="C188" t="inlineStr">
        <is>
          <t>Avid Sport</t>
        </is>
      </c>
      <c r="D188" t="inlineStr">
        <is>
          <t>4</t>
        </is>
      </c>
      <c r="E188">
        <f>HYPERLINK("https://www.britishcycling.org.uk/points?person_id=1009252&amp;year=2022&amp;type=national&amp;d=6","Results")</f>
        <v/>
      </c>
    </row>
    <row r="189">
      <c r="A189" t="inlineStr">
        <is>
          <t>188</t>
        </is>
      </c>
      <c r="B189" t="inlineStr">
        <is>
          <t>Sam Talent</t>
        </is>
      </c>
      <c r="C189" t="inlineStr">
        <is>
          <t>Velo Club Venta</t>
        </is>
      </c>
      <c r="D189" t="inlineStr">
        <is>
          <t>4</t>
        </is>
      </c>
      <c r="E189">
        <f>HYPERLINK("https://www.britishcycling.org.uk/points?person_id=422866&amp;year=2022&amp;type=national&amp;d=6","Results")</f>
        <v/>
      </c>
    </row>
    <row r="190">
      <c r="A190" t="inlineStr">
        <is>
          <t>189</t>
        </is>
      </c>
      <c r="B190" t="inlineStr">
        <is>
          <t>Jacob Wood</t>
        </is>
      </c>
      <c r="C190" t="inlineStr">
        <is>
          <t>St Ives CC</t>
        </is>
      </c>
      <c r="D190" t="inlineStr">
        <is>
          <t>4</t>
        </is>
      </c>
      <c r="E190">
        <f>HYPERLINK("https://www.britishcycling.org.uk/points?person_id=493399&amp;year=2022&amp;type=national&amp;d=6","Results")</f>
        <v/>
      </c>
    </row>
    <row r="191">
      <c r="A191" t="inlineStr">
        <is>
          <t>190</t>
        </is>
      </c>
      <c r="B191" t="inlineStr">
        <is>
          <t>Ben Allan</t>
        </is>
      </c>
      <c r="C191" t="inlineStr">
        <is>
          <t>Peebles CC</t>
        </is>
      </c>
      <c r="D191" t="inlineStr">
        <is>
          <t>3</t>
        </is>
      </c>
      <c r="E191">
        <f>HYPERLINK("https://www.britishcycling.org.uk/points?person_id=340737&amp;year=2022&amp;type=national&amp;d=6","Results")</f>
        <v/>
      </c>
    </row>
    <row r="192">
      <c r="A192" t="inlineStr">
        <is>
          <t>191</t>
        </is>
      </c>
      <c r="B192" t="inlineStr">
        <is>
          <t>Isaac Barton</t>
        </is>
      </c>
      <c r="C192" t="inlineStr">
        <is>
          <t>Ely &amp; District CC</t>
        </is>
      </c>
      <c r="D192" t="inlineStr">
        <is>
          <t>3</t>
        </is>
      </c>
      <c r="E192">
        <f>HYPERLINK("https://www.britishcycling.org.uk/points?person_id=538172&amp;year=2022&amp;type=national&amp;d=6","Results")</f>
        <v/>
      </c>
    </row>
    <row r="193">
      <c r="A193" t="inlineStr">
        <is>
          <t>192</t>
        </is>
      </c>
      <c r="B193" t="inlineStr">
        <is>
          <t>Noah Breslin</t>
        </is>
      </c>
      <c r="C193" t="inlineStr">
        <is>
          <t>Dartmoor Velo</t>
        </is>
      </c>
      <c r="D193" t="inlineStr">
        <is>
          <t>3</t>
        </is>
      </c>
      <c r="E193">
        <f>HYPERLINK("https://www.britishcycling.org.uk/points?person_id=830772&amp;year=2022&amp;type=national&amp;d=6","Results")</f>
        <v/>
      </c>
    </row>
    <row r="194">
      <c r="A194" t="inlineStr">
        <is>
          <t>193</t>
        </is>
      </c>
      <c r="B194" t="inlineStr">
        <is>
          <t>Thomas Cowan</t>
        </is>
      </c>
      <c r="C194" t="inlineStr">
        <is>
          <t>Derwentside CC</t>
        </is>
      </c>
      <c r="D194" t="inlineStr">
        <is>
          <t>3</t>
        </is>
      </c>
      <c r="E194">
        <f>HYPERLINK("https://www.britishcycling.org.uk/points?person_id=1087705&amp;year=2022&amp;type=national&amp;d=6","Results")</f>
        <v/>
      </c>
    </row>
    <row r="195">
      <c r="A195" t="inlineStr">
        <is>
          <t>194</t>
        </is>
      </c>
      <c r="B195" t="inlineStr">
        <is>
          <t>Thomas Dixon</t>
        </is>
      </c>
      <c r="C195" t="inlineStr">
        <is>
          <t>Welland Valley CC</t>
        </is>
      </c>
      <c r="D195" t="inlineStr">
        <is>
          <t>3</t>
        </is>
      </c>
      <c r="E195">
        <f>HYPERLINK("https://www.britishcycling.org.uk/points?person_id=116914&amp;year=2022&amp;type=national&amp;d=6","Results")</f>
        <v/>
      </c>
    </row>
    <row r="196">
      <c r="A196" t="inlineStr">
        <is>
          <t>195</t>
        </is>
      </c>
      <c r="B196" t="inlineStr">
        <is>
          <t>Jean-Christophe Goetz</t>
        </is>
      </c>
      <c r="C196" t="inlineStr">
        <is>
          <t>East Bradford CC</t>
        </is>
      </c>
      <c r="D196" t="inlineStr">
        <is>
          <t>3</t>
        </is>
      </c>
      <c r="E196">
        <f>HYPERLINK("https://www.britishcycling.org.uk/points?person_id=1011876&amp;year=2022&amp;type=national&amp;d=6","Results")</f>
        <v/>
      </c>
    </row>
    <row r="197">
      <c r="A197" t="inlineStr">
        <is>
          <t>196</t>
        </is>
      </c>
      <c r="B197" t="inlineStr">
        <is>
          <t>Gil Grayson</t>
        </is>
      </c>
      <c r="C197" t="inlineStr">
        <is>
          <t>Tuxford Clarion CC</t>
        </is>
      </c>
      <c r="D197" t="inlineStr">
        <is>
          <t>3</t>
        </is>
      </c>
      <c r="E197">
        <f>HYPERLINK("https://www.britishcycling.org.uk/points?person_id=991981&amp;year=2022&amp;type=national&amp;d=6","Results")</f>
        <v/>
      </c>
    </row>
    <row r="198">
      <c r="A198" t="inlineStr">
        <is>
          <t>197</t>
        </is>
      </c>
      <c r="B198" t="inlineStr">
        <is>
          <t>George Juckes</t>
        </is>
      </c>
      <c r="C198" t="inlineStr">
        <is>
          <t>Cambridge CC</t>
        </is>
      </c>
      <c r="D198" t="inlineStr">
        <is>
          <t>3</t>
        </is>
      </c>
      <c r="E198">
        <f>HYPERLINK("https://www.britishcycling.org.uk/points?person_id=946761&amp;year=2022&amp;type=national&amp;d=6","Results")</f>
        <v/>
      </c>
    </row>
    <row r="199">
      <c r="A199" t="inlineStr">
        <is>
          <t>198</t>
        </is>
      </c>
      <c r="B199" t="inlineStr">
        <is>
          <t>Charlie Neece</t>
        </is>
      </c>
      <c r="C199" t="inlineStr">
        <is>
          <t>Nottingham Clarion CC</t>
        </is>
      </c>
      <c r="D199" t="inlineStr">
        <is>
          <t>3</t>
        </is>
      </c>
      <c r="E199">
        <f>HYPERLINK("https://www.britishcycling.org.uk/points?person_id=445581&amp;year=2022&amp;type=national&amp;d=6","Results")</f>
        <v/>
      </c>
    </row>
    <row r="200">
      <c r="A200" t="inlineStr">
        <is>
          <t>199</t>
        </is>
      </c>
      <c r="B200" t="inlineStr">
        <is>
          <t>Thomas Prince</t>
        </is>
      </c>
      <c r="C200" t="inlineStr">
        <is>
          <t>Ilkeston Cycle Club</t>
        </is>
      </c>
      <c r="D200" t="inlineStr">
        <is>
          <t>3</t>
        </is>
      </c>
      <c r="E200">
        <f>HYPERLINK("https://www.britishcycling.org.uk/points?person_id=276793&amp;year=2022&amp;type=national&amp;d=6","Results")</f>
        <v/>
      </c>
    </row>
    <row r="201">
      <c r="A201" t="inlineStr">
        <is>
          <t>200</t>
        </is>
      </c>
      <c r="B201" t="inlineStr">
        <is>
          <t>Ben Southgate</t>
        </is>
      </c>
      <c r="C201" t="inlineStr">
        <is>
          <t>Wrekinsport CC</t>
        </is>
      </c>
      <c r="D201" t="inlineStr">
        <is>
          <t>3</t>
        </is>
      </c>
      <c r="E201">
        <f>HYPERLINK("https://www.britishcycling.org.uk/points?person_id=1091149&amp;year=2022&amp;type=national&amp;d=6","Results")</f>
        <v/>
      </c>
    </row>
    <row r="202">
      <c r="A202" t="inlineStr">
        <is>
          <t>201</t>
        </is>
      </c>
      <c r="B202" t="inlineStr">
        <is>
          <t>Joseph Tate</t>
        </is>
      </c>
      <c r="C202" t="inlineStr">
        <is>
          <t>Macclesfield Wheelers</t>
        </is>
      </c>
      <c r="D202" t="inlineStr">
        <is>
          <t>3</t>
        </is>
      </c>
      <c r="E202">
        <f>HYPERLINK("https://www.britishcycling.org.uk/points?person_id=292684&amp;year=2022&amp;type=national&amp;d=6","Results")</f>
        <v/>
      </c>
    </row>
    <row r="203">
      <c r="A203" t="inlineStr">
        <is>
          <t>202</t>
        </is>
      </c>
      <c r="B203" t="inlineStr">
        <is>
          <t>Jack Alexander</t>
        </is>
      </c>
      <c r="C203" t="inlineStr">
        <is>
          <t>Solihull CC</t>
        </is>
      </c>
      <c r="D203" t="inlineStr">
        <is>
          <t>2</t>
        </is>
      </c>
      <c r="E203">
        <f>HYPERLINK("https://www.britishcycling.org.uk/points?person_id=198320&amp;year=2022&amp;type=national&amp;d=6","Results")</f>
        <v/>
      </c>
    </row>
    <row r="204">
      <c r="A204" t="inlineStr">
        <is>
          <t>203</t>
        </is>
      </c>
      <c r="B204" t="inlineStr">
        <is>
          <t>Joe Dixon</t>
        </is>
      </c>
      <c r="C204" t="inlineStr">
        <is>
          <t>Velo Culture</t>
        </is>
      </c>
      <c r="D204" t="inlineStr">
        <is>
          <t>2</t>
        </is>
      </c>
      <c r="E204">
        <f>HYPERLINK("https://www.britishcycling.org.uk/points?person_id=388717&amp;year=2022&amp;type=national&amp;d=6","Results")</f>
        <v/>
      </c>
    </row>
    <row r="205">
      <c r="A205" t="inlineStr">
        <is>
          <t>204</t>
        </is>
      </c>
      <c r="B205" t="inlineStr">
        <is>
          <t>Oliver Doherty</t>
        </is>
      </c>
      <c r="C205" t="inlineStr">
        <is>
          <t>Lee Velo (South East London)</t>
        </is>
      </c>
      <c r="D205" t="inlineStr">
        <is>
          <t>2</t>
        </is>
      </c>
      <c r="E205">
        <f>HYPERLINK("https://www.britishcycling.org.uk/points?person_id=1092132&amp;year=2022&amp;type=national&amp;d=6","Results")</f>
        <v/>
      </c>
    </row>
    <row r="206">
      <c r="A206" t="inlineStr">
        <is>
          <t>205</t>
        </is>
      </c>
      <c r="B206" t="inlineStr">
        <is>
          <t>Ben Gibson</t>
        </is>
      </c>
      <c r="C206" t="inlineStr">
        <is>
          <t>Royal Albert CC</t>
        </is>
      </c>
      <c r="D206" t="inlineStr">
        <is>
          <t>2</t>
        </is>
      </c>
      <c r="E206">
        <f>HYPERLINK("https://www.britishcycling.org.uk/points?person_id=782774&amp;year=2022&amp;type=national&amp;d=6","Results")</f>
        <v/>
      </c>
    </row>
    <row r="207">
      <c r="A207" t="inlineStr">
        <is>
          <t>206</t>
        </is>
      </c>
      <c r="B207" t="inlineStr">
        <is>
          <t>Kaleb Herbert</t>
        </is>
      </c>
      <c r="C207" t="inlineStr">
        <is>
          <t>Wyre Forest CRC</t>
        </is>
      </c>
      <c r="D207" t="inlineStr">
        <is>
          <t>2</t>
        </is>
      </c>
      <c r="E207">
        <f>HYPERLINK("https://www.britishcycling.org.uk/points?person_id=986485&amp;year=2022&amp;type=national&amp;d=6","Results")</f>
        <v/>
      </c>
    </row>
    <row r="208">
      <c r="A208" t="inlineStr">
        <is>
          <t>207</t>
        </is>
      </c>
      <c r="B208" t="inlineStr">
        <is>
          <t>Isaak Herbert</t>
        </is>
      </c>
      <c r="C208" t="inlineStr">
        <is>
          <t>Wyre Forest CRC</t>
        </is>
      </c>
      <c r="D208" t="inlineStr">
        <is>
          <t>2</t>
        </is>
      </c>
      <c r="E208">
        <f>HYPERLINK("https://www.britishcycling.org.uk/points?person_id=978413&amp;year=2022&amp;type=national&amp;d=6","Results")</f>
        <v/>
      </c>
    </row>
    <row r="209">
      <c r="A209" t="inlineStr">
        <is>
          <t>208</t>
        </is>
      </c>
      <c r="B209" t="inlineStr">
        <is>
          <t>Alexander Keary</t>
        </is>
      </c>
      <c r="C209" t="inlineStr">
        <is>
          <t>Palmer Park Velo RT</t>
        </is>
      </c>
      <c r="D209" t="inlineStr">
        <is>
          <t>2</t>
        </is>
      </c>
      <c r="E209">
        <f>HYPERLINK("https://www.britishcycling.org.uk/points?person_id=406128&amp;year=2022&amp;type=national&amp;d=6","Results")</f>
        <v/>
      </c>
    </row>
    <row r="210">
      <c r="A210" t="inlineStr">
        <is>
          <t>209</t>
        </is>
      </c>
      <c r="B210" t="inlineStr">
        <is>
          <t>Mieszko Lichtarowicz</t>
        </is>
      </c>
      <c r="C210" t="inlineStr">
        <is>
          <t>Clifton CC</t>
        </is>
      </c>
      <c r="D210" t="inlineStr">
        <is>
          <t>2</t>
        </is>
      </c>
      <c r="E210">
        <f>HYPERLINK("https://www.britishcycling.org.uk/points?person_id=1052658&amp;year=2022&amp;type=national&amp;d=6","Results")</f>
        <v/>
      </c>
    </row>
    <row r="211">
      <c r="A211" t="inlineStr">
        <is>
          <t>210</t>
        </is>
      </c>
      <c r="B211" t="inlineStr">
        <is>
          <t>Oliver Stevens</t>
        </is>
      </c>
      <c r="C211" t="inlineStr">
        <is>
          <t>Falkirk Junior Bike Club</t>
        </is>
      </c>
      <c r="D211" t="inlineStr">
        <is>
          <t>2</t>
        </is>
      </c>
      <c r="E211">
        <f>HYPERLINK("https://www.britishcycling.org.uk/points?person_id=926841&amp;year=2022&amp;type=national&amp;d=6","Results")</f>
        <v/>
      </c>
    </row>
    <row r="212">
      <c r="A212" t="inlineStr">
        <is>
          <t>211</t>
        </is>
      </c>
      <c r="B212" t="inlineStr">
        <is>
          <t>Thomas Williams</t>
        </is>
      </c>
      <c r="C212" t="inlineStr">
        <is>
          <t>Origin Race Team</t>
        </is>
      </c>
      <c r="D212" t="inlineStr">
        <is>
          <t>2</t>
        </is>
      </c>
      <c r="E212">
        <f>HYPERLINK("https://www.britishcycling.org.uk/points?person_id=630212&amp;year=2022&amp;type=national&amp;d=6","Results")</f>
        <v/>
      </c>
    </row>
    <row r="213">
      <c r="A213" t="inlineStr">
        <is>
          <t>212</t>
        </is>
      </c>
      <c r="B213" t="inlineStr">
        <is>
          <t>Henry Barker-Pine</t>
        </is>
      </c>
      <c r="C213" t="inlineStr">
        <is>
          <t>Beeston Cycling Club</t>
        </is>
      </c>
      <c r="D213" t="inlineStr">
        <is>
          <t>1</t>
        </is>
      </c>
      <c r="E213">
        <f>HYPERLINK("https://www.britishcycling.org.uk/points?person_id=548445&amp;year=2022&amp;type=national&amp;d=6","Results")</f>
        <v/>
      </c>
    </row>
    <row r="214">
      <c r="A214" t="inlineStr">
        <is>
          <t>213</t>
        </is>
      </c>
      <c r="B214" t="inlineStr">
        <is>
          <t>Matthew Batson</t>
        </is>
      </c>
      <c r="C214" t="inlineStr">
        <is>
          <t>Tyneside Vagabonds CC</t>
        </is>
      </c>
      <c r="D214" t="inlineStr">
        <is>
          <t>1</t>
        </is>
      </c>
      <c r="E214">
        <f>HYPERLINK("https://www.britishcycling.org.uk/points?person_id=579665&amp;year=2022&amp;type=national&amp;d=6","Results")</f>
        <v/>
      </c>
    </row>
    <row r="215">
      <c r="A215" t="inlineStr">
        <is>
          <t>214</t>
        </is>
      </c>
      <c r="B215" t="inlineStr">
        <is>
          <t>Alistair Gardner</t>
        </is>
      </c>
      <c r="C215" t="inlineStr">
        <is>
          <t>Bournemouth BMX Club</t>
        </is>
      </c>
      <c r="D215" t="inlineStr">
        <is>
          <t>1</t>
        </is>
      </c>
      <c r="E215">
        <f>HYPERLINK("https://www.britishcycling.org.uk/points?person_id=440921&amp;year=2022&amp;type=national&amp;d=6","Results")</f>
        <v/>
      </c>
    </row>
    <row r="216">
      <c r="A216" t="inlineStr">
        <is>
          <t>215</t>
        </is>
      </c>
      <c r="B216" t="inlineStr">
        <is>
          <t>Maxwell Hereward</t>
        </is>
      </c>
      <c r="C216" t="inlineStr">
        <is>
          <t>360cycling</t>
        </is>
      </c>
      <c r="D216" t="inlineStr">
        <is>
          <t>1</t>
        </is>
      </c>
      <c r="E216">
        <f>HYPERLINK("https://www.britishcycling.org.uk/points?person_id=467000&amp;year=2022&amp;type=national&amp;d=6","Results")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25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Thomas Pidcock</t>
        </is>
      </c>
      <c r="C2" t="inlineStr">
        <is>
          <t>Ineos Grenadiers</t>
        </is>
      </c>
      <c r="D2" t="inlineStr">
        <is>
          <t>625</t>
        </is>
      </c>
      <c r="E2">
        <f>HYPERLINK("https://www.britishcycling.org.uk/points?person_id=43912&amp;year=2022&amp;type=national&amp;d=6","Results")</f>
        <v/>
      </c>
    </row>
    <row r="3">
      <c r="A3" t="inlineStr">
        <is>
          <t>2</t>
        </is>
      </c>
      <c r="B3" t="inlineStr">
        <is>
          <t>Kieran Jarvis</t>
        </is>
      </c>
      <c r="C3" t="inlineStr">
        <is>
          <t>Brother UK-Orientation Marketing</t>
        </is>
      </c>
      <c r="D3" t="inlineStr">
        <is>
          <t>579</t>
        </is>
      </c>
      <c r="E3">
        <f>HYPERLINK("https://www.britishcycling.org.uk/points?person_id=262111&amp;year=2022&amp;type=national&amp;d=6","Results")</f>
        <v/>
      </c>
    </row>
    <row r="4">
      <c r="A4" t="inlineStr">
        <is>
          <t>3</t>
        </is>
      </c>
      <c r="B4" t="inlineStr">
        <is>
          <t>Jenson Young</t>
        </is>
      </c>
      <c r="C4" t="inlineStr">
        <is>
          <t>Garden Shed UK-Ribble-Verge Sport</t>
        </is>
      </c>
      <c r="D4" t="inlineStr">
        <is>
          <t>563</t>
        </is>
      </c>
      <c r="E4">
        <f>HYPERLINK("https://www.britishcycling.org.uk/points?person_id=103190&amp;year=2022&amp;type=national&amp;d=6","Results")</f>
        <v/>
      </c>
    </row>
    <row r="5">
      <c r="A5" t="inlineStr">
        <is>
          <t>4</t>
        </is>
      </c>
      <c r="B5" t="inlineStr">
        <is>
          <t>Toby Barnes</t>
        </is>
      </c>
      <c r="C5" t="inlineStr">
        <is>
          <t>WiV Sungod</t>
        </is>
      </c>
      <c r="D5" t="inlineStr">
        <is>
          <t>550</t>
        </is>
      </c>
      <c r="E5">
        <f>HYPERLINK("https://www.britishcycling.org.uk/points?person_id=71986&amp;year=2022&amp;type=national&amp;d=6","Results")</f>
        <v/>
      </c>
    </row>
    <row r="6">
      <c r="A6" t="inlineStr">
        <is>
          <t>5</t>
        </is>
      </c>
      <c r="B6" t="inlineStr">
        <is>
          <t>James Madgwick</t>
        </is>
      </c>
      <c r="C6" t="inlineStr">
        <is>
          <t>ALL IN Racing</t>
        </is>
      </c>
      <c r="D6" t="inlineStr">
        <is>
          <t>474</t>
        </is>
      </c>
      <c r="E6">
        <f>HYPERLINK("https://www.britishcycling.org.uk/points?person_id=18459&amp;year=2022&amp;type=national&amp;d=6","Results")</f>
        <v/>
      </c>
    </row>
    <row r="7">
      <c r="A7" t="inlineStr">
        <is>
          <t>6</t>
        </is>
      </c>
      <c r="B7" t="inlineStr">
        <is>
          <t>Joshua Jones</t>
        </is>
      </c>
      <c r="C7" t="inlineStr">
        <is>
          <t>ALL IN Racing</t>
        </is>
      </c>
      <c r="D7" t="inlineStr">
        <is>
          <t>461</t>
        </is>
      </c>
      <c r="E7">
        <f>HYPERLINK("https://www.britishcycling.org.uk/points?person_id=191628&amp;year=2022&amp;type=national&amp;d=6","Results")</f>
        <v/>
      </c>
    </row>
    <row r="8">
      <c r="A8" t="inlineStr">
        <is>
          <t>7</t>
        </is>
      </c>
      <c r="B8" t="inlineStr">
        <is>
          <t>Giles Drake</t>
        </is>
      </c>
      <c r="C8" t="inlineStr">
        <is>
          <t>Wheelbase CabTech Castelli</t>
        </is>
      </c>
      <c r="D8" t="inlineStr">
        <is>
          <t>455</t>
        </is>
      </c>
      <c r="E8">
        <f>HYPERLINK("https://www.britishcycling.org.uk/points?person_id=78277&amp;year=2022&amp;type=national&amp;d=6","Results")</f>
        <v/>
      </c>
    </row>
    <row r="9">
      <c r="A9" t="inlineStr">
        <is>
          <t>8</t>
        </is>
      </c>
      <c r="B9" t="inlineStr">
        <is>
          <t>Thomas Mein</t>
        </is>
      </c>
      <c r="C9" t="inlineStr">
        <is>
          <t>Hope Factory Racing (UCI CX Team)</t>
        </is>
      </c>
      <c r="D9" t="inlineStr">
        <is>
          <t>377</t>
        </is>
      </c>
      <c r="E9">
        <f>HYPERLINK("https://www.britishcycling.org.uk/points?person_id=71625&amp;year=2022&amp;type=national&amp;d=6","Results")</f>
        <v/>
      </c>
    </row>
    <row r="10">
      <c r="A10" t="inlineStr">
        <is>
          <t>9</t>
        </is>
      </c>
      <c r="B10" t="inlineStr">
        <is>
          <t>David Bone</t>
        </is>
      </c>
      <c r="C10" t="inlineStr">
        <is>
          <t>Racing Club Ravenna</t>
        </is>
      </c>
      <c r="D10" t="inlineStr">
        <is>
          <t>376</t>
        </is>
      </c>
      <c r="E10">
        <f>HYPERLINK("https://www.britishcycling.org.uk/points?person_id=525858&amp;year=2022&amp;type=national&amp;d=6","Results")</f>
        <v/>
      </c>
    </row>
    <row r="11">
      <c r="A11" t="inlineStr">
        <is>
          <t>10</t>
        </is>
      </c>
      <c r="B11" t="inlineStr">
        <is>
          <t>James Swadling</t>
        </is>
      </c>
      <c r="C11" t="inlineStr">
        <is>
          <t>NSR - Nigel Smith Racing</t>
        </is>
      </c>
      <c r="D11" t="inlineStr">
        <is>
          <t>375</t>
        </is>
      </c>
      <c r="E11">
        <f>HYPERLINK("https://www.britishcycling.org.uk/points?person_id=3559&amp;year=2022&amp;type=national&amp;d=6","Results")</f>
        <v/>
      </c>
    </row>
    <row r="12">
      <c r="A12" t="inlineStr">
        <is>
          <t>11</t>
        </is>
      </c>
      <c r="B12" t="inlineStr">
        <is>
          <t>Joe Coukham</t>
        </is>
      </c>
      <c r="C12" t="inlineStr">
        <is>
          <t>Garden Shed UK-Ribble-Verge Sport</t>
        </is>
      </c>
      <c r="D12" t="inlineStr">
        <is>
          <t>363</t>
        </is>
      </c>
      <c r="E12">
        <f>HYPERLINK("https://www.britishcycling.org.uk/points?person_id=379662&amp;year=2022&amp;type=national&amp;d=6","Results")</f>
        <v/>
      </c>
    </row>
    <row r="13">
      <c r="A13" t="inlineStr">
        <is>
          <t>12</t>
        </is>
      </c>
      <c r="B13" t="inlineStr">
        <is>
          <t>Matthew Wilson</t>
        </is>
      </c>
      <c r="C13" t="inlineStr">
        <is>
          <t>Team Milton Keynes</t>
        </is>
      </c>
      <c r="D13" t="inlineStr">
        <is>
          <t>346</t>
        </is>
      </c>
      <c r="E13">
        <f>HYPERLINK("https://www.britishcycling.org.uk/points?person_id=735485&amp;year=2022&amp;type=national&amp;d=6","Results")</f>
        <v/>
      </c>
    </row>
    <row r="14">
      <c r="A14" t="inlineStr">
        <is>
          <t>13</t>
        </is>
      </c>
      <c r="B14" t="inlineStr">
        <is>
          <t>Gary MacDonald</t>
        </is>
      </c>
      <c r="C14" t="inlineStr">
        <is>
          <t>Nevis Cycles Racing Team</t>
        </is>
      </c>
      <c r="D14" t="inlineStr">
        <is>
          <t>343</t>
        </is>
      </c>
      <c r="E14">
        <f>HYPERLINK("https://www.britishcycling.org.uk/points?person_id=304599&amp;year=2022&amp;type=national&amp;d=6","Results")</f>
        <v/>
      </c>
    </row>
    <row r="15">
      <c r="A15" t="inlineStr">
        <is>
          <t>14</t>
        </is>
      </c>
      <c r="B15" t="inlineStr">
        <is>
          <t>Jack Hastings</t>
        </is>
      </c>
      <c r="C15" t="inlineStr">
        <is>
          <t>Cardiff JIF</t>
        </is>
      </c>
      <c r="D15" t="inlineStr">
        <is>
          <t>335</t>
        </is>
      </c>
      <c r="E15">
        <f>HYPERLINK("https://www.britishcycling.org.uk/points?person_id=251328&amp;year=2022&amp;type=national&amp;d=6","Results")</f>
        <v/>
      </c>
    </row>
    <row r="16">
      <c r="A16" t="inlineStr">
        <is>
          <t>15</t>
        </is>
      </c>
      <c r="B16" t="inlineStr">
        <is>
          <t>Jude Chamberlain</t>
        </is>
      </c>
      <c r="C16" t="inlineStr">
        <is>
          <t>Team Jewson-M.I.Racing</t>
        </is>
      </c>
      <c r="D16" t="inlineStr">
        <is>
          <t>318</t>
        </is>
      </c>
      <c r="E16">
        <f>HYPERLINK("https://www.britishcycling.org.uk/points?person_id=269542&amp;year=2022&amp;type=national&amp;d=6","Results")</f>
        <v/>
      </c>
    </row>
    <row r="17">
      <c r="A17" t="inlineStr">
        <is>
          <t>16</t>
        </is>
      </c>
      <c r="B17" t="inlineStr">
        <is>
          <t>Jonathan Dennis</t>
        </is>
      </c>
      <c r="C17" t="inlineStr"/>
      <c r="D17" t="inlineStr">
        <is>
          <t>314</t>
        </is>
      </c>
      <c r="E17">
        <f>HYPERLINK("https://www.britishcycling.org.uk/points?person_id=219950&amp;year=2022&amp;type=national&amp;d=6","Results")</f>
        <v/>
      </c>
    </row>
    <row r="18">
      <c r="A18" t="inlineStr">
        <is>
          <t>17</t>
        </is>
      </c>
      <c r="B18" t="inlineStr">
        <is>
          <t>Cameron Hurst</t>
        </is>
      </c>
      <c r="C18" t="inlineStr">
        <is>
          <t>Velo Schils - Interbike RT</t>
        </is>
      </c>
      <c r="D18" t="inlineStr">
        <is>
          <t>314</t>
        </is>
      </c>
      <c r="E18">
        <f>HYPERLINK("https://www.britishcycling.org.uk/points?person_id=288642&amp;year=2022&amp;type=national&amp;d=6","Results")</f>
        <v/>
      </c>
    </row>
    <row r="19">
      <c r="A19" t="inlineStr">
        <is>
          <t>18</t>
        </is>
      </c>
      <c r="B19" t="inlineStr">
        <is>
          <t>Matthew Ellis</t>
        </is>
      </c>
      <c r="C19" t="inlineStr">
        <is>
          <t>SRCT MUC-OFF</t>
        </is>
      </c>
      <c r="D19" t="inlineStr">
        <is>
          <t>311</t>
        </is>
      </c>
      <c r="E19">
        <f>HYPERLINK("https://www.britishcycling.org.uk/points?person_id=67082&amp;year=2022&amp;type=national&amp;d=6","Results")</f>
        <v/>
      </c>
    </row>
    <row r="20">
      <c r="A20" t="inlineStr">
        <is>
          <t>19</t>
        </is>
      </c>
      <c r="B20" t="inlineStr">
        <is>
          <t>Andrew Kirby</t>
        </is>
      </c>
      <c r="C20" t="inlineStr">
        <is>
          <t>WestSide Coaching</t>
        </is>
      </c>
      <c r="D20" t="inlineStr">
        <is>
          <t>304</t>
        </is>
      </c>
      <c r="E20">
        <f>HYPERLINK("https://www.britishcycling.org.uk/points?person_id=302946&amp;year=2022&amp;type=national&amp;d=6","Results")</f>
        <v/>
      </c>
    </row>
    <row r="21">
      <c r="A21" t="inlineStr">
        <is>
          <t>20</t>
        </is>
      </c>
      <c r="B21" t="inlineStr">
        <is>
          <t>Benjamin Bright</t>
        </is>
      </c>
      <c r="C21" t="inlineStr">
        <is>
          <t>Wales Racing Academy</t>
        </is>
      </c>
      <c r="D21" t="inlineStr">
        <is>
          <t>287</t>
        </is>
      </c>
      <c r="E21">
        <f>HYPERLINK("https://www.britishcycling.org.uk/points?person_id=100935&amp;year=2022&amp;type=national&amp;d=6","Results")</f>
        <v/>
      </c>
    </row>
    <row r="22">
      <c r="A22" t="inlineStr">
        <is>
          <t>21</t>
        </is>
      </c>
      <c r="B22" t="inlineStr">
        <is>
          <t>Simon Wyllie</t>
        </is>
      </c>
      <c r="C22" t="inlineStr">
        <is>
          <t>Spectra Wiggle p/b Vitus</t>
        </is>
      </c>
      <c r="D22" t="inlineStr">
        <is>
          <t>287</t>
        </is>
      </c>
      <c r="E22">
        <f>HYPERLINK("https://www.britishcycling.org.uk/points?person_id=281698&amp;year=2022&amp;type=national&amp;d=6","Results")</f>
        <v/>
      </c>
    </row>
    <row r="23">
      <c r="A23" t="inlineStr">
        <is>
          <t>22</t>
        </is>
      </c>
      <c r="B23" t="inlineStr">
        <is>
          <t>Jake Jackson</t>
        </is>
      </c>
      <c r="C23" t="inlineStr">
        <is>
          <t>Rose Race Team</t>
        </is>
      </c>
      <c r="D23" t="inlineStr">
        <is>
          <t>285</t>
        </is>
      </c>
      <c r="E23">
        <f>HYPERLINK("https://www.britishcycling.org.uk/points?person_id=410195&amp;year=2022&amp;type=national&amp;d=6","Results")</f>
        <v/>
      </c>
    </row>
    <row r="24">
      <c r="A24" t="inlineStr">
        <is>
          <t>23</t>
        </is>
      </c>
      <c r="B24" t="inlineStr">
        <is>
          <t>Sullivan Berry</t>
        </is>
      </c>
      <c r="C24" t="inlineStr">
        <is>
          <t>ROTOR Race Team</t>
        </is>
      </c>
      <c r="D24" t="inlineStr">
        <is>
          <t>280</t>
        </is>
      </c>
      <c r="E24">
        <f>HYPERLINK("https://www.britishcycling.org.uk/points?person_id=106094&amp;year=2022&amp;type=national&amp;d=6","Results")</f>
        <v/>
      </c>
    </row>
    <row r="25">
      <c r="A25" t="inlineStr">
        <is>
          <t>24</t>
        </is>
      </c>
      <c r="B25" t="inlineStr">
        <is>
          <t>Dan Clark</t>
        </is>
      </c>
      <c r="C25" t="inlineStr">
        <is>
          <t>Hunt Bike Wheels</t>
        </is>
      </c>
      <c r="D25" t="inlineStr">
        <is>
          <t>280</t>
        </is>
      </c>
      <c r="E25">
        <f>HYPERLINK("https://www.britishcycling.org.uk/points?person_id=702643&amp;year=2022&amp;type=national&amp;d=6","Results")</f>
        <v/>
      </c>
    </row>
    <row r="26">
      <c r="A26" t="inlineStr">
        <is>
          <t>25</t>
        </is>
      </c>
      <c r="B26" t="inlineStr">
        <is>
          <t>Bjoern Koerdt</t>
        </is>
      </c>
      <c r="C26" t="inlineStr">
        <is>
          <t>Shibden Cycling Club</t>
        </is>
      </c>
      <c r="D26" t="inlineStr">
        <is>
          <t>263</t>
        </is>
      </c>
      <c r="E26">
        <f>HYPERLINK("https://www.britishcycling.org.uk/points?person_id=169273&amp;year=2022&amp;type=national&amp;d=6","Results")</f>
        <v/>
      </c>
    </row>
    <row r="27">
      <c r="A27" t="inlineStr">
        <is>
          <t>26</t>
        </is>
      </c>
      <c r="B27" t="inlineStr">
        <is>
          <t>Kishan Bakrania</t>
        </is>
      </c>
      <c r="C27" t="inlineStr">
        <is>
          <t>TBW23 Stuart Hall Cycling</t>
        </is>
      </c>
      <c r="D27" t="inlineStr">
        <is>
          <t>259</t>
        </is>
      </c>
      <c r="E27">
        <f>HYPERLINK("https://www.britishcycling.org.uk/points?person_id=189687&amp;year=2022&amp;type=national&amp;d=6","Results")</f>
        <v/>
      </c>
    </row>
    <row r="28">
      <c r="A28" t="inlineStr">
        <is>
          <t>27</t>
        </is>
      </c>
      <c r="B28" t="inlineStr">
        <is>
          <t>Joseph Beckingsale</t>
        </is>
      </c>
      <c r="C28" t="inlineStr">
        <is>
          <t>Montezuma's Race Team</t>
        </is>
      </c>
      <c r="D28" t="inlineStr">
        <is>
          <t>250</t>
        </is>
      </c>
      <c r="E28">
        <f>HYPERLINK("https://www.britishcycling.org.uk/points?person_id=48781&amp;year=2022&amp;type=national&amp;d=6","Results")</f>
        <v/>
      </c>
    </row>
    <row r="29">
      <c r="A29" t="inlineStr">
        <is>
          <t>28</t>
        </is>
      </c>
      <c r="B29" t="inlineStr">
        <is>
          <t>Angus Hawkins</t>
        </is>
      </c>
      <c r="C29" t="inlineStr">
        <is>
          <t>Spirit BSS</t>
        </is>
      </c>
      <c r="D29" t="inlineStr">
        <is>
          <t>245</t>
        </is>
      </c>
      <c r="E29">
        <f>HYPERLINK("https://www.britishcycling.org.uk/points?person_id=105630&amp;year=2022&amp;type=national&amp;d=6","Results")</f>
        <v/>
      </c>
    </row>
    <row r="30">
      <c r="A30" t="inlineStr">
        <is>
          <t>29</t>
        </is>
      </c>
      <c r="B30" t="inlineStr">
        <is>
          <t>Neil Dunn</t>
        </is>
      </c>
      <c r="C30" t="inlineStr"/>
      <c r="D30" t="inlineStr">
        <is>
          <t>244</t>
        </is>
      </c>
      <c r="E30">
        <f>HYPERLINK("https://www.britishcycling.org.uk/points?person_id=102086&amp;year=2022&amp;type=national&amp;d=6","Results")</f>
        <v/>
      </c>
    </row>
    <row r="31">
      <c r="A31" t="inlineStr">
        <is>
          <t>30</t>
        </is>
      </c>
      <c r="B31" t="inlineStr">
        <is>
          <t>Joe Brookes</t>
        </is>
      </c>
      <c r="C31" t="inlineStr">
        <is>
          <t>Halesowen A &amp; CC</t>
        </is>
      </c>
      <c r="D31" t="inlineStr">
        <is>
          <t>243</t>
        </is>
      </c>
      <c r="E31">
        <f>HYPERLINK("https://www.britishcycling.org.uk/points?person_id=193447&amp;year=2022&amp;type=national&amp;d=6","Results")</f>
        <v/>
      </c>
    </row>
    <row r="32">
      <c r="A32" t="inlineStr">
        <is>
          <t>31</t>
        </is>
      </c>
      <c r="B32" t="inlineStr">
        <is>
          <t>Ben Chilton</t>
        </is>
      </c>
      <c r="C32" t="inlineStr">
        <is>
          <t>Spectra Wiggle p/b Vitus</t>
        </is>
      </c>
      <c r="D32" t="inlineStr">
        <is>
          <t>243</t>
        </is>
      </c>
      <c r="E32">
        <f>HYPERLINK("https://www.britishcycling.org.uk/points?person_id=194739&amp;year=2022&amp;type=national&amp;d=6","Results")</f>
        <v/>
      </c>
    </row>
    <row r="33">
      <c r="A33" t="inlineStr">
        <is>
          <t>32</t>
        </is>
      </c>
      <c r="B33" t="inlineStr">
        <is>
          <t>Philip Glowinski</t>
        </is>
      </c>
      <c r="C33" t="inlineStr">
        <is>
          <t>VC Londres</t>
        </is>
      </c>
      <c r="D33" t="inlineStr">
        <is>
          <t>243</t>
        </is>
      </c>
      <c r="E33">
        <f>HYPERLINK("https://www.britishcycling.org.uk/points?person_id=34945&amp;year=2022&amp;type=national&amp;d=6","Results")</f>
        <v/>
      </c>
    </row>
    <row r="34">
      <c r="A34" t="inlineStr">
        <is>
          <t>33</t>
        </is>
      </c>
      <c r="B34" t="inlineStr">
        <is>
          <t>Samuel Howes</t>
        </is>
      </c>
      <c r="C34" t="inlineStr">
        <is>
          <t>Sleaford Wheelers Cycling Club</t>
        </is>
      </c>
      <c r="D34" t="inlineStr">
        <is>
          <t>242</t>
        </is>
      </c>
      <c r="E34">
        <f>HYPERLINK("https://www.britishcycling.org.uk/points?person_id=520188&amp;year=2022&amp;type=national&amp;d=6","Results")</f>
        <v/>
      </c>
    </row>
    <row r="35">
      <c r="A35" t="inlineStr">
        <is>
          <t>34</t>
        </is>
      </c>
      <c r="B35" t="inlineStr">
        <is>
          <t>Jack Jee</t>
        </is>
      </c>
      <c r="C35" t="inlineStr">
        <is>
          <t>LVC Racing</t>
        </is>
      </c>
      <c r="D35" t="inlineStr">
        <is>
          <t>242</t>
        </is>
      </c>
      <c r="E35">
        <f>HYPERLINK("https://www.britishcycling.org.uk/points?person_id=620774&amp;year=2022&amp;type=national&amp;d=6","Results")</f>
        <v/>
      </c>
    </row>
    <row r="36">
      <c r="A36" t="inlineStr">
        <is>
          <t>35</t>
        </is>
      </c>
      <c r="B36" t="inlineStr">
        <is>
          <t>Tristan Davies</t>
        </is>
      </c>
      <c r="C36" t="inlineStr">
        <is>
          <t>CUBE Bikes</t>
        </is>
      </c>
      <c r="D36" t="inlineStr">
        <is>
          <t>234</t>
        </is>
      </c>
      <c r="E36">
        <f>HYPERLINK("https://www.britishcycling.org.uk/points?person_id=213373&amp;year=2022&amp;type=national&amp;d=6","Results")</f>
        <v/>
      </c>
    </row>
    <row r="37">
      <c r="A37" t="inlineStr">
        <is>
          <t>36</t>
        </is>
      </c>
      <c r="B37" t="inlineStr">
        <is>
          <t>Louis Evans</t>
        </is>
      </c>
      <c r="C37" t="inlineStr">
        <is>
          <t>Team Novo Nordisk Development</t>
        </is>
      </c>
      <c r="D37" t="inlineStr">
        <is>
          <t>229</t>
        </is>
      </c>
      <c r="E37">
        <f>HYPERLINK("https://www.britishcycling.org.uk/points?person_id=376315&amp;year=2022&amp;type=national&amp;d=6","Results")</f>
        <v/>
      </c>
    </row>
    <row r="38">
      <c r="A38" t="inlineStr">
        <is>
          <t>37</t>
        </is>
      </c>
      <c r="B38" t="inlineStr">
        <is>
          <t>Daniel Barnes</t>
        </is>
      </c>
      <c r="C38" t="inlineStr">
        <is>
          <t>Spectra Wiggle p/b Vitus</t>
        </is>
      </c>
      <c r="D38" t="inlineStr">
        <is>
          <t>225</t>
        </is>
      </c>
      <c r="E38">
        <f>HYPERLINK("https://www.britishcycling.org.uk/points?person_id=10140&amp;year=2022&amp;type=national&amp;d=6","Results")</f>
        <v/>
      </c>
    </row>
    <row r="39">
      <c r="A39" t="inlineStr">
        <is>
          <t>38</t>
        </is>
      </c>
      <c r="B39" t="inlineStr">
        <is>
          <t>Neil Scott</t>
        </is>
      </c>
      <c r="C39" t="inlineStr">
        <is>
          <t>Deeside Thistle CC</t>
        </is>
      </c>
      <c r="D39" t="inlineStr">
        <is>
          <t>224</t>
        </is>
      </c>
      <c r="E39">
        <f>HYPERLINK("https://www.britishcycling.org.uk/points?person_id=246437&amp;year=2022&amp;type=national&amp;d=6","Results")</f>
        <v/>
      </c>
    </row>
    <row r="40">
      <c r="A40" t="inlineStr">
        <is>
          <t>39</t>
        </is>
      </c>
      <c r="B40" t="inlineStr">
        <is>
          <t>Jake Edwards</t>
        </is>
      </c>
      <c r="C40" t="inlineStr">
        <is>
          <t>Cog Set Papyrus Racing Club</t>
        </is>
      </c>
      <c r="D40" t="inlineStr">
        <is>
          <t>206</t>
        </is>
      </c>
      <c r="E40">
        <f>HYPERLINK("https://www.britishcycling.org.uk/points?person_id=402349&amp;year=2022&amp;type=national&amp;d=6","Results")</f>
        <v/>
      </c>
    </row>
    <row r="41">
      <c r="A41" t="inlineStr">
        <is>
          <t>40</t>
        </is>
      </c>
      <c r="B41" t="inlineStr">
        <is>
          <t>Lewis Martin</t>
        </is>
      </c>
      <c r="C41" t="inlineStr">
        <is>
          <t>Studio Velo</t>
        </is>
      </c>
      <c r="D41" t="inlineStr">
        <is>
          <t>206</t>
        </is>
      </c>
      <c r="E41">
        <f>HYPERLINK("https://www.britishcycling.org.uk/points?person_id=133261&amp;year=2022&amp;type=national&amp;d=6","Results")</f>
        <v/>
      </c>
    </row>
    <row r="42">
      <c r="A42" t="inlineStr">
        <is>
          <t>41</t>
        </is>
      </c>
      <c r="B42" t="inlineStr">
        <is>
          <t>William Weatherill</t>
        </is>
      </c>
      <c r="C42" t="inlineStr">
        <is>
          <t>Hope Factory Racing (UCI CX Team)</t>
        </is>
      </c>
      <c r="D42" t="inlineStr">
        <is>
          <t>206</t>
        </is>
      </c>
      <c r="E42">
        <f>HYPERLINK("https://www.britishcycling.org.uk/points?person_id=764909&amp;year=2022&amp;type=national&amp;d=6","Results")</f>
        <v/>
      </c>
    </row>
    <row r="43">
      <c r="A43" t="inlineStr">
        <is>
          <t>42</t>
        </is>
      </c>
      <c r="B43" t="inlineStr">
        <is>
          <t>Nick Blight</t>
        </is>
      </c>
      <c r="C43" t="inlineStr">
        <is>
          <t>Magspeed Racing</t>
        </is>
      </c>
      <c r="D43" t="inlineStr">
        <is>
          <t>204</t>
        </is>
      </c>
      <c r="E43">
        <f>HYPERLINK("https://www.britishcycling.org.uk/points?person_id=621460&amp;year=2022&amp;type=national&amp;d=6","Results")</f>
        <v/>
      </c>
    </row>
    <row r="44">
      <c r="A44" t="inlineStr">
        <is>
          <t>43</t>
        </is>
      </c>
      <c r="B44" t="inlineStr">
        <is>
          <t>Robert Burns</t>
        </is>
      </c>
      <c r="C44" t="inlineStr">
        <is>
          <t>Malvern Cycle Sport</t>
        </is>
      </c>
      <c r="D44" t="inlineStr">
        <is>
          <t>202</t>
        </is>
      </c>
      <c r="E44">
        <f>HYPERLINK("https://www.britishcycling.org.uk/points?person_id=77268&amp;year=2022&amp;type=national&amp;d=6","Results")</f>
        <v/>
      </c>
    </row>
    <row r="45">
      <c r="A45" t="inlineStr">
        <is>
          <t>44</t>
        </is>
      </c>
      <c r="B45" t="inlineStr">
        <is>
          <t>Flynn Gregory</t>
        </is>
      </c>
      <c r="C45" t="inlineStr">
        <is>
          <t>Wheelbase CabTech Castelli</t>
        </is>
      </c>
      <c r="D45" t="inlineStr">
        <is>
          <t>197</t>
        </is>
      </c>
      <c r="E45">
        <f>HYPERLINK("https://www.britishcycling.org.uk/points?person_id=444211&amp;year=2022&amp;type=national&amp;d=6","Results")</f>
        <v/>
      </c>
    </row>
    <row r="46">
      <c r="A46" t="inlineStr">
        <is>
          <t>45</t>
        </is>
      </c>
      <c r="B46" t="inlineStr">
        <is>
          <t>Rory McGuire</t>
        </is>
      </c>
      <c r="C46" t="inlineStr">
        <is>
          <t>Wheelbase CabTech Castelli</t>
        </is>
      </c>
      <c r="D46" t="inlineStr">
        <is>
          <t>195</t>
        </is>
      </c>
      <c r="E46">
        <f>HYPERLINK("https://www.britishcycling.org.uk/points?person_id=180723&amp;year=2022&amp;type=national&amp;d=6","Results")</f>
        <v/>
      </c>
    </row>
    <row r="47">
      <c r="A47" t="inlineStr">
        <is>
          <t>46</t>
        </is>
      </c>
      <c r="B47" t="inlineStr">
        <is>
          <t>Kieren Brown</t>
        </is>
      </c>
      <c r="C47" t="inlineStr">
        <is>
          <t>Sherwood Pines Cycles Forme</t>
        </is>
      </c>
      <c r="D47" t="inlineStr">
        <is>
          <t>190</t>
        </is>
      </c>
      <c r="E47">
        <f>HYPERLINK("https://www.britishcycling.org.uk/points?person_id=305793&amp;year=2022&amp;type=national&amp;d=6","Results")</f>
        <v/>
      </c>
    </row>
    <row r="48">
      <c r="A48" t="inlineStr">
        <is>
          <t>47</t>
        </is>
      </c>
      <c r="B48" t="inlineStr">
        <is>
          <t>Thomas Timberlake</t>
        </is>
      </c>
      <c r="C48" t="inlineStr">
        <is>
          <t>Dyson Cycles</t>
        </is>
      </c>
      <c r="D48" t="inlineStr">
        <is>
          <t>187</t>
        </is>
      </c>
      <c r="E48">
        <f>HYPERLINK("https://www.britishcycling.org.uk/points?person_id=175030&amp;year=2022&amp;type=national&amp;d=6","Results")</f>
        <v/>
      </c>
    </row>
    <row r="49">
      <c r="A49" t="inlineStr">
        <is>
          <t>48</t>
        </is>
      </c>
      <c r="B49" t="inlineStr">
        <is>
          <t>Spencer Davies</t>
        </is>
      </c>
      <c r="C49" t="inlineStr">
        <is>
          <t>Wales Racing Academy</t>
        </is>
      </c>
      <c r="D49" t="inlineStr">
        <is>
          <t>184</t>
        </is>
      </c>
      <c r="E49">
        <f>HYPERLINK("https://www.britishcycling.org.uk/points?person_id=413603&amp;year=2022&amp;type=national&amp;d=6","Results")</f>
        <v/>
      </c>
    </row>
    <row r="50">
      <c r="A50" t="inlineStr">
        <is>
          <t>49</t>
        </is>
      </c>
      <c r="B50" t="inlineStr">
        <is>
          <t>Michael Butler</t>
        </is>
      </c>
      <c r="C50" t="inlineStr">
        <is>
          <t>CX Cartel</t>
        </is>
      </c>
      <c r="D50" t="inlineStr">
        <is>
          <t>183</t>
        </is>
      </c>
      <c r="E50">
        <f>HYPERLINK("https://www.britishcycling.org.uk/points?person_id=28869&amp;year=2022&amp;type=national&amp;d=6","Results")</f>
        <v/>
      </c>
    </row>
    <row r="51">
      <c r="A51" t="inlineStr">
        <is>
          <t>50</t>
        </is>
      </c>
      <c r="B51" t="inlineStr">
        <is>
          <t>Graham Briggs</t>
        </is>
      </c>
      <c r="C51" t="inlineStr">
        <is>
          <t>Clancy Briggs Cycling Academy</t>
        </is>
      </c>
      <c r="D51" t="inlineStr">
        <is>
          <t>182</t>
        </is>
      </c>
      <c r="E51">
        <f>HYPERLINK("https://www.britishcycling.org.uk/points?person_id=49277&amp;year=2022&amp;type=national&amp;d=6","Results")</f>
        <v/>
      </c>
    </row>
    <row r="52">
      <c r="A52" t="inlineStr">
        <is>
          <t>51</t>
        </is>
      </c>
      <c r="B52" t="inlineStr">
        <is>
          <t>Dominic Bell</t>
        </is>
      </c>
      <c r="C52" t="inlineStr">
        <is>
          <t>C and N Cycles RT</t>
        </is>
      </c>
      <c r="D52" t="inlineStr">
        <is>
          <t>181</t>
        </is>
      </c>
      <c r="E52">
        <f>HYPERLINK("https://www.britishcycling.org.uk/points?person_id=404502&amp;year=2022&amp;type=national&amp;d=6","Results")</f>
        <v/>
      </c>
    </row>
    <row r="53">
      <c r="A53" t="inlineStr">
        <is>
          <t>52</t>
        </is>
      </c>
      <c r="B53" t="inlineStr">
        <is>
          <t>Joe Barker</t>
        </is>
      </c>
      <c r="C53" t="inlineStr">
        <is>
          <t>Shibden Cycling Club</t>
        </is>
      </c>
      <c r="D53" t="inlineStr">
        <is>
          <t>180</t>
        </is>
      </c>
      <c r="E53">
        <f>HYPERLINK("https://www.britishcycling.org.uk/points?person_id=900204&amp;year=2022&amp;type=national&amp;d=6","Results")</f>
        <v/>
      </c>
    </row>
    <row r="54">
      <c r="A54" t="inlineStr">
        <is>
          <t>53</t>
        </is>
      </c>
      <c r="B54" t="inlineStr">
        <is>
          <t>Nicholas Charlton-Smith</t>
        </is>
      </c>
      <c r="C54" t="inlineStr">
        <is>
          <t>Nova Race Team</t>
        </is>
      </c>
      <c r="D54" t="inlineStr">
        <is>
          <t>180</t>
        </is>
      </c>
      <c r="E54">
        <f>HYPERLINK("https://www.britishcycling.org.uk/points?person_id=704077&amp;year=2022&amp;type=national&amp;d=6","Results")</f>
        <v/>
      </c>
    </row>
    <row r="55">
      <c r="A55" t="inlineStr">
        <is>
          <t>54</t>
        </is>
      </c>
      <c r="B55" t="inlineStr">
        <is>
          <t>Jenson Brown</t>
        </is>
      </c>
      <c r="C55" t="inlineStr">
        <is>
          <t>Wheelbase CabTech Castelli</t>
        </is>
      </c>
      <c r="D55" t="inlineStr">
        <is>
          <t>179</t>
        </is>
      </c>
      <c r="E55">
        <f>HYPERLINK("https://www.britishcycling.org.uk/points?person_id=389046&amp;year=2022&amp;type=national&amp;d=6","Results")</f>
        <v/>
      </c>
    </row>
    <row r="56">
      <c r="A56" t="inlineStr">
        <is>
          <t>55</t>
        </is>
      </c>
      <c r="B56" t="inlineStr">
        <is>
          <t>Oscar Hutchings</t>
        </is>
      </c>
      <c r="C56" t="inlineStr">
        <is>
          <t>Team Tor 2000 Kalas</t>
        </is>
      </c>
      <c r="D56" t="inlineStr">
        <is>
          <t>177</t>
        </is>
      </c>
      <c r="E56">
        <f>HYPERLINK("https://www.britishcycling.org.uk/points?person_id=129343&amp;year=2022&amp;type=national&amp;d=6","Results")</f>
        <v/>
      </c>
    </row>
    <row r="57">
      <c r="A57" t="inlineStr">
        <is>
          <t>56</t>
        </is>
      </c>
      <c r="B57" t="inlineStr">
        <is>
          <t>Robert Jebb</t>
        </is>
      </c>
      <c r="C57" t="inlineStr">
        <is>
          <t>Hope Factory Racing</t>
        </is>
      </c>
      <c r="D57" t="inlineStr">
        <is>
          <t>174</t>
        </is>
      </c>
      <c r="E57">
        <f>HYPERLINK("https://www.britishcycling.org.uk/points?person_id=39724&amp;year=2022&amp;type=national&amp;d=6","Results")</f>
        <v/>
      </c>
    </row>
    <row r="58">
      <c r="A58" t="inlineStr">
        <is>
          <t>57</t>
        </is>
      </c>
      <c r="B58" t="inlineStr">
        <is>
          <t>Giorgio Coppola</t>
        </is>
      </c>
      <c r="C58" t="inlineStr">
        <is>
          <t>Four4th</t>
        </is>
      </c>
      <c r="D58" t="inlineStr">
        <is>
          <t>171</t>
        </is>
      </c>
      <c r="E58">
        <f>HYPERLINK("https://www.britishcycling.org.uk/points?person_id=21107&amp;year=2022&amp;type=national&amp;d=6","Results")</f>
        <v/>
      </c>
    </row>
    <row r="59">
      <c r="A59" t="inlineStr">
        <is>
          <t>58</t>
        </is>
      </c>
      <c r="B59" t="inlineStr">
        <is>
          <t>Richard Jones</t>
        </is>
      </c>
      <c r="C59" t="inlineStr">
        <is>
          <t>Renvale RT</t>
        </is>
      </c>
      <c r="D59" t="inlineStr">
        <is>
          <t>170</t>
        </is>
      </c>
      <c r="E59">
        <f>HYPERLINK("https://www.britishcycling.org.uk/points?person_id=105905&amp;year=2022&amp;type=national&amp;d=6","Results")</f>
        <v/>
      </c>
    </row>
    <row r="60">
      <c r="A60" t="inlineStr">
        <is>
          <t>59</t>
        </is>
      </c>
      <c r="B60" t="inlineStr">
        <is>
          <t>Oscar Pratt</t>
        </is>
      </c>
      <c r="C60" t="inlineStr">
        <is>
          <t>Saint Piran Development</t>
        </is>
      </c>
      <c r="D60" t="inlineStr">
        <is>
          <t>169</t>
        </is>
      </c>
      <c r="E60">
        <f>HYPERLINK("https://www.britishcycling.org.uk/points?person_id=356139&amp;year=2022&amp;type=national&amp;d=6","Results")</f>
        <v/>
      </c>
    </row>
    <row r="61">
      <c r="A61" t="inlineStr">
        <is>
          <t>60</t>
        </is>
      </c>
      <c r="B61" t="inlineStr">
        <is>
          <t>Steven James</t>
        </is>
      </c>
      <c r="C61" t="inlineStr">
        <is>
          <t>Hope Factory Racing (UCI CX Team)</t>
        </is>
      </c>
      <c r="D61" t="inlineStr">
        <is>
          <t>168</t>
        </is>
      </c>
      <c r="E61">
        <f>HYPERLINK("https://www.britishcycling.org.uk/points?person_id=57116&amp;year=2022&amp;type=national&amp;d=6","Results")</f>
        <v/>
      </c>
    </row>
    <row r="62">
      <c r="A62" t="inlineStr">
        <is>
          <t>61</t>
        </is>
      </c>
      <c r="B62" t="inlineStr">
        <is>
          <t>Grant Scott</t>
        </is>
      </c>
      <c r="C62" t="inlineStr">
        <is>
          <t>Ronde Cycling Club</t>
        </is>
      </c>
      <c r="D62" t="inlineStr">
        <is>
          <t>165</t>
        </is>
      </c>
      <c r="E62">
        <f>HYPERLINK("https://www.britishcycling.org.uk/points?person_id=750552&amp;year=2022&amp;type=national&amp;d=6","Results")</f>
        <v/>
      </c>
    </row>
    <row r="63">
      <c r="A63" t="inlineStr">
        <is>
          <t>62</t>
        </is>
      </c>
      <c r="B63" t="inlineStr">
        <is>
          <t>Michael Burke</t>
        </is>
      </c>
      <c r="C63" t="inlineStr">
        <is>
          <t>VéloElite RC</t>
        </is>
      </c>
      <c r="D63" t="inlineStr">
        <is>
          <t>164</t>
        </is>
      </c>
      <c r="E63">
        <f>HYPERLINK("https://www.britishcycling.org.uk/points?person_id=243017&amp;year=2022&amp;type=national&amp;d=6","Results")</f>
        <v/>
      </c>
    </row>
    <row r="64">
      <c r="A64" t="inlineStr">
        <is>
          <t>63</t>
        </is>
      </c>
      <c r="B64" t="inlineStr">
        <is>
          <t>Declan Egan</t>
        </is>
      </c>
      <c r="C64" t="inlineStr">
        <is>
          <t>Kingston Wheelers CC</t>
        </is>
      </c>
      <c r="D64" t="inlineStr">
        <is>
          <t>164</t>
        </is>
      </c>
      <c r="E64">
        <f>HYPERLINK("https://www.britishcycling.org.uk/points?person_id=257462&amp;year=2022&amp;type=national&amp;d=6","Results")</f>
        <v/>
      </c>
    </row>
    <row r="65">
      <c r="A65" t="inlineStr">
        <is>
          <t>64</t>
        </is>
      </c>
      <c r="B65" t="inlineStr">
        <is>
          <t>Bruce Johnston</t>
        </is>
      </c>
      <c r="C65" t="inlineStr">
        <is>
          <t>Pedal Power Loughborough</t>
        </is>
      </c>
      <c r="D65" t="inlineStr">
        <is>
          <t>164</t>
        </is>
      </c>
      <c r="E65">
        <f>HYPERLINK("https://www.britishcycling.org.uk/points?person_id=56563&amp;year=2022&amp;type=national&amp;d=6","Results")</f>
        <v/>
      </c>
    </row>
    <row r="66">
      <c r="A66" t="inlineStr">
        <is>
          <t>65</t>
        </is>
      </c>
      <c r="B66" t="inlineStr">
        <is>
          <t>Callum Laborde</t>
        </is>
      </c>
      <c r="C66" t="inlineStr">
        <is>
          <t>Wheelbase CabTech Castelli</t>
        </is>
      </c>
      <c r="D66" t="inlineStr">
        <is>
          <t>164</t>
        </is>
      </c>
      <c r="E66">
        <f>HYPERLINK("https://www.britishcycling.org.uk/points?person_id=278810&amp;year=2022&amp;type=national&amp;d=6","Results")</f>
        <v/>
      </c>
    </row>
    <row r="67">
      <c r="A67" t="inlineStr">
        <is>
          <t>66</t>
        </is>
      </c>
      <c r="B67" t="inlineStr">
        <is>
          <t>Paul Morris</t>
        </is>
      </c>
      <c r="C67" t="inlineStr">
        <is>
          <t>Fareham Wheelers Cycling Club</t>
        </is>
      </c>
      <c r="D67" t="inlineStr">
        <is>
          <t>164</t>
        </is>
      </c>
      <c r="E67">
        <f>HYPERLINK("https://www.britishcycling.org.uk/points?person_id=307362&amp;year=2022&amp;type=national&amp;d=6","Results")</f>
        <v/>
      </c>
    </row>
    <row r="68">
      <c r="A68" t="inlineStr">
        <is>
          <t>67</t>
        </is>
      </c>
      <c r="B68" t="inlineStr">
        <is>
          <t>Seb Herrod</t>
        </is>
      </c>
      <c r="C68" t="inlineStr">
        <is>
          <t>ROTOR Race Team</t>
        </is>
      </c>
      <c r="D68" t="inlineStr">
        <is>
          <t>163</t>
        </is>
      </c>
      <c r="E68">
        <f>HYPERLINK("https://www.britishcycling.org.uk/points?person_id=189592&amp;year=2022&amp;type=national&amp;d=6","Results")</f>
        <v/>
      </c>
    </row>
    <row r="69">
      <c r="A69" t="inlineStr">
        <is>
          <t>68</t>
        </is>
      </c>
      <c r="B69" t="inlineStr">
        <is>
          <t>Oliver Akers</t>
        </is>
      </c>
      <c r="C69" t="inlineStr">
        <is>
          <t>Garden Shed UK-Ribble-Verge Sport</t>
        </is>
      </c>
      <c r="D69" t="inlineStr">
        <is>
          <t>162</t>
        </is>
      </c>
      <c r="E69">
        <f>HYPERLINK("https://www.britishcycling.org.uk/points?person_id=216333&amp;year=2022&amp;type=national&amp;d=6","Results")</f>
        <v/>
      </c>
    </row>
    <row r="70">
      <c r="A70" t="inlineStr">
        <is>
          <t>69</t>
        </is>
      </c>
      <c r="B70" t="inlineStr">
        <is>
          <t>Alistair Slater</t>
        </is>
      </c>
      <c r="C70" t="inlineStr">
        <is>
          <t>Clancy Briggs Cycling Academy</t>
        </is>
      </c>
      <c r="D70" t="inlineStr">
        <is>
          <t>162</t>
        </is>
      </c>
      <c r="E70">
        <f>HYPERLINK("https://www.britishcycling.org.uk/points?person_id=28429&amp;year=2022&amp;type=national&amp;d=6","Results")</f>
        <v/>
      </c>
    </row>
    <row r="71">
      <c r="A71" t="inlineStr">
        <is>
          <t>70</t>
        </is>
      </c>
      <c r="B71" t="inlineStr">
        <is>
          <t>Tom Couzens</t>
        </is>
      </c>
      <c r="C71" t="inlineStr">
        <is>
          <t>Montezuma's Race Team</t>
        </is>
      </c>
      <c r="D71" t="inlineStr">
        <is>
          <t>161</t>
        </is>
      </c>
      <c r="E71">
        <f>HYPERLINK("https://www.britishcycling.org.uk/points?person_id=235127&amp;year=2022&amp;type=national&amp;d=6","Results")</f>
        <v/>
      </c>
    </row>
    <row r="72">
      <c r="A72" t="inlineStr">
        <is>
          <t>71</t>
        </is>
      </c>
      <c r="B72" t="inlineStr">
        <is>
          <t>Cameron Mason</t>
        </is>
      </c>
      <c r="C72" t="inlineStr">
        <is>
          <t>TRINITY Road Racing</t>
        </is>
      </c>
      <c r="D72" t="inlineStr">
        <is>
          <t>160</t>
        </is>
      </c>
      <c r="E72">
        <f>HYPERLINK("https://www.britishcycling.org.uk/points?person_id=124842&amp;year=2022&amp;type=national&amp;d=6","Results")</f>
        <v/>
      </c>
    </row>
    <row r="73">
      <c r="A73" t="inlineStr">
        <is>
          <t>72</t>
        </is>
      </c>
      <c r="B73" t="inlineStr">
        <is>
          <t>Felix Barker</t>
        </is>
      </c>
      <c r="C73" t="inlineStr">
        <is>
          <t>Hope Factory Racing (UCI CX Team)</t>
        </is>
      </c>
      <c r="D73" t="inlineStr">
        <is>
          <t>156</t>
        </is>
      </c>
      <c r="E73">
        <f>HYPERLINK("https://www.britishcycling.org.uk/points?person_id=63128&amp;year=2022&amp;type=national&amp;d=6","Results")</f>
        <v/>
      </c>
    </row>
    <row r="74">
      <c r="A74" t="inlineStr">
        <is>
          <t>73</t>
        </is>
      </c>
      <c r="B74" t="inlineStr">
        <is>
          <t>Nick Morris</t>
        </is>
      </c>
      <c r="C74" t="inlineStr">
        <is>
          <t>Clee Cycles</t>
        </is>
      </c>
      <c r="D74" t="inlineStr">
        <is>
          <t>156</t>
        </is>
      </c>
      <c r="E74">
        <f>HYPERLINK("https://www.britishcycling.org.uk/points?person_id=201614&amp;year=2022&amp;type=national&amp;d=6","Results")</f>
        <v/>
      </c>
    </row>
    <row r="75">
      <c r="A75" t="inlineStr">
        <is>
          <t>74</t>
        </is>
      </c>
      <c r="B75" t="inlineStr">
        <is>
          <t>James Somerfield</t>
        </is>
      </c>
      <c r="C75" t="inlineStr">
        <is>
          <t>TRASH MILE</t>
        </is>
      </c>
      <c r="D75" t="inlineStr">
        <is>
          <t>156</t>
        </is>
      </c>
      <c r="E75">
        <f>HYPERLINK("https://www.britishcycling.org.uk/points?person_id=652222&amp;year=2022&amp;type=national&amp;d=6","Results")</f>
        <v/>
      </c>
    </row>
    <row r="76">
      <c r="A76" t="inlineStr">
        <is>
          <t>75</t>
        </is>
      </c>
      <c r="B76" t="inlineStr">
        <is>
          <t>George Thompson</t>
        </is>
      </c>
      <c r="C76" t="inlineStr">
        <is>
          <t>Rose Race Team</t>
        </is>
      </c>
      <c r="D76" t="inlineStr">
        <is>
          <t>154</t>
        </is>
      </c>
      <c r="E76">
        <f>HYPERLINK("https://www.britishcycling.org.uk/points?person_id=52376&amp;year=2022&amp;type=national&amp;d=6","Results")</f>
        <v/>
      </c>
    </row>
    <row r="77">
      <c r="A77" t="inlineStr">
        <is>
          <t>76</t>
        </is>
      </c>
      <c r="B77" t="inlineStr">
        <is>
          <t>Rob Walker</t>
        </is>
      </c>
      <c r="C77" t="inlineStr">
        <is>
          <t>Ward WheelZ</t>
        </is>
      </c>
      <c r="D77" t="inlineStr">
        <is>
          <t>154</t>
        </is>
      </c>
      <c r="E77">
        <f>HYPERLINK("https://www.britishcycling.org.uk/points?person_id=424130&amp;year=2022&amp;type=national&amp;d=6","Results")</f>
        <v/>
      </c>
    </row>
    <row r="78">
      <c r="A78" t="inlineStr">
        <is>
          <t>77</t>
        </is>
      </c>
      <c r="B78" t="inlineStr">
        <is>
          <t>Huw Buck Jones</t>
        </is>
      </c>
      <c r="C78" t="inlineStr">
        <is>
          <t>Wales Racing Academy</t>
        </is>
      </c>
      <c r="D78" t="inlineStr">
        <is>
          <t>153</t>
        </is>
      </c>
      <c r="E78">
        <f>HYPERLINK("https://www.britishcycling.org.uk/points?person_id=177429&amp;year=2022&amp;type=national&amp;d=6","Results")</f>
        <v/>
      </c>
    </row>
    <row r="79">
      <c r="A79" t="inlineStr">
        <is>
          <t>78</t>
        </is>
      </c>
      <c r="B79" t="inlineStr">
        <is>
          <t>Fletcher Adams</t>
        </is>
      </c>
      <c r="C79" t="inlineStr">
        <is>
          <t>Nova Race Team</t>
        </is>
      </c>
      <c r="D79" t="inlineStr">
        <is>
          <t>152</t>
        </is>
      </c>
      <c r="E79">
        <f>HYPERLINK("https://www.britishcycling.org.uk/points?person_id=174810&amp;year=2022&amp;type=national&amp;d=6","Results")</f>
        <v/>
      </c>
    </row>
    <row r="80">
      <c r="A80" t="inlineStr">
        <is>
          <t>79</t>
        </is>
      </c>
      <c r="B80" t="inlineStr">
        <is>
          <t>Thomas Crapper</t>
        </is>
      </c>
      <c r="C80" t="inlineStr">
        <is>
          <t>Abergavenny Road Club</t>
        </is>
      </c>
      <c r="D80" t="inlineStr">
        <is>
          <t>152</t>
        </is>
      </c>
      <c r="E80">
        <f>HYPERLINK("https://www.britishcycling.org.uk/points?person_id=199866&amp;year=2022&amp;type=national&amp;d=6","Results")</f>
        <v/>
      </c>
    </row>
    <row r="81">
      <c r="A81" t="inlineStr">
        <is>
          <t>80</t>
        </is>
      </c>
      <c r="B81" t="inlineStr">
        <is>
          <t>William Truelove</t>
        </is>
      </c>
      <c r="C81" t="inlineStr">
        <is>
          <t>Wales Racing Academy</t>
        </is>
      </c>
      <c r="D81" t="inlineStr">
        <is>
          <t>152</t>
        </is>
      </c>
      <c r="E81">
        <f>HYPERLINK("https://www.britishcycling.org.uk/points?person_id=498460&amp;year=2022&amp;type=national&amp;d=6","Results")</f>
        <v/>
      </c>
    </row>
    <row r="82">
      <c r="A82" t="inlineStr">
        <is>
          <t>81</t>
        </is>
      </c>
      <c r="B82" t="inlineStr">
        <is>
          <t>Alfie Speck</t>
        </is>
      </c>
      <c r="C82" t="inlineStr">
        <is>
          <t>Ellmore Factory Racing</t>
        </is>
      </c>
      <c r="D82" t="inlineStr">
        <is>
          <t>149</t>
        </is>
      </c>
      <c r="E82">
        <f>HYPERLINK("https://www.britishcycling.org.uk/points?person_id=688886&amp;year=2022&amp;type=national&amp;d=6","Results")</f>
        <v/>
      </c>
    </row>
    <row r="83">
      <c r="A83" t="inlineStr">
        <is>
          <t>82</t>
        </is>
      </c>
      <c r="B83" t="inlineStr">
        <is>
          <t>Sam Chisholm</t>
        </is>
      </c>
      <c r="C83" t="inlineStr">
        <is>
          <t>The Cycling Academy</t>
        </is>
      </c>
      <c r="D83" t="inlineStr">
        <is>
          <t>147</t>
        </is>
      </c>
      <c r="E83">
        <f>HYPERLINK("https://www.britishcycling.org.uk/points?person_id=171146&amp;year=2022&amp;type=national&amp;d=6","Results")</f>
        <v/>
      </c>
    </row>
    <row r="84">
      <c r="A84" t="inlineStr">
        <is>
          <t>83</t>
        </is>
      </c>
      <c r="B84" t="inlineStr">
        <is>
          <t>Nathan Cracknell</t>
        </is>
      </c>
      <c r="C84" t="inlineStr">
        <is>
          <t>Pedalon.co.uk</t>
        </is>
      </c>
      <c r="D84" t="inlineStr">
        <is>
          <t>146</t>
        </is>
      </c>
      <c r="E84">
        <f>HYPERLINK("https://www.britishcycling.org.uk/points?person_id=440323&amp;year=2022&amp;type=national&amp;d=6","Results")</f>
        <v/>
      </c>
    </row>
    <row r="85">
      <c r="A85" t="inlineStr">
        <is>
          <t>84</t>
        </is>
      </c>
      <c r="B85" t="inlineStr">
        <is>
          <t>Jamie Gostick</t>
        </is>
      </c>
      <c r="C85" t="inlineStr">
        <is>
          <t>Loughborough Students CC</t>
        </is>
      </c>
      <c r="D85" t="inlineStr">
        <is>
          <t>142</t>
        </is>
      </c>
      <c r="E85">
        <f>HYPERLINK("https://www.britishcycling.org.uk/points?person_id=135529&amp;year=2022&amp;type=national&amp;d=6","Results")</f>
        <v/>
      </c>
    </row>
    <row r="86">
      <c r="A86" t="inlineStr">
        <is>
          <t>85</t>
        </is>
      </c>
      <c r="B86" t="inlineStr">
        <is>
          <t>Matthew Lock</t>
        </is>
      </c>
      <c r="C86" t="inlineStr">
        <is>
          <t>TAAP Cervelo</t>
        </is>
      </c>
      <c r="D86" t="inlineStr">
        <is>
          <t>138</t>
        </is>
      </c>
      <c r="E86">
        <f>HYPERLINK("https://www.britishcycling.org.uk/points?person_id=397055&amp;year=2022&amp;type=national&amp;d=6","Results")</f>
        <v/>
      </c>
    </row>
    <row r="87">
      <c r="A87" t="inlineStr">
        <is>
          <t>86</t>
        </is>
      </c>
      <c r="B87" t="inlineStr">
        <is>
          <t>Tom Knight</t>
        </is>
      </c>
      <c r="C87" t="inlineStr">
        <is>
          <t>Dynamic Rides CC</t>
        </is>
      </c>
      <c r="D87" t="inlineStr">
        <is>
          <t>136</t>
        </is>
      </c>
      <c r="E87">
        <f>HYPERLINK("https://www.britishcycling.org.uk/points?person_id=60909&amp;year=2022&amp;type=national&amp;d=6","Results")</f>
        <v/>
      </c>
    </row>
    <row r="88">
      <c r="A88" t="inlineStr">
        <is>
          <t>87</t>
        </is>
      </c>
      <c r="B88" t="inlineStr">
        <is>
          <t>Charles Fletcher</t>
        </is>
      </c>
      <c r="C88" t="inlineStr"/>
      <c r="D88" t="inlineStr">
        <is>
          <t>134</t>
        </is>
      </c>
      <c r="E88">
        <f>HYPERLINK("https://www.britishcycling.org.uk/points?person_id=10608&amp;year=2022&amp;type=national&amp;d=6","Results")</f>
        <v/>
      </c>
    </row>
    <row r="89">
      <c r="A89" t="inlineStr">
        <is>
          <t>88</t>
        </is>
      </c>
      <c r="B89" t="inlineStr">
        <is>
          <t>Dan Eastham</t>
        </is>
      </c>
      <c r="C89" t="inlineStr">
        <is>
          <t>Cog Set Papyrus Racing Club</t>
        </is>
      </c>
      <c r="D89" t="inlineStr">
        <is>
          <t>133</t>
        </is>
      </c>
      <c r="E89">
        <f>HYPERLINK("https://www.britishcycling.org.uk/points?person_id=169719&amp;year=2022&amp;type=national&amp;d=6","Results")</f>
        <v/>
      </c>
    </row>
    <row r="90">
      <c r="A90" t="inlineStr">
        <is>
          <t>89</t>
        </is>
      </c>
      <c r="B90" t="inlineStr">
        <is>
          <t>Theo Clarke</t>
        </is>
      </c>
      <c r="C90" t="inlineStr">
        <is>
          <t>Team LDN - Brother UK</t>
        </is>
      </c>
      <c r="D90" t="inlineStr">
        <is>
          <t>130</t>
        </is>
      </c>
      <c r="E90">
        <f>HYPERLINK("https://www.britishcycling.org.uk/points?person_id=747034&amp;year=2022&amp;type=national&amp;d=6","Results")</f>
        <v/>
      </c>
    </row>
    <row r="91">
      <c r="A91" t="inlineStr">
        <is>
          <t>90</t>
        </is>
      </c>
      <c r="B91" t="inlineStr">
        <is>
          <t>Daniel David</t>
        </is>
      </c>
      <c r="C91" t="inlineStr">
        <is>
          <t>LBRCC (Leighton Buzzard Road CC)</t>
        </is>
      </c>
      <c r="D91" t="inlineStr">
        <is>
          <t>129</t>
        </is>
      </c>
      <c r="E91">
        <f>HYPERLINK("https://www.britishcycling.org.uk/points?person_id=515076&amp;year=2022&amp;type=national&amp;d=6","Results")</f>
        <v/>
      </c>
    </row>
    <row r="92">
      <c r="A92" t="inlineStr">
        <is>
          <t>91</t>
        </is>
      </c>
      <c r="B92" t="inlineStr">
        <is>
          <t>Karl Norfolk</t>
        </is>
      </c>
      <c r="C92" t="inlineStr">
        <is>
          <t>Pedalon.co.uk</t>
        </is>
      </c>
      <c r="D92" t="inlineStr">
        <is>
          <t>126</t>
        </is>
      </c>
      <c r="E92">
        <f>HYPERLINK("https://www.britishcycling.org.uk/points?person_id=77447&amp;year=2022&amp;type=national&amp;d=6","Results")</f>
        <v/>
      </c>
    </row>
    <row r="93">
      <c r="A93" t="inlineStr">
        <is>
          <t>92</t>
        </is>
      </c>
      <c r="B93" t="inlineStr">
        <is>
          <t>Leigh Richards</t>
        </is>
      </c>
      <c r="C93" t="inlineStr"/>
      <c r="D93" t="inlineStr">
        <is>
          <t>126</t>
        </is>
      </c>
      <c r="E93">
        <f>HYPERLINK("https://www.britishcycling.org.uk/points?person_id=565791&amp;year=2022&amp;type=national&amp;d=6","Results")</f>
        <v/>
      </c>
    </row>
    <row r="94">
      <c r="A94" t="inlineStr">
        <is>
          <t>93</t>
        </is>
      </c>
      <c r="B94" t="inlineStr">
        <is>
          <t>James Ashcroft</t>
        </is>
      </c>
      <c r="C94" t="inlineStr">
        <is>
          <t>StolenGoat Race Team</t>
        </is>
      </c>
      <c r="D94" t="inlineStr">
        <is>
          <t>125</t>
        </is>
      </c>
      <c r="E94">
        <f>HYPERLINK("https://www.britishcycling.org.uk/points?person_id=189777&amp;year=2022&amp;type=national&amp;d=6","Results")</f>
        <v/>
      </c>
    </row>
    <row r="95">
      <c r="A95" t="inlineStr">
        <is>
          <t>94</t>
        </is>
      </c>
      <c r="B95" t="inlineStr">
        <is>
          <t>Mark Lightfoot</t>
        </is>
      </c>
      <c r="C95" t="inlineStr">
        <is>
          <t>Tofauti Everyone Active</t>
        </is>
      </c>
      <c r="D95" t="inlineStr">
        <is>
          <t>124</t>
        </is>
      </c>
      <c r="E95">
        <f>HYPERLINK("https://www.britishcycling.org.uk/points?person_id=242567&amp;year=2022&amp;type=national&amp;d=6","Results")</f>
        <v/>
      </c>
    </row>
    <row r="96">
      <c r="A96" t="inlineStr">
        <is>
          <t>95</t>
        </is>
      </c>
      <c r="B96" t="inlineStr">
        <is>
          <t>Aaron Mansell</t>
        </is>
      </c>
      <c r="C96" t="inlineStr">
        <is>
          <t>Halesowen A &amp; CC</t>
        </is>
      </c>
      <c r="D96" t="inlineStr">
        <is>
          <t>124</t>
        </is>
      </c>
      <c r="E96">
        <f>HYPERLINK("https://www.britishcycling.org.uk/points?person_id=193843&amp;year=2022&amp;type=national&amp;d=6","Results")</f>
        <v/>
      </c>
    </row>
    <row r="97">
      <c r="A97" t="inlineStr">
        <is>
          <t>96</t>
        </is>
      </c>
      <c r="B97" t="inlineStr">
        <is>
          <t>Stefan Partridge</t>
        </is>
      </c>
      <c r="C97" t="inlineStr">
        <is>
          <t>Bolsover &amp; District Cycling Club</t>
        </is>
      </c>
      <c r="D97" t="inlineStr">
        <is>
          <t>121</t>
        </is>
      </c>
      <c r="E97">
        <f>HYPERLINK("https://www.britishcycling.org.uk/points?person_id=117123&amp;year=2022&amp;type=national&amp;d=6","Results")</f>
        <v/>
      </c>
    </row>
    <row r="98">
      <c r="A98" t="inlineStr">
        <is>
          <t>97</t>
        </is>
      </c>
      <c r="B98" t="inlineStr">
        <is>
          <t>Joseph Blackmore</t>
        </is>
      </c>
      <c r="C98" t="inlineStr">
        <is>
          <t>Team Inspired</t>
        </is>
      </c>
      <c r="D98" t="inlineStr">
        <is>
          <t>120</t>
        </is>
      </c>
      <c r="E98">
        <f>HYPERLINK("https://www.britishcycling.org.uk/points?person_id=14899&amp;year=2022&amp;type=national&amp;d=6","Results")</f>
        <v/>
      </c>
    </row>
    <row r="99">
      <c r="A99" t="inlineStr">
        <is>
          <t>98</t>
        </is>
      </c>
      <c r="B99" t="inlineStr">
        <is>
          <t>Tom Scott</t>
        </is>
      </c>
      <c r="C99" t="inlineStr">
        <is>
          <t>Trek Sheffield Fox Valley</t>
        </is>
      </c>
      <c r="D99" t="inlineStr">
        <is>
          <t>119</t>
        </is>
      </c>
      <c r="E99">
        <f>HYPERLINK("https://www.britishcycling.org.uk/points?person_id=102829&amp;year=2022&amp;type=national&amp;d=6","Results")</f>
        <v/>
      </c>
    </row>
    <row r="100">
      <c r="A100" t="inlineStr">
        <is>
          <t>99</t>
        </is>
      </c>
      <c r="B100" t="inlineStr">
        <is>
          <t>Gary Price</t>
        </is>
      </c>
      <c r="C100" t="inlineStr">
        <is>
          <t>StolenGoat Race Team</t>
        </is>
      </c>
      <c r="D100" t="inlineStr">
        <is>
          <t>118</t>
        </is>
      </c>
      <c r="E100">
        <f>HYPERLINK("https://www.britishcycling.org.uk/points?person_id=232411&amp;year=2022&amp;type=national&amp;d=6","Results")</f>
        <v/>
      </c>
    </row>
    <row r="101">
      <c r="A101" t="inlineStr">
        <is>
          <t>100</t>
        </is>
      </c>
      <c r="B101" t="inlineStr">
        <is>
          <t>Yani Angelo Djelil</t>
        </is>
      </c>
      <c r="C101" t="inlineStr">
        <is>
          <t>CT Luc Wallays – jonge renners Roeselare</t>
        </is>
      </c>
      <c r="D101" t="inlineStr">
        <is>
          <t>117</t>
        </is>
      </c>
      <c r="E101">
        <f>HYPERLINK("https://www.britishcycling.org.uk/points?person_id=176985&amp;year=2022&amp;type=national&amp;d=6","Results")</f>
        <v/>
      </c>
    </row>
    <row r="102">
      <c r="A102" t="inlineStr">
        <is>
          <t>101</t>
        </is>
      </c>
      <c r="B102" t="inlineStr">
        <is>
          <t>Oliver Halliday</t>
        </is>
      </c>
      <c r="C102" t="inlineStr"/>
      <c r="D102" t="inlineStr">
        <is>
          <t>117</t>
        </is>
      </c>
      <c r="E102">
        <f>HYPERLINK("https://www.britishcycling.org.uk/points?person_id=652763&amp;year=2022&amp;type=national&amp;d=6","Results")</f>
        <v/>
      </c>
    </row>
    <row r="103">
      <c r="A103" t="inlineStr">
        <is>
          <t>102</t>
        </is>
      </c>
      <c r="B103" t="inlineStr">
        <is>
          <t>Kyle Houston</t>
        </is>
      </c>
      <c r="C103" t="inlineStr"/>
      <c r="D103" t="inlineStr">
        <is>
          <t>117</t>
        </is>
      </c>
      <c r="E103">
        <f>HYPERLINK("https://www.britishcycling.org.uk/points?person_id=682912&amp;year=2022&amp;type=national&amp;d=6","Results")</f>
        <v/>
      </c>
    </row>
    <row r="104">
      <c r="A104" t="inlineStr">
        <is>
          <t>103</t>
        </is>
      </c>
      <c r="B104" t="inlineStr">
        <is>
          <t>Thomas Yeatman</t>
        </is>
      </c>
      <c r="C104" t="inlineStr">
        <is>
          <t>Oxonian CC</t>
        </is>
      </c>
      <c r="D104" t="inlineStr">
        <is>
          <t>117</t>
        </is>
      </c>
      <c r="E104">
        <f>HYPERLINK("https://www.britishcycling.org.uk/points?person_id=44093&amp;year=2022&amp;type=national&amp;d=6","Results")</f>
        <v/>
      </c>
    </row>
    <row r="105">
      <c r="A105" t="inlineStr">
        <is>
          <t>104</t>
        </is>
      </c>
      <c r="B105" t="inlineStr">
        <is>
          <t>Eli Tucker</t>
        </is>
      </c>
      <c r="C105" t="inlineStr">
        <is>
          <t>Southampton University Road Club</t>
        </is>
      </c>
      <c r="D105" t="inlineStr">
        <is>
          <t>116</t>
        </is>
      </c>
      <c r="E105">
        <f>HYPERLINK("https://www.britishcycling.org.uk/points?person_id=277814&amp;year=2022&amp;type=national&amp;d=6","Results")</f>
        <v/>
      </c>
    </row>
    <row r="106">
      <c r="A106" t="inlineStr">
        <is>
          <t>105</t>
        </is>
      </c>
      <c r="B106" t="inlineStr">
        <is>
          <t>Mark Cotton</t>
        </is>
      </c>
      <c r="C106" t="inlineStr">
        <is>
          <t>Velo Club Lincoln</t>
        </is>
      </c>
      <c r="D106" t="inlineStr">
        <is>
          <t>115</t>
        </is>
      </c>
      <c r="E106">
        <f>HYPERLINK("https://www.britishcycling.org.uk/points?person_id=69812&amp;year=2022&amp;type=national&amp;d=6","Results")</f>
        <v/>
      </c>
    </row>
    <row r="107">
      <c r="A107" t="inlineStr">
        <is>
          <t>106</t>
        </is>
      </c>
      <c r="B107" t="inlineStr">
        <is>
          <t>John Bowman</t>
        </is>
      </c>
      <c r="C107" t="inlineStr">
        <is>
          <t>Muckle Cycle Club</t>
        </is>
      </c>
      <c r="D107" t="inlineStr">
        <is>
          <t>114</t>
        </is>
      </c>
      <c r="E107">
        <f>HYPERLINK("https://www.britishcycling.org.uk/points?person_id=388618&amp;year=2022&amp;type=national&amp;d=6","Results")</f>
        <v/>
      </c>
    </row>
    <row r="108">
      <c r="A108" t="inlineStr">
        <is>
          <t>107</t>
        </is>
      </c>
      <c r="B108" t="inlineStr">
        <is>
          <t>Leo White</t>
        </is>
      </c>
      <c r="C108" t="inlineStr">
        <is>
          <t>Origin Race Team</t>
        </is>
      </c>
      <c r="D108" t="inlineStr">
        <is>
          <t>113</t>
        </is>
      </c>
      <c r="E108">
        <f>HYPERLINK("https://www.britishcycling.org.uk/points?person_id=575007&amp;year=2022&amp;type=national&amp;d=6","Results")</f>
        <v/>
      </c>
    </row>
    <row r="109">
      <c r="A109" t="inlineStr">
        <is>
          <t>108</t>
        </is>
      </c>
      <c r="B109" t="inlineStr">
        <is>
          <t>Ethan Whiteside</t>
        </is>
      </c>
      <c r="C109" t="inlineStr">
        <is>
          <t>Prologue Racing Team</t>
        </is>
      </c>
      <c r="D109" t="inlineStr">
        <is>
          <t>112</t>
        </is>
      </c>
      <c r="E109">
        <f>HYPERLINK("https://www.britishcycling.org.uk/points?person_id=312109&amp;year=2022&amp;type=national&amp;d=6","Results")</f>
        <v/>
      </c>
    </row>
    <row r="110">
      <c r="A110" t="inlineStr">
        <is>
          <t>109</t>
        </is>
      </c>
      <c r="B110" t="inlineStr">
        <is>
          <t>Ryan Parkinson</t>
        </is>
      </c>
      <c r="C110" t="inlineStr">
        <is>
          <t>Muckle Cycle Club</t>
        </is>
      </c>
      <c r="D110" t="inlineStr">
        <is>
          <t>111</t>
        </is>
      </c>
      <c r="E110">
        <f>HYPERLINK("https://www.britishcycling.org.uk/points?person_id=655812&amp;year=2022&amp;type=national&amp;d=6","Results")</f>
        <v/>
      </c>
    </row>
    <row r="111">
      <c r="A111" t="inlineStr">
        <is>
          <t>110</t>
        </is>
      </c>
      <c r="B111" t="inlineStr">
        <is>
          <t>Peter Maytom</t>
        </is>
      </c>
      <c r="C111" t="inlineStr">
        <is>
          <t>VC Londres</t>
        </is>
      </c>
      <c r="D111" t="inlineStr">
        <is>
          <t>110</t>
        </is>
      </c>
      <c r="E111">
        <f>HYPERLINK("https://www.britishcycling.org.uk/points?person_id=769678&amp;year=2022&amp;type=national&amp;d=6","Results")</f>
        <v/>
      </c>
    </row>
    <row r="112">
      <c r="A112" t="inlineStr">
        <is>
          <t>111</t>
        </is>
      </c>
      <c r="B112" t="inlineStr">
        <is>
          <t>Jonathan Bayley</t>
        </is>
      </c>
      <c r="C112" t="inlineStr">
        <is>
          <t>Reifen Racing</t>
        </is>
      </c>
      <c r="D112" t="inlineStr">
        <is>
          <t>108</t>
        </is>
      </c>
      <c r="E112">
        <f>HYPERLINK("https://www.britishcycling.org.uk/points?person_id=304586&amp;year=2022&amp;type=national&amp;d=6","Results")</f>
        <v/>
      </c>
    </row>
    <row r="113">
      <c r="A113" t="inlineStr">
        <is>
          <t>112</t>
        </is>
      </c>
      <c r="B113" t="inlineStr">
        <is>
          <t>Olivier Martinez</t>
        </is>
      </c>
      <c r="C113" t="inlineStr">
        <is>
          <t>Dulwich Paragon CC</t>
        </is>
      </c>
      <c r="D113" t="inlineStr">
        <is>
          <t>108</t>
        </is>
      </c>
      <c r="E113">
        <f>HYPERLINK("https://www.britishcycling.org.uk/points?person_id=1009277&amp;year=2022&amp;type=national&amp;d=6","Results")</f>
        <v/>
      </c>
    </row>
    <row r="114">
      <c r="A114" t="inlineStr">
        <is>
          <t>113</t>
        </is>
      </c>
      <c r="B114" t="inlineStr">
        <is>
          <t>David Lines</t>
        </is>
      </c>
      <c r="C114" t="inlineStr">
        <is>
          <t>Wheelbase CabTech Castelli</t>
        </is>
      </c>
      <c r="D114" t="inlineStr">
        <is>
          <t>107</t>
        </is>
      </c>
      <c r="E114">
        <f>HYPERLINK("https://www.britishcycling.org.uk/points?person_id=27371&amp;year=2022&amp;type=national&amp;d=6","Results")</f>
        <v/>
      </c>
    </row>
    <row r="115">
      <c r="A115" t="inlineStr">
        <is>
          <t>114</t>
        </is>
      </c>
      <c r="B115" t="inlineStr">
        <is>
          <t>David Hird</t>
        </is>
      </c>
      <c r="C115" t="inlineStr">
        <is>
          <t>Embark - Bikestrong</t>
        </is>
      </c>
      <c r="D115" t="inlineStr">
        <is>
          <t>104</t>
        </is>
      </c>
      <c r="E115">
        <f>HYPERLINK("https://www.britishcycling.org.uk/points?person_id=277135&amp;year=2022&amp;type=national&amp;d=6","Results")</f>
        <v/>
      </c>
    </row>
    <row r="116">
      <c r="A116" t="inlineStr">
        <is>
          <t>115</t>
        </is>
      </c>
      <c r="B116" t="inlineStr">
        <is>
          <t>Fraser Ayears</t>
        </is>
      </c>
      <c r="C116" t="inlineStr">
        <is>
          <t>Welland Valley CC</t>
        </is>
      </c>
      <c r="D116" t="inlineStr">
        <is>
          <t>103</t>
        </is>
      </c>
      <c r="E116">
        <f>HYPERLINK("https://www.britishcycling.org.uk/points?person_id=224695&amp;year=2022&amp;type=national&amp;d=6","Results")</f>
        <v/>
      </c>
    </row>
    <row r="117">
      <c r="A117" t="inlineStr">
        <is>
          <t>116</t>
        </is>
      </c>
      <c r="B117" t="inlineStr">
        <is>
          <t>Harry Howlett</t>
        </is>
      </c>
      <c r="C117" t="inlineStr">
        <is>
          <t>Origin Race Team</t>
        </is>
      </c>
      <c r="D117" t="inlineStr">
        <is>
          <t>103</t>
        </is>
      </c>
      <c r="E117">
        <f>HYPERLINK("https://www.britishcycling.org.uk/points?person_id=688897&amp;year=2022&amp;type=national&amp;d=6","Results")</f>
        <v/>
      </c>
    </row>
    <row r="118">
      <c r="A118" t="inlineStr">
        <is>
          <t>117</t>
        </is>
      </c>
      <c r="B118" t="inlineStr">
        <is>
          <t>Alex Watkins</t>
        </is>
      </c>
      <c r="C118" t="inlineStr">
        <is>
          <t>Sarum Velo</t>
        </is>
      </c>
      <c r="D118" t="inlineStr">
        <is>
          <t>103</t>
        </is>
      </c>
      <c r="E118">
        <f>HYPERLINK("https://www.britishcycling.org.uk/points?person_id=497423&amp;year=2022&amp;type=national&amp;d=6","Results")</f>
        <v/>
      </c>
    </row>
    <row r="119">
      <c r="A119" t="inlineStr">
        <is>
          <t>118</t>
        </is>
      </c>
      <c r="B119" t="inlineStr">
        <is>
          <t>Richard McDonald</t>
        </is>
      </c>
      <c r="C119" t="inlineStr">
        <is>
          <t>Vanelli-Project Go</t>
        </is>
      </c>
      <c r="D119" t="inlineStr">
        <is>
          <t>101</t>
        </is>
      </c>
      <c r="E119">
        <f>HYPERLINK("https://www.britishcycling.org.uk/points?person_id=76589&amp;year=2022&amp;type=national&amp;d=6","Results")</f>
        <v/>
      </c>
    </row>
    <row r="120">
      <c r="A120" t="inlineStr">
        <is>
          <t>119</t>
        </is>
      </c>
      <c r="B120" t="inlineStr">
        <is>
          <t>Nathan Wilson</t>
        </is>
      </c>
      <c r="C120" t="inlineStr">
        <is>
          <t>Wilsons Wheels Race Team</t>
        </is>
      </c>
      <c r="D120" t="inlineStr">
        <is>
          <t>101</t>
        </is>
      </c>
      <c r="E120">
        <f>HYPERLINK("https://www.britishcycling.org.uk/points?person_id=29665&amp;year=2022&amp;type=national&amp;d=6","Results")</f>
        <v/>
      </c>
    </row>
    <row r="121">
      <c r="A121" t="inlineStr">
        <is>
          <t>120</t>
        </is>
      </c>
      <c r="B121" t="inlineStr">
        <is>
          <t>Simon Richardson</t>
        </is>
      </c>
      <c r="C121" t="inlineStr"/>
      <c r="D121" t="inlineStr">
        <is>
          <t>100</t>
        </is>
      </c>
      <c r="E121">
        <f>HYPERLINK("https://www.britishcycling.org.uk/points?person_id=33745&amp;year=2022&amp;type=national&amp;d=6","Results")</f>
        <v/>
      </c>
    </row>
    <row r="122">
      <c r="A122" t="inlineStr">
        <is>
          <t>121</t>
        </is>
      </c>
      <c r="B122" t="inlineStr">
        <is>
          <t>James Edmond</t>
        </is>
      </c>
      <c r="C122" t="inlineStr"/>
      <c r="D122" t="inlineStr">
        <is>
          <t>99</t>
        </is>
      </c>
      <c r="E122">
        <f>HYPERLINK("https://www.britishcycling.org.uk/points?person_id=39612&amp;year=2022&amp;type=national&amp;d=6","Results")</f>
        <v/>
      </c>
    </row>
    <row r="123">
      <c r="A123" t="inlineStr">
        <is>
          <t>122</t>
        </is>
      </c>
      <c r="B123" t="inlineStr">
        <is>
          <t>Jared Linden</t>
        </is>
      </c>
      <c r="C123" t="inlineStr"/>
      <c r="D123" t="inlineStr">
        <is>
          <t>97</t>
        </is>
      </c>
      <c r="E123">
        <f>HYPERLINK("https://www.britishcycling.org.uk/points?person_id=188827&amp;year=2022&amp;type=national&amp;d=6","Results")</f>
        <v/>
      </c>
    </row>
    <row r="124">
      <c r="A124" t="inlineStr">
        <is>
          <t>123</t>
        </is>
      </c>
      <c r="B124" t="inlineStr">
        <is>
          <t>Ben Askey</t>
        </is>
      </c>
      <c r="C124" t="inlineStr">
        <is>
          <t>FlandersColor Galloo</t>
        </is>
      </c>
      <c r="D124" t="inlineStr">
        <is>
          <t>94</t>
        </is>
      </c>
      <c r="E124">
        <f>HYPERLINK("https://www.britishcycling.org.uk/points?person_id=47284&amp;year=2022&amp;type=national&amp;d=6","Results")</f>
        <v/>
      </c>
    </row>
    <row r="125">
      <c r="A125" t="inlineStr">
        <is>
          <t>124</t>
        </is>
      </c>
      <c r="B125" t="inlineStr">
        <is>
          <t>Benjamin Horrobin</t>
        </is>
      </c>
      <c r="C125" t="inlineStr">
        <is>
          <t>Horwich CC</t>
        </is>
      </c>
      <c r="D125" t="inlineStr">
        <is>
          <t>94</t>
        </is>
      </c>
      <c r="E125">
        <f>HYPERLINK("https://www.britishcycling.org.uk/points?person_id=265363&amp;year=2022&amp;type=national&amp;d=6","Results")</f>
        <v/>
      </c>
    </row>
    <row r="126">
      <c r="A126" t="inlineStr">
        <is>
          <t>125</t>
        </is>
      </c>
      <c r="B126" t="inlineStr">
        <is>
          <t>Samuel Nisbet</t>
        </is>
      </c>
      <c r="C126" t="inlineStr">
        <is>
          <t>Jersey Youth Cycling</t>
        </is>
      </c>
      <c r="D126" t="inlineStr">
        <is>
          <t>94</t>
        </is>
      </c>
      <c r="E126">
        <f>HYPERLINK("https://www.britishcycling.org.uk/points?person_id=471934&amp;year=2022&amp;type=national&amp;d=6","Results")</f>
        <v/>
      </c>
    </row>
    <row r="127">
      <c r="A127" t="inlineStr">
        <is>
          <t>126</t>
        </is>
      </c>
      <c r="B127" t="inlineStr">
        <is>
          <t>Ethan Pratten</t>
        </is>
      </c>
      <c r="C127" t="inlineStr">
        <is>
          <t>Cardiff JIF</t>
        </is>
      </c>
      <c r="D127" t="inlineStr">
        <is>
          <t>94</t>
        </is>
      </c>
      <c r="E127">
        <f>HYPERLINK("https://www.britishcycling.org.uk/points?person_id=240756&amp;year=2022&amp;type=national&amp;d=6","Results")</f>
        <v/>
      </c>
    </row>
    <row r="128">
      <c r="A128" t="inlineStr">
        <is>
          <t>127</t>
        </is>
      </c>
      <c r="B128" t="inlineStr">
        <is>
          <t>Caelan Miller</t>
        </is>
      </c>
      <c r="C128" t="inlineStr">
        <is>
          <t>East London Velo</t>
        </is>
      </c>
      <c r="D128" t="inlineStr">
        <is>
          <t>92</t>
        </is>
      </c>
      <c r="E128">
        <f>HYPERLINK("https://www.britishcycling.org.uk/points?person_id=181802&amp;year=2022&amp;type=national&amp;d=6","Results")</f>
        <v/>
      </c>
    </row>
    <row r="129">
      <c r="A129" t="inlineStr">
        <is>
          <t>128</t>
        </is>
      </c>
      <c r="B129" t="inlineStr">
        <is>
          <t>Phillip Pearce</t>
        </is>
      </c>
      <c r="C129" t="inlineStr">
        <is>
          <t>Hope Factory Racing</t>
        </is>
      </c>
      <c r="D129" t="inlineStr">
        <is>
          <t>92</t>
        </is>
      </c>
      <c r="E129">
        <f>HYPERLINK("https://www.britishcycling.org.uk/points?person_id=15182&amp;year=2022&amp;type=national&amp;d=6","Results")</f>
        <v/>
      </c>
    </row>
    <row r="130">
      <c r="A130" t="inlineStr">
        <is>
          <t>129</t>
        </is>
      </c>
      <c r="B130" t="inlineStr">
        <is>
          <t>Mark Richards</t>
        </is>
      </c>
      <c r="C130" t="inlineStr">
        <is>
          <t>DAP Cycling Club</t>
        </is>
      </c>
      <c r="D130" t="inlineStr">
        <is>
          <t>92</t>
        </is>
      </c>
      <c r="E130">
        <f>HYPERLINK("https://www.britishcycling.org.uk/points?person_id=487142&amp;year=2022&amp;type=national&amp;d=6","Results")</f>
        <v/>
      </c>
    </row>
    <row r="131">
      <c r="A131" t="inlineStr">
        <is>
          <t>130</t>
        </is>
      </c>
      <c r="B131" t="inlineStr">
        <is>
          <t>Alan Duncan</t>
        </is>
      </c>
      <c r="C131" t="inlineStr">
        <is>
          <t>Sherwood Pines Cycles Forme</t>
        </is>
      </c>
      <c r="D131" t="inlineStr">
        <is>
          <t>91</t>
        </is>
      </c>
      <c r="E131">
        <f>HYPERLINK("https://www.britishcycling.org.uk/points?person_id=289725&amp;year=2022&amp;type=national&amp;d=6","Results")</f>
        <v/>
      </c>
    </row>
    <row r="132">
      <c r="A132" t="inlineStr">
        <is>
          <t>131</t>
        </is>
      </c>
      <c r="B132" t="inlineStr">
        <is>
          <t>Ryan Manders</t>
        </is>
      </c>
      <c r="C132" t="inlineStr">
        <is>
          <t>Pembrokeshire Velo</t>
        </is>
      </c>
      <c r="D132" t="inlineStr">
        <is>
          <t>90</t>
        </is>
      </c>
      <c r="E132">
        <f>HYPERLINK("https://www.britishcycling.org.uk/points?person_id=183613&amp;year=2022&amp;type=national&amp;d=6","Results")</f>
        <v/>
      </c>
    </row>
    <row r="133">
      <c r="A133" t="inlineStr">
        <is>
          <t>132</t>
        </is>
      </c>
      <c r="B133" t="inlineStr">
        <is>
          <t>Matthew Smith</t>
        </is>
      </c>
      <c r="C133" t="inlineStr">
        <is>
          <t>Muckle Cycle Club</t>
        </is>
      </c>
      <c r="D133" t="inlineStr">
        <is>
          <t>90</t>
        </is>
      </c>
      <c r="E133">
        <f>HYPERLINK("https://www.britishcycling.org.uk/points?person_id=819868&amp;year=2022&amp;type=national&amp;d=6","Results")</f>
        <v/>
      </c>
    </row>
    <row r="134">
      <c r="A134" t="inlineStr">
        <is>
          <t>133</t>
        </is>
      </c>
      <c r="B134" t="inlineStr">
        <is>
          <t>Peter Hargreaves</t>
        </is>
      </c>
      <c r="C134" t="inlineStr">
        <is>
          <t>GFTL</t>
        </is>
      </c>
      <c r="D134" t="inlineStr">
        <is>
          <t>89</t>
        </is>
      </c>
      <c r="E134">
        <f>HYPERLINK("https://www.britishcycling.org.uk/points?person_id=64363&amp;year=2022&amp;type=national&amp;d=6","Results")</f>
        <v/>
      </c>
    </row>
    <row r="135">
      <c r="A135" t="inlineStr">
        <is>
          <t>134</t>
        </is>
      </c>
      <c r="B135" t="inlineStr">
        <is>
          <t>Jack Brough</t>
        </is>
      </c>
      <c r="C135" t="inlineStr">
        <is>
          <t>Team Inspired</t>
        </is>
      </c>
      <c r="D135" t="inlineStr">
        <is>
          <t>88</t>
        </is>
      </c>
      <c r="E135">
        <f>HYPERLINK("https://www.britishcycling.org.uk/points?person_id=251523&amp;year=2022&amp;type=national&amp;d=6","Results")</f>
        <v/>
      </c>
    </row>
    <row r="136">
      <c r="A136" t="inlineStr">
        <is>
          <t>135</t>
        </is>
      </c>
      <c r="B136" t="inlineStr">
        <is>
          <t>Jackie Chan</t>
        </is>
      </c>
      <c r="C136" t="inlineStr">
        <is>
          <t>Team Andrew Allan Architecture</t>
        </is>
      </c>
      <c r="D136" t="inlineStr">
        <is>
          <t>88</t>
        </is>
      </c>
      <c r="E136">
        <f>HYPERLINK("https://www.britishcycling.org.uk/points?person_id=653132&amp;year=2022&amp;type=national&amp;d=6","Results")</f>
        <v/>
      </c>
    </row>
    <row r="137">
      <c r="A137" t="inlineStr">
        <is>
          <t>136</t>
        </is>
      </c>
      <c r="B137" t="inlineStr">
        <is>
          <t>Glen Whittington</t>
        </is>
      </c>
      <c r="C137" t="inlineStr">
        <is>
          <t>Southborough &amp; District Whls</t>
        </is>
      </c>
      <c r="D137" t="inlineStr">
        <is>
          <t>88</t>
        </is>
      </c>
      <c r="E137">
        <f>HYPERLINK("https://www.britishcycling.org.uk/points?person_id=102480&amp;year=2022&amp;type=national&amp;d=6","Results")</f>
        <v/>
      </c>
    </row>
    <row r="138">
      <c r="A138" t="inlineStr">
        <is>
          <t>137</t>
        </is>
      </c>
      <c r="B138" t="inlineStr">
        <is>
          <t>Alexander Ball</t>
        </is>
      </c>
      <c r="C138" t="inlineStr">
        <is>
          <t>Zappi Racing Team</t>
        </is>
      </c>
      <c r="D138" t="inlineStr">
        <is>
          <t>87</t>
        </is>
      </c>
      <c r="E138">
        <f>HYPERLINK("https://www.britishcycling.org.uk/points?person_id=124643&amp;year=2022&amp;type=national&amp;d=6","Results")</f>
        <v/>
      </c>
    </row>
    <row r="139">
      <c r="A139" t="inlineStr">
        <is>
          <t>138</t>
        </is>
      </c>
      <c r="B139" t="inlineStr">
        <is>
          <t>Jack Southcott</t>
        </is>
      </c>
      <c r="C139" t="inlineStr">
        <is>
          <t>Saint Piran Development</t>
        </is>
      </c>
      <c r="D139" t="inlineStr">
        <is>
          <t>86</t>
        </is>
      </c>
      <c r="E139">
        <f>HYPERLINK("https://www.britishcycling.org.uk/points?person_id=347767&amp;year=2022&amp;type=national&amp;d=6","Results")</f>
        <v/>
      </c>
    </row>
    <row r="140">
      <c r="A140" t="inlineStr">
        <is>
          <t>139</t>
        </is>
      </c>
      <c r="B140" t="inlineStr">
        <is>
          <t>Rhys Deen</t>
        </is>
      </c>
      <c r="C140" t="inlineStr">
        <is>
          <t>Merthyr Cycling Club</t>
        </is>
      </c>
      <c r="D140" t="inlineStr">
        <is>
          <t>85</t>
        </is>
      </c>
      <c r="E140">
        <f>HYPERLINK("https://www.britishcycling.org.uk/points?person_id=612454&amp;year=2022&amp;type=national&amp;d=6","Results")</f>
        <v/>
      </c>
    </row>
    <row r="141">
      <c r="A141" t="inlineStr">
        <is>
          <t>140</t>
        </is>
      </c>
      <c r="B141" t="inlineStr">
        <is>
          <t>Mark Fiddy</t>
        </is>
      </c>
      <c r="C141" t="inlineStr">
        <is>
          <t>Welland Valley CC</t>
        </is>
      </c>
      <c r="D141" t="inlineStr">
        <is>
          <t>85</t>
        </is>
      </c>
      <c r="E141">
        <f>HYPERLINK("https://www.britishcycling.org.uk/points?person_id=322960&amp;year=2022&amp;type=national&amp;d=6","Results")</f>
        <v/>
      </c>
    </row>
    <row r="142">
      <c r="A142" t="inlineStr">
        <is>
          <t>141</t>
        </is>
      </c>
      <c r="B142" t="inlineStr">
        <is>
          <t>Ross Jarvis</t>
        </is>
      </c>
      <c r="C142" t="inlineStr">
        <is>
          <t>Islington Cycling Club</t>
        </is>
      </c>
      <c r="D142" t="inlineStr">
        <is>
          <t>85</t>
        </is>
      </c>
      <c r="E142">
        <f>HYPERLINK("https://www.britishcycling.org.uk/points?person_id=990178&amp;year=2022&amp;type=national&amp;d=6","Results")</f>
        <v/>
      </c>
    </row>
    <row r="143">
      <c r="A143" t="inlineStr">
        <is>
          <t>142</t>
        </is>
      </c>
      <c r="B143" t="inlineStr">
        <is>
          <t>David Brazier</t>
        </is>
      </c>
      <c r="C143" t="inlineStr">
        <is>
          <t>Sarum Velo</t>
        </is>
      </c>
      <c r="D143" t="inlineStr">
        <is>
          <t>84</t>
        </is>
      </c>
      <c r="E143">
        <f>HYPERLINK("https://www.britishcycling.org.uk/points?person_id=512146&amp;year=2022&amp;type=national&amp;d=6","Results")</f>
        <v/>
      </c>
    </row>
    <row r="144">
      <c r="A144" t="inlineStr">
        <is>
          <t>143</t>
        </is>
      </c>
      <c r="B144" t="inlineStr">
        <is>
          <t>Alex Powell</t>
        </is>
      </c>
      <c r="C144" t="inlineStr">
        <is>
          <t>TORQ Performance</t>
        </is>
      </c>
      <c r="D144" t="inlineStr">
        <is>
          <t>84</t>
        </is>
      </c>
      <c r="E144">
        <f>HYPERLINK("https://www.britishcycling.org.uk/points?person_id=188680&amp;year=2022&amp;type=national&amp;d=6","Results")</f>
        <v/>
      </c>
    </row>
    <row r="145">
      <c r="A145" t="inlineStr">
        <is>
          <t>144</t>
        </is>
      </c>
      <c r="B145" t="inlineStr">
        <is>
          <t>Cai Davies</t>
        </is>
      </c>
      <c r="C145" t="inlineStr">
        <is>
          <t>Leicester University Cycling Team</t>
        </is>
      </c>
      <c r="D145" t="inlineStr">
        <is>
          <t>83</t>
        </is>
      </c>
      <c r="E145">
        <f>HYPERLINK("https://www.britishcycling.org.uk/points?person_id=235228&amp;year=2022&amp;type=national&amp;d=6","Results")</f>
        <v/>
      </c>
    </row>
    <row r="146">
      <c r="A146" t="inlineStr">
        <is>
          <t>145</t>
        </is>
      </c>
      <c r="B146" t="inlineStr">
        <is>
          <t>Ben Lambert</t>
        </is>
      </c>
      <c r="C146" t="inlineStr">
        <is>
          <t>INFLITE TYPE ONE</t>
        </is>
      </c>
      <c r="D146" t="inlineStr">
        <is>
          <t>81</t>
        </is>
      </c>
      <c r="E146">
        <f>HYPERLINK("https://www.britishcycling.org.uk/points?person_id=402823&amp;year=2022&amp;type=national&amp;d=6","Results")</f>
        <v/>
      </c>
    </row>
    <row r="147">
      <c r="A147" t="inlineStr">
        <is>
          <t>146</t>
        </is>
      </c>
      <c r="B147" t="inlineStr">
        <is>
          <t>Lewis Ridley</t>
        </is>
      </c>
      <c r="C147" t="inlineStr">
        <is>
          <t>Clifton CC</t>
        </is>
      </c>
      <c r="D147" t="inlineStr">
        <is>
          <t>80</t>
        </is>
      </c>
      <c r="E147">
        <f>HYPERLINK("https://www.britishcycling.org.uk/points?person_id=517125&amp;year=2022&amp;type=national&amp;d=6","Results")</f>
        <v/>
      </c>
    </row>
    <row r="148">
      <c r="A148" t="inlineStr">
        <is>
          <t>147</t>
        </is>
      </c>
      <c r="B148" t="inlineStr">
        <is>
          <t>William Lezard</t>
        </is>
      </c>
      <c r="C148" t="inlineStr"/>
      <c r="D148" t="inlineStr">
        <is>
          <t>79</t>
        </is>
      </c>
      <c r="E148">
        <f>HYPERLINK("https://www.britishcycling.org.uk/points?person_id=729665&amp;year=2022&amp;type=national&amp;d=6","Results")</f>
        <v/>
      </c>
    </row>
    <row r="149">
      <c r="A149" t="inlineStr">
        <is>
          <t>148</t>
        </is>
      </c>
      <c r="B149" t="inlineStr">
        <is>
          <t>Freddie Checketts</t>
        </is>
      </c>
      <c r="C149" t="inlineStr">
        <is>
          <t>Kibosh</t>
        </is>
      </c>
      <c r="D149" t="inlineStr">
        <is>
          <t>78</t>
        </is>
      </c>
      <c r="E149">
        <f>HYPERLINK("https://www.britishcycling.org.uk/points?person_id=606418&amp;year=2022&amp;type=national&amp;d=6","Results")</f>
        <v/>
      </c>
    </row>
    <row r="150">
      <c r="A150" t="inlineStr">
        <is>
          <t>149</t>
        </is>
      </c>
      <c r="B150" t="inlineStr">
        <is>
          <t>Wilfred Sinclair</t>
        </is>
      </c>
      <c r="C150" t="inlineStr">
        <is>
          <t>Velo 1860</t>
        </is>
      </c>
      <c r="D150" t="inlineStr">
        <is>
          <t>78</t>
        </is>
      </c>
      <c r="E150">
        <f>HYPERLINK("https://www.britishcycling.org.uk/points?person_id=1550&amp;year=2022&amp;type=national&amp;d=6","Results")</f>
        <v/>
      </c>
    </row>
    <row r="151">
      <c r="A151" t="inlineStr">
        <is>
          <t>150</t>
        </is>
      </c>
      <c r="B151" t="inlineStr">
        <is>
          <t>Max Avery</t>
        </is>
      </c>
      <c r="C151" t="inlineStr">
        <is>
          <t>Colchester Rovers CC</t>
        </is>
      </c>
      <c r="D151" t="inlineStr">
        <is>
          <t>77</t>
        </is>
      </c>
      <c r="E151">
        <f>HYPERLINK("https://www.britishcycling.org.uk/points?person_id=677435&amp;year=2022&amp;type=national&amp;d=6","Results")</f>
        <v/>
      </c>
    </row>
    <row r="152">
      <c r="A152" t="inlineStr">
        <is>
          <t>151</t>
        </is>
      </c>
      <c r="B152" t="inlineStr">
        <is>
          <t>Rowan Baxter</t>
        </is>
      </c>
      <c r="C152" t="inlineStr">
        <is>
          <t>Huddersfield Star Wheelers</t>
        </is>
      </c>
      <c r="D152" t="inlineStr">
        <is>
          <t>77</t>
        </is>
      </c>
      <c r="E152">
        <f>HYPERLINK("https://www.britishcycling.org.uk/points?person_id=314080&amp;year=2022&amp;type=national&amp;d=6","Results")</f>
        <v/>
      </c>
    </row>
    <row r="153">
      <c r="A153" t="inlineStr">
        <is>
          <t>152</t>
        </is>
      </c>
      <c r="B153" t="inlineStr">
        <is>
          <t>Scott Chalmers</t>
        </is>
      </c>
      <c r="C153" t="inlineStr">
        <is>
          <t>Magspeed Racing</t>
        </is>
      </c>
      <c r="D153" t="inlineStr">
        <is>
          <t>77</t>
        </is>
      </c>
      <c r="E153">
        <f>HYPERLINK("https://www.britishcycling.org.uk/points?person_id=55436&amp;year=2022&amp;type=national&amp;d=6","Results")</f>
        <v/>
      </c>
    </row>
    <row r="154">
      <c r="A154" t="inlineStr">
        <is>
          <t>153</t>
        </is>
      </c>
      <c r="B154" t="inlineStr">
        <is>
          <t>Andrea Bartoluccio</t>
        </is>
      </c>
      <c r="C154" t="inlineStr">
        <is>
          <t>Verulam - reallymoving.com</t>
        </is>
      </c>
      <c r="D154" t="inlineStr">
        <is>
          <t>75</t>
        </is>
      </c>
      <c r="E154">
        <f>HYPERLINK("https://www.britishcycling.org.uk/points?person_id=983040&amp;year=2022&amp;type=national&amp;d=6","Results")</f>
        <v/>
      </c>
    </row>
    <row r="155">
      <c r="A155" t="inlineStr">
        <is>
          <t>154</t>
        </is>
      </c>
      <c r="B155" t="inlineStr">
        <is>
          <t>Callum Hughes</t>
        </is>
      </c>
      <c r="C155" t="inlineStr"/>
      <c r="D155" t="inlineStr">
        <is>
          <t>75</t>
        </is>
      </c>
      <c r="E155">
        <f>HYPERLINK("https://www.britishcycling.org.uk/points?person_id=122465&amp;year=2022&amp;type=national&amp;d=6","Results")</f>
        <v/>
      </c>
    </row>
    <row r="156">
      <c r="A156" t="inlineStr">
        <is>
          <t>155</t>
        </is>
      </c>
      <c r="B156" t="inlineStr">
        <is>
          <t>George Sales</t>
        </is>
      </c>
      <c r="C156" t="inlineStr">
        <is>
          <t>Project 51</t>
        </is>
      </c>
      <c r="D156" t="inlineStr">
        <is>
          <t>75</t>
        </is>
      </c>
      <c r="E156">
        <f>HYPERLINK("https://www.britishcycling.org.uk/points?person_id=79205&amp;year=2022&amp;type=national&amp;d=6","Results")</f>
        <v/>
      </c>
    </row>
    <row r="157">
      <c r="A157" t="inlineStr">
        <is>
          <t>156</t>
        </is>
      </c>
      <c r="B157" t="inlineStr">
        <is>
          <t>Max Hale</t>
        </is>
      </c>
      <c r="C157" t="inlineStr"/>
      <c r="D157" t="inlineStr">
        <is>
          <t>74</t>
        </is>
      </c>
      <c r="E157">
        <f>HYPERLINK("https://www.britishcycling.org.uk/points?person_id=205790&amp;year=2022&amp;type=national&amp;d=6","Results")</f>
        <v/>
      </c>
    </row>
    <row r="158">
      <c r="A158" t="inlineStr">
        <is>
          <t>157</t>
        </is>
      </c>
      <c r="B158" t="inlineStr">
        <is>
          <t>Ciaran Mc Sherry</t>
        </is>
      </c>
      <c r="C158" t="inlineStr">
        <is>
          <t>The Cycling Academy</t>
        </is>
      </c>
      <c r="D158" t="inlineStr">
        <is>
          <t>74</t>
        </is>
      </c>
      <c r="E158">
        <f>HYPERLINK("https://www.britishcycling.org.uk/points?person_id=753231&amp;year=2022&amp;type=national&amp;d=6","Results")</f>
        <v/>
      </c>
    </row>
    <row r="159">
      <c r="A159" t="inlineStr">
        <is>
          <t>158</t>
        </is>
      </c>
      <c r="B159" t="inlineStr">
        <is>
          <t>James Sharp</t>
        </is>
      </c>
      <c r="C159" t="inlineStr">
        <is>
          <t>Clifton CC</t>
        </is>
      </c>
      <c r="D159" t="inlineStr">
        <is>
          <t>73</t>
        </is>
      </c>
      <c r="E159">
        <f>HYPERLINK("https://www.britishcycling.org.uk/points?person_id=68389&amp;year=2022&amp;type=national&amp;d=6","Results")</f>
        <v/>
      </c>
    </row>
    <row r="160">
      <c r="A160" t="inlineStr">
        <is>
          <t>159</t>
        </is>
      </c>
      <c r="B160" t="inlineStr">
        <is>
          <t>Nicholas Craig</t>
        </is>
      </c>
      <c r="C160" t="inlineStr">
        <is>
          <t>SCOTT Racing</t>
        </is>
      </c>
      <c r="D160" t="inlineStr">
        <is>
          <t>72</t>
        </is>
      </c>
      <c r="E160">
        <f>HYPERLINK("https://www.britishcycling.org.uk/points?person_id=12100&amp;year=2022&amp;type=national&amp;d=6","Results")</f>
        <v/>
      </c>
    </row>
    <row r="161">
      <c r="A161" t="inlineStr">
        <is>
          <t>160</t>
        </is>
      </c>
      <c r="B161" t="inlineStr">
        <is>
          <t>Richard Eakins</t>
        </is>
      </c>
      <c r="C161" t="inlineStr">
        <is>
          <t>EDCO Wheels RT</t>
        </is>
      </c>
      <c r="D161" t="inlineStr">
        <is>
          <t>72</t>
        </is>
      </c>
      <c r="E161">
        <f>HYPERLINK("https://www.britishcycling.org.uk/points?person_id=252787&amp;year=2022&amp;type=national&amp;d=6","Results")</f>
        <v/>
      </c>
    </row>
    <row r="162">
      <c r="A162" t="inlineStr">
        <is>
          <t>161</t>
        </is>
      </c>
      <c r="B162" t="inlineStr">
        <is>
          <t>Oliver Peace</t>
        </is>
      </c>
      <c r="C162" t="inlineStr">
        <is>
          <t>Tofauti Everyone Active</t>
        </is>
      </c>
      <c r="D162" t="inlineStr">
        <is>
          <t>72</t>
        </is>
      </c>
      <c r="E162">
        <f>HYPERLINK("https://www.britishcycling.org.uk/points?person_id=538163&amp;year=2022&amp;type=national&amp;d=6","Results")</f>
        <v/>
      </c>
    </row>
    <row r="163">
      <c r="A163" t="inlineStr">
        <is>
          <t>162</t>
        </is>
      </c>
      <c r="B163" t="inlineStr">
        <is>
          <t>Peter Sammon</t>
        </is>
      </c>
      <c r="C163" t="inlineStr"/>
      <c r="D163" t="inlineStr">
        <is>
          <t>72</t>
        </is>
      </c>
      <c r="E163">
        <f>HYPERLINK("https://www.britishcycling.org.uk/points?person_id=75879&amp;year=2022&amp;type=national&amp;d=6","Results")</f>
        <v/>
      </c>
    </row>
    <row r="164">
      <c r="A164" t="inlineStr">
        <is>
          <t>163</t>
        </is>
      </c>
      <c r="B164" t="inlineStr">
        <is>
          <t>Liam Scott Douglas</t>
        </is>
      </c>
      <c r="C164" t="inlineStr">
        <is>
          <t>JG Cycles CC</t>
        </is>
      </c>
      <c r="D164" t="inlineStr">
        <is>
          <t>72</t>
        </is>
      </c>
      <c r="E164">
        <f>HYPERLINK("https://www.britishcycling.org.uk/points?person_id=846114&amp;year=2022&amp;type=national&amp;d=6","Results")</f>
        <v/>
      </c>
    </row>
    <row r="165">
      <c r="A165" t="inlineStr">
        <is>
          <t>164</t>
        </is>
      </c>
      <c r="B165" t="inlineStr">
        <is>
          <t>Peter Davies</t>
        </is>
      </c>
      <c r="C165" t="inlineStr">
        <is>
          <t>Finsbury Park CC</t>
        </is>
      </c>
      <c r="D165" t="inlineStr">
        <is>
          <t>69</t>
        </is>
      </c>
      <c r="E165">
        <f>HYPERLINK("https://www.britishcycling.org.uk/points?person_id=1003039&amp;year=2022&amp;type=national&amp;d=6","Results")</f>
        <v/>
      </c>
    </row>
    <row r="166">
      <c r="A166" t="inlineStr">
        <is>
          <t>165</t>
        </is>
      </c>
      <c r="B166" t="inlineStr">
        <is>
          <t>William Dykes</t>
        </is>
      </c>
      <c r="C166" t="inlineStr">
        <is>
          <t>Spokes Racing Team</t>
        </is>
      </c>
      <c r="D166" t="inlineStr">
        <is>
          <t>69</t>
        </is>
      </c>
      <c r="E166">
        <f>HYPERLINK("https://www.britishcycling.org.uk/points?person_id=300937&amp;year=2022&amp;type=national&amp;d=6","Results")</f>
        <v/>
      </c>
    </row>
    <row r="167">
      <c r="A167" t="inlineStr">
        <is>
          <t>166</t>
        </is>
      </c>
      <c r="B167" t="inlineStr">
        <is>
          <t>George Beck</t>
        </is>
      </c>
      <c r="C167" t="inlineStr">
        <is>
          <t>Clash Racing</t>
        </is>
      </c>
      <c r="D167" t="inlineStr">
        <is>
          <t>68</t>
        </is>
      </c>
      <c r="E167">
        <f>HYPERLINK("https://www.britishcycling.org.uk/points?person_id=319581&amp;year=2022&amp;type=national&amp;d=6","Results")</f>
        <v/>
      </c>
    </row>
    <row r="168">
      <c r="A168" t="inlineStr">
        <is>
          <t>167</t>
        </is>
      </c>
      <c r="B168" t="inlineStr">
        <is>
          <t>Alec Briggs</t>
        </is>
      </c>
      <c r="C168" t="inlineStr">
        <is>
          <t>TEKKERZ CC</t>
        </is>
      </c>
      <c r="D168" t="inlineStr">
        <is>
          <t>68</t>
        </is>
      </c>
      <c r="E168">
        <f>HYPERLINK("https://www.britishcycling.org.uk/points?person_id=77719&amp;year=2022&amp;type=national&amp;d=6","Results")</f>
        <v/>
      </c>
    </row>
    <row r="169">
      <c r="A169" t="inlineStr">
        <is>
          <t>168</t>
        </is>
      </c>
      <c r="B169" t="inlineStr">
        <is>
          <t>Tom Ford</t>
        </is>
      </c>
      <c r="C169" t="inlineStr">
        <is>
          <t>Muckle Cycle Club</t>
        </is>
      </c>
      <c r="D169" t="inlineStr">
        <is>
          <t>68</t>
        </is>
      </c>
      <c r="E169">
        <f>HYPERLINK("https://www.britishcycling.org.uk/points?person_id=312461&amp;year=2022&amp;type=national&amp;d=6","Results")</f>
        <v/>
      </c>
    </row>
    <row r="170">
      <c r="A170" t="inlineStr">
        <is>
          <t>169</t>
        </is>
      </c>
      <c r="B170" t="inlineStr">
        <is>
          <t>George Fox</t>
        </is>
      </c>
      <c r="C170" t="inlineStr"/>
      <c r="D170" t="inlineStr">
        <is>
          <t>68</t>
        </is>
      </c>
      <c r="E170">
        <f>HYPERLINK("https://www.britishcycling.org.uk/points?person_id=180753&amp;year=2022&amp;type=national&amp;d=6","Results")</f>
        <v/>
      </c>
    </row>
    <row r="171">
      <c r="A171" t="inlineStr">
        <is>
          <t>170</t>
        </is>
      </c>
      <c r="B171" t="inlineStr">
        <is>
          <t>Thomas Payton</t>
        </is>
      </c>
      <c r="C171" t="inlineStr">
        <is>
          <t>Stourbridge CC</t>
        </is>
      </c>
      <c r="D171" t="inlineStr">
        <is>
          <t>68</t>
        </is>
      </c>
      <c r="E171">
        <f>HYPERLINK("https://www.britishcycling.org.uk/points?person_id=44717&amp;year=2022&amp;type=national&amp;d=6","Results")</f>
        <v/>
      </c>
    </row>
    <row r="172">
      <c r="A172" t="inlineStr">
        <is>
          <t>171</t>
        </is>
      </c>
      <c r="B172" t="inlineStr">
        <is>
          <t>Corey Bale</t>
        </is>
      </c>
      <c r="C172" t="inlineStr">
        <is>
          <t>Brother UK-Orientation Marketing</t>
        </is>
      </c>
      <c r="D172" t="inlineStr">
        <is>
          <t>67</t>
        </is>
      </c>
      <c r="E172">
        <f>HYPERLINK("https://www.britishcycling.org.uk/points?person_id=348436&amp;year=2022&amp;type=national&amp;d=6","Results")</f>
        <v/>
      </c>
    </row>
    <row r="173">
      <c r="A173" t="inlineStr">
        <is>
          <t>172</t>
        </is>
      </c>
      <c r="B173" t="inlineStr">
        <is>
          <t>William Dunk</t>
        </is>
      </c>
      <c r="C173" t="inlineStr">
        <is>
          <t>Sunday Echappée</t>
        </is>
      </c>
      <c r="D173" t="inlineStr">
        <is>
          <t>67</t>
        </is>
      </c>
      <c r="E173">
        <f>HYPERLINK("https://www.britishcycling.org.uk/points?person_id=426024&amp;year=2022&amp;type=national&amp;d=6","Results")</f>
        <v/>
      </c>
    </row>
    <row r="174">
      <c r="A174" t="inlineStr">
        <is>
          <t>173</t>
        </is>
      </c>
      <c r="B174" t="inlineStr">
        <is>
          <t>James George Dunn</t>
        </is>
      </c>
      <c r="C174" t="inlineStr">
        <is>
          <t>South Shields Velo Cycling Club</t>
        </is>
      </c>
      <c r="D174" t="inlineStr">
        <is>
          <t>67</t>
        </is>
      </c>
      <c r="E174">
        <f>HYPERLINK("https://www.britishcycling.org.uk/points?person_id=583501&amp;year=2022&amp;type=national&amp;d=6","Results")</f>
        <v/>
      </c>
    </row>
    <row r="175">
      <c r="A175" t="inlineStr">
        <is>
          <t>174</t>
        </is>
      </c>
      <c r="B175" t="inlineStr">
        <is>
          <t>Daniel Hall</t>
        </is>
      </c>
      <c r="C175" t="inlineStr">
        <is>
          <t>Colchester Rovers CC</t>
        </is>
      </c>
      <c r="D175" t="inlineStr">
        <is>
          <t>67</t>
        </is>
      </c>
      <c r="E175">
        <f>HYPERLINK("https://www.britishcycling.org.uk/points?person_id=176273&amp;year=2022&amp;type=national&amp;d=6","Results")</f>
        <v/>
      </c>
    </row>
    <row r="176">
      <c r="A176" t="inlineStr">
        <is>
          <t>175</t>
        </is>
      </c>
      <c r="B176" t="inlineStr">
        <is>
          <t>Iain Murray</t>
        </is>
      </c>
      <c r="C176" t="inlineStr"/>
      <c r="D176" t="inlineStr">
        <is>
          <t>67</t>
        </is>
      </c>
      <c r="E176">
        <f>HYPERLINK("https://www.britishcycling.org.uk/points?person_id=754589&amp;year=2022&amp;type=national&amp;d=6","Results")</f>
        <v/>
      </c>
    </row>
    <row r="177">
      <c r="A177" t="inlineStr">
        <is>
          <t>176</t>
        </is>
      </c>
      <c r="B177" t="inlineStr">
        <is>
          <t>Joseph Smith</t>
        </is>
      </c>
      <c r="C177" t="inlineStr">
        <is>
          <t>Tofauti Everyone Active</t>
        </is>
      </c>
      <c r="D177" t="inlineStr">
        <is>
          <t>66</t>
        </is>
      </c>
      <c r="E177">
        <f>HYPERLINK("https://www.britishcycling.org.uk/points?person_id=494777&amp;year=2022&amp;type=national&amp;d=6","Results")</f>
        <v/>
      </c>
    </row>
    <row r="178">
      <c r="A178" t="inlineStr">
        <is>
          <t>177</t>
        </is>
      </c>
      <c r="B178" t="inlineStr">
        <is>
          <t>Jacob Storey</t>
        </is>
      </c>
      <c r="C178" t="inlineStr">
        <is>
          <t>trainSharp Development Team</t>
        </is>
      </c>
      <c r="D178" t="inlineStr">
        <is>
          <t>66</t>
        </is>
      </c>
      <c r="E178">
        <f>HYPERLINK("https://www.britishcycling.org.uk/points?person_id=35857&amp;year=2022&amp;type=national&amp;d=6","Results")</f>
        <v/>
      </c>
    </row>
    <row r="179">
      <c r="A179" t="inlineStr">
        <is>
          <t>178</t>
        </is>
      </c>
      <c r="B179" t="inlineStr">
        <is>
          <t>Paul Oldham</t>
        </is>
      </c>
      <c r="C179" t="inlineStr">
        <is>
          <t>Hope Factory Racing</t>
        </is>
      </c>
      <c r="D179" t="inlineStr">
        <is>
          <t>65</t>
        </is>
      </c>
      <c r="E179">
        <f>HYPERLINK("https://www.britishcycling.org.uk/points?person_id=7344&amp;year=2022&amp;type=national&amp;d=6","Results")</f>
        <v/>
      </c>
    </row>
    <row r="180">
      <c r="A180" t="inlineStr">
        <is>
          <t>179</t>
        </is>
      </c>
      <c r="B180" t="inlineStr">
        <is>
          <t>Daniel Preece</t>
        </is>
      </c>
      <c r="C180" t="inlineStr">
        <is>
          <t>Army Cycling Union</t>
        </is>
      </c>
      <c r="D180" t="inlineStr">
        <is>
          <t>65</t>
        </is>
      </c>
      <c r="E180">
        <f>HYPERLINK("https://www.britishcycling.org.uk/points?person_id=502030&amp;year=2022&amp;type=national&amp;d=6","Results")</f>
        <v/>
      </c>
    </row>
    <row r="181">
      <c r="A181" t="inlineStr">
        <is>
          <t>180</t>
        </is>
      </c>
      <c r="B181" t="inlineStr">
        <is>
          <t>Sebastian Bacon</t>
        </is>
      </c>
      <c r="C181" t="inlineStr">
        <is>
          <t>Wolverhampton Wheelers</t>
        </is>
      </c>
      <c r="D181" t="inlineStr">
        <is>
          <t>64</t>
        </is>
      </c>
      <c r="E181">
        <f>HYPERLINK("https://www.britishcycling.org.uk/points?person_id=77668&amp;year=2022&amp;type=national&amp;d=6","Results")</f>
        <v/>
      </c>
    </row>
    <row r="182">
      <c r="A182" t="inlineStr">
        <is>
          <t>181</t>
        </is>
      </c>
      <c r="B182" t="inlineStr">
        <is>
          <t>Luke Beswick</t>
        </is>
      </c>
      <c r="C182" t="inlineStr">
        <is>
          <t>High Peak Cycles RT</t>
        </is>
      </c>
      <c r="D182" t="inlineStr">
        <is>
          <t>64</t>
        </is>
      </c>
      <c r="E182">
        <f>HYPERLINK("https://www.britishcycling.org.uk/points?person_id=64391&amp;year=2022&amp;type=national&amp;d=6","Results")</f>
        <v/>
      </c>
    </row>
    <row r="183">
      <c r="A183" t="inlineStr">
        <is>
          <t>182</t>
        </is>
      </c>
      <c r="B183" t="inlineStr">
        <is>
          <t>Edd Charlton-Weedy</t>
        </is>
      </c>
      <c r="C183" t="inlineStr">
        <is>
          <t>Army Cycling Union</t>
        </is>
      </c>
      <c r="D183" t="inlineStr">
        <is>
          <t>64</t>
        </is>
      </c>
      <c r="E183">
        <f>HYPERLINK("https://www.britishcycling.org.uk/points?person_id=631378&amp;year=2022&amp;type=national&amp;d=6","Results")</f>
        <v/>
      </c>
    </row>
    <row r="184">
      <c r="A184" t="inlineStr">
        <is>
          <t>183</t>
        </is>
      </c>
      <c r="B184" t="inlineStr">
        <is>
          <t>Sam Kettlewell</t>
        </is>
      </c>
      <c r="C184" t="inlineStr">
        <is>
          <t>TS Racing</t>
        </is>
      </c>
      <c r="D184" t="inlineStr">
        <is>
          <t>64</t>
        </is>
      </c>
      <c r="E184">
        <f>HYPERLINK("https://www.britishcycling.org.uk/points?person_id=801055&amp;year=2022&amp;type=national&amp;d=6","Results")</f>
        <v/>
      </c>
    </row>
    <row r="185">
      <c r="A185" t="inlineStr">
        <is>
          <t>184</t>
        </is>
      </c>
      <c r="B185" t="inlineStr">
        <is>
          <t>Sam Andrews</t>
        </is>
      </c>
      <c r="C185" t="inlineStr">
        <is>
          <t>Clash Racing</t>
        </is>
      </c>
      <c r="D185" t="inlineStr">
        <is>
          <t>63</t>
        </is>
      </c>
      <c r="E185">
        <f>HYPERLINK("https://www.britishcycling.org.uk/points?person_id=756777&amp;year=2022&amp;type=national&amp;d=6","Results")</f>
        <v/>
      </c>
    </row>
    <row r="186">
      <c r="A186" t="inlineStr">
        <is>
          <t>185</t>
        </is>
      </c>
      <c r="B186" t="inlineStr">
        <is>
          <t>Rory Munn</t>
        </is>
      </c>
      <c r="C186" t="inlineStr">
        <is>
          <t>Dyson Cycles</t>
        </is>
      </c>
      <c r="D186" t="inlineStr">
        <is>
          <t>63</t>
        </is>
      </c>
      <c r="E186">
        <f>HYPERLINK("https://www.britishcycling.org.uk/points?person_id=353126&amp;year=2022&amp;type=national&amp;d=6","Results")</f>
        <v/>
      </c>
    </row>
    <row r="187">
      <c r="A187" t="inlineStr">
        <is>
          <t>186</t>
        </is>
      </c>
      <c r="B187" t="inlineStr">
        <is>
          <t>Samuel Bennett</t>
        </is>
      </c>
      <c r="C187" t="inlineStr">
        <is>
          <t>WestSide Coaching</t>
        </is>
      </c>
      <c r="D187" t="inlineStr">
        <is>
          <t>62</t>
        </is>
      </c>
      <c r="E187">
        <f>HYPERLINK("https://www.britishcycling.org.uk/points?person_id=137132&amp;year=2022&amp;type=national&amp;d=6","Results")</f>
        <v/>
      </c>
    </row>
    <row r="188">
      <c r="A188" t="inlineStr">
        <is>
          <t>187</t>
        </is>
      </c>
      <c r="B188" t="inlineStr">
        <is>
          <t>Charles Page</t>
        </is>
      </c>
      <c r="C188" t="inlineStr">
        <is>
          <t>Saint Piran</t>
        </is>
      </c>
      <c r="D188" t="inlineStr">
        <is>
          <t>62</t>
        </is>
      </c>
      <c r="E188">
        <f>HYPERLINK("https://www.britishcycling.org.uk/points?person_id=38092&amp;year=2022&amp;type=national&amp;d=6","Results")</f>
        <v/>
      </c>
    </row>
    <row r="189">
      <c r="A189" t="inlineStr">
        <is>
          <t>188</t>
        </is>
      </c>
      <c r="B189" t="inlineStr">
        <is>
          <t>Charlie Banthorpe</t>
        </is>
      </c>
      <c r="C189" t="inlineStr">
        <is>
          <t>GFTL</t>
        </is>
      </c>
      <c r="D189" t="inlineStr">
        <is>
          <t>61</t>
        </is>
      </c>
      <c r="E189">
        <f>HYPERLINK("https://www.britishcycling.org.uk/points?person_id=948538&amp;year=2022&amp;type=national&amp;d=6","Results")</f>
        <v/>
      </c>
    </row>
    <row r="190">
      <c r="A190" t="inlineStr">
        <is>
          <t>189</t>
        </is>
      </c>
      <c r="B190" t="inlineStr">
        <is>
          <t>George Holland</t>
        </is>
      </c>
      <c r="C190" t="inlineStr">
        <is>
          <t>Albarosa Cycling Club</t>
        </is>
      </c>
      <c r="D190" t="inlineStr">
        <is>
          <t>61</t>
        </is>
      </c>
      <c r="E190">
        <f>HYPERLINK("https://www.britishcycling.org.uk/points?person_id=436523&amp;year=2022&amp;type=national&amp;d=6","Results")</f>
        <v/>
      </c>
    </row>
    <row r="191">
      <c r="A191" t="inlineStr">
        <is>
          <t>190</t>
        </is>
      </c>
      <c r="B191" t="inlineStr">
        <is>
          <t>Jacob Murray</t>
        </is>
      </c>
      <c r="C191" t="inlineStr">
        <is>
          <t>Reifen Racing</t>
        </is>
      </c>
      <c r="D191" t="inlineStr">
        <is>
          <t>61</t>
        </is>
      </c>
      <c r="E191">
        <f>HYPERLINK("https://www.britishcycling.org.uk/points?person_id=1025596&amp;year=2022&amp;type=national&amp;d=6","Results")</f>
        <v/>
      </c>
    </row>
    <row r="192">
      <c r="A192" t="inlineStr">
        <is>
          <t>191</t>
        </is>
      </c>
      <c r="B192" t="inlineStr">
        <is>
          <t>Jack Thompson</t>
        </is>
      </c>
      <c r="C192" t="inlineStr">
        <is>
          <t>The Ark Cycles</t>
        </is>
      </c>
      <c r="D192" t="inlineStr">
        <is>
          <t>61</t>
        </is>
      </c>
      <c r="E192">
        <f>HYPERLINK("https://www.britishcycling.org.uk/points?person_id=118730&amp;year=2022&amp;type=national&amp;d=6","Results")</f>
        <v/>
      </c>
    </row>
    <row r="193">
      <c r="A193" t="inlineStr">
        <is>
          <t>192</t>
        </is>
      </c>
      <c r="B193" t="inlineStr">
        <is>
          <t>Jacob Anderson</t>
        </is>
      </c>
      <c r="C193" t="inlineStr">
        <is>
          <t>South Shields Velo Cycling Club</t>
        </is>
      </c>
      <c r="D193" t="inlineStr">
        <is>
          <t>60</t>
        </is>
      </c>
      <c r="E193">
        <f>HYPERLINK("https://www.britishcycling.org.uk/points?person_id=490204&amp;year=2022&amp;type=national&amp;d=6","Results")</f>
        <v/>
      </c>
    </row>
    <row r="194">
      <c r="A194" t="inlineStr">
        <is>
          <t>193</t>
        </is>
      </c>
      <c r="B194" t="inlineStr">
        <is>
          <t>Leon Dawes</t>
        </is>
      </c>
      <c r="C194" t="inlineStr">
        <is>
          <t>Complete Cycle Works</t>
        </is>
      </c>
      <c r="D194" t="inlineStr">
        <is>
          <t>60</t>
        </is>
      </c>
      <c r="E194">
        <f>HYPERLINK("https://www.britishcycling.org.uk/points?person_id=401297&amp;year=2022&amp;type=national&amp;d=6","Results")</f>
        <v/>
      </c>
    </row>
    <row r="195">
      <c r="A195" t="inlineStr">
        <is>
          <t>194</t>
        </is>
      </c>
      <c r="B195" t="inlineStr">
        <is>
          <t>Grant Fraser</t>
        </is>
      </c>
      <c r="C195" t="inlineStr">
        <is>
          <t>G!RO Cycles</t>
        </is>
      </c>
      <c r="D195" t="inlineStr">
        <is>
          <t>60</t>
        </is>
      </c>
      <c r="E195">
        <f>HYPERLINK("https://www.britishcycling.org.uk/points?person_id=240650&amp;year=2022&amp;type=national&amp;d=6","Results")</f>
        <v/>
      </c>
    </row>
    <row r="196">
      <c r="A196" t="inlineStr">
        <is>
          <t>195</t>
        </is>
      </c>
      <c r="B196" t="inlineStr">
        <is>
          <t>Frederik Scheske</t>
        </is>
      </c>
      <c r="C196" t="inlineStr">
        <is>
          <t>Spectra Wiggle p/b Vitus</t>
        </is>
      </c>
      <c r="D196" t="inlineStr">
        <is>
          <t>60</t>
        </is>
      </c>
      <c r="E196">
        <f>HYPERLINK("https://www.britishcycling.org.uk/points?person_id=393705&amp;year=2022&amp;type=national&amp;d=6","Results")</f>
        <v/>
      </c>
    </row>
    <row r="197">
      <c r="A197" t="inlineStr">
        <is>
          <t>196</t>
        </is>
      </c>
      <c r="B197" t="inlineStr">
        <is>
          <t>Jim Vernon</t>
        </is>
      </c>
      <c r="C197" t="inlineStr">
        <is>
          <t>Welland Valley CC</t>
        </is>
      </c>
      <c r="D197" t="inlineStr">
        <is>
          <t>60</t>
        </is>
      </c>
      <c r="E197">
        <f>HYPERLINK("https://www.britishcycling.org.uk/points?person_id=837962&amp;year=2022&amp;type=national&amp;d=6","Results")</f>
        <v/>
      </c>
    </row>
    <row r="198">
      <c r="A198" t="inlineStr">
        <is>
          <t>197</t>
        </is>
      </c>
      <c r="B198" t="inlineStr">
        <is>
          <t>Joe Watkins-Wilson</t>
        </is>
      </c>
      <c r="C198" t="inlineStr">
        <is>
          <t>North Cheshire Clarion</t>
        </is>
      </c>
      <c r="D198" t="inlineStr">
        <is>
          <t>60</t>
        </is>
      </c>
      <c r="E198">
        <f>HYPERLINK("https://www.britishcycling.org.uk/points?person_id=550008&amp;year=2022&amp;type=national&amp;d=6","Results")</f>
        <v/>
      </c>
    </row>
    <row r="199">
      <c r="A199" t="inlineStr">
        <is>
          <t>198</t>
        </is>
      </c>
      <c r="B199" t="inlineStr">
        <is>
          <t>Ben Barnett</t>
        </is>
      </c>
      <c r="C199" t="inlineStr">
        <is>
          <t>Team Novo Nordisk Development</t>
        </is>
      </c>
      <c r="D199" t="inlineStr">
        <is>
          <t>59</t>
        </is>
      </c>
      <c r="E199">
        <f>HYPERLINK("https://www.britishcycling.org.uk/points?person_id=553653&amp;year=2022&amp;type=national&amp;d=6","Results")</f>
        <v/>
      </c>
    </row>
    <row r="200">
      <c r="A200" t="inlineStr">
        <is>
          <t>199</t>
        </is>
      </c>
      <c r="B200" t="inlineStr">
        <is>
          <t>Dominic Righini-Brand</t>
        </is>
      </c>
      <c r="C200" t="inlineStr">
        <is>
          <t>Sleaford Wheelers Cycling Club</t>
        </is>
      </c>
      <c r="D200" t="inlineStr">
        <is>
          <t>59</t>
        </is>
      </c>
      <c r="E200">
        <f>HYPERLINK("https://www.britishcycling.org.uk/points?person_id=961191&amp;year=2022&amp;type=national&amp;d=6","Results")</f>
        <v/>
      </c>
    </row>
    <row r="201">
      <c r="A201" t="inlineStr">
        <is>
          <t>200</t>
        </is>
      </c>
      <c r="B201" t="inlineStr">
        <is>
          <t>Sam Sayers</t>
        </is>
      </c>
      <c r="C201" t="inlineStr"/>
      <c r="D201" t="inlineStr">
        <is>
          <t>59</t>
        </is>
      </c>
      <c r="E201">
        <f>HYPERLINK("https://www.britishcycling.org.uk/points?person_id=33153&amp;year=2022&amp;type=national&amp;d=6","Results")</f>
        <v/>
      </c>
    </row>
    <row r="202">
      <c r="A202" t="inlineStr">
        <is>
          <t>201</t>
        </is>
      </c>
      <c r="B202" t="inlineStr">
        <is>
          <t>Harry Shadbolt</t>
        </is>
      </c>
      <c r="C202" t="inlineStr">
        <is>
          <t>Exeter Wheelers</t>
        </is>
      </c>
      <c r="D202" t="inlineStr">
        <is>
          <t>58</t>
        </is>
      </c>
      <c r="E202">
        <f>HYPERLINK("https://www.britishcycling.org.uk/points?person_id=935440&amp;year=2022&amp;type=national&amp;d=6","Results")</f>
        <v/>
      </c>
    </row>
    <row r="203">
      <c r="A203" t="inlineStr">
        <is>
          <t>202</t>
        </is>
      </c>
      <c r="B203" t="inlineStr">
        <is>
          <t>Joseph Taylor</t>
        </is>
      </c>
      <c r="C203" t="inlineStr">
        <is>
          <t>Magspeed Racing</t>
        </is>
      </c>
      <c r="D203" t="inlineStr">
        <is>
          <t>58</t>
        </is>
      </c>
      <c r="E203">
        <f>HYPERLINK("https://www.britishcycling.org.uk/points?person_id=139619&amp;year=2022&amp;type=national&amp;d=6","Results")</f>
        <v/>
      </c>
    </row>
    <row r="204">
      <c r="A204" t="inlineStr">
        <is>
          <t>203</t>
        </is>
      </c>
      <c r="B204" t="inlineStr">
        <is>
          <t>Mark Walker</t>
        </is>
      </c>
      <c r="C204" t="inlineStr">
        <is>
          <t>Watford Velo Sport</t>
        </is>
      </c>
      <c r="D204" t="inlineStr">
        <is>
          <t>58</t>
        </is>
      </c>
      <c r="E204">
        <f>HYPERLINK("https://www.britishcycling.org.uk/points?person_id=657428&amp;year=2022&amp;type=national&amp;d=6","Results")</f>
        <v/>
      </c>
    </row>
    <row r="205">
      <c r="A205" t="inlineStr">
        <is>
          <t>204</t>
        </is>
      </c>
      <c r="B205" t="inlineStr">
        <is>
          <t>Oliver Baker</t>
        </is>
      </c>
      <c r="C205" t="inlineStr"/>
      <c r="D205" t="inlineStr">
        <is>
          <t>57</t>
        </is>
      </c>
      <c r="E205">
        <f>HYPERLINK("https://www.britishcycling.org.uk/points?person_id=296084&amp;year=2022&amp;type=national&amp;d=6","Results")</f>
        <v/>
      </c>
    </row>
    <row r="206">
      <c r="A206" t="inlineStr">
        <is>
          <t>205</t>
        </is>
      </c>
      <c r="B206" t="inlineStr">
        <is>
          <t>Harley Gregory</t>
        </is>
      </c>
      <c r="C206" t="inlineStr">
        <is>
          <t>West Suffolk Wheelers</t>
        </is>
      </c>
      <c r="D206" t="inlineStr">
        <is>
          <t>57</t>
        </is>
      </c>
      <c r="E206">
        <f>HYPERLINK("https://www.britishcycling.org.uk/points?person_id=287901&amp;year=2022&amp;type=national&amp;d=6","Results")</f>
        <v/>
      </c>
    </row>
    <row r="207">
      <c r="A207" t="inlineStr">
        <is>
          <t>206</t>
        </is>
      </c>
      <c r="B207" t="inlineStr">
        <is>
          <t>Thomas Ramsay</t>
        </is>
      </c>
      <c r="C207" t="inlineStr">
        <is>
          <t>Wold Top The Edge RT</t>
        </is>
      </c>
      <c r="D207" t="inlineStr">
        <is>
          <t>57</t>
        </is>
      </c>
      <c r="E207">
        <f>HYPERLINK("https://www.britishcycling.org.uk/points?person_id=186483&amp;year=2022&amp;type=national&amp;d=6","Results")</f>
        <v/>
      </c>
    </row>
    <row r="208">
      <c r="A208" t="inlineStr">
        <is>
          <t>207</t>
        </is>
      </c>
      <c r="B208" t="inlineStr">
        <is>
          <t>Sam Daniels</t>
        </is>
      </c>
      <c r="C208" t="inlineStr">
        <is>
          <t>Cycle Club Ashwell (CCA)</t>
        </is>
      </c>
      <c r="D208" t="inlineStr">
        <is>
          <t>56</t>
        </is>
      </c>
      <c r="E208">
        <f>HYPERLINK("https://www.britishcycling.org.uk/points?person_id=297300&amp;year=2022&amp;type=national&amp;d=6","Results")</f>
        <v/>
      </c>
    </row>
    <row r="209">
      <c r="A209" t="inlineStr">
        <is>
          <t>208</t>
        </is>
      </c>
      <c r="B209" t="inlineStr">
        <is>
          <t>Andrew Davenport</t>
        </is>
      </c>
      <c r="C209" t="inlineStr">
        <is>
          <t>Team Tor 2000 Kalas</t>
        </is>
      </c>
      <c r="D209" t="inlineStr">
        <is>
          <t>56</t>
        </is>
      </c>
      <c r="E209">
        <f>HYPERLINK("https://www.britishcycling.org.uk/points?person_id=764890&amp;year=2022&amp;type=national&amp;d=6","Results")</f>
        <v/>
      </c>
    </row>
    <row r="210">
      <c r="A210" t="inlineStr">
        <is>
          <t>209</t>
        </is>
      </c>
      <c r="B210" t="inlineStr">
        <is>
          <t>Max Holgate</t>
        </is>
      </c>
      <c r="C210" t="inlineStr">
        <is>
          <t>Loughborough Students CC</t>
        </is>
      </c>
      <c r="D210" t="inlineStr">
        <is>
          <t>56</t>
        </is>
      </c>
      <c r="E210">
        <f>HYPERLINK("https://www.britishcycling.org.uk/points?person_id=352447&amp;year=2022&amp;type=national&amp;d=6","Results")</f>
        <v/>
      </c>
    </row>
    <row r="211">
      <c r="A211" t="inlineStr">
        <is>
          <t>210</t>
        </is>
      </c>
      <c r="B211" t="inlineStr">
        <is>
          <t>Richard Summerbell</t>
        </is>
      </c>
      <c r="C211" t="inlineStr">
        <is>
          <t>Royal Air Force CA</t>
        </is>
      </c>
      <c r="D211" t="inlineStr">
        <is>
          <t>56</t>
        </is>
      </c>
      <c r="E211">
        <f>HYPERLINK("https://www.britishcycling.org.uk/points?person_id=948325&amp;year=2022&amp;type=national&amp;d=6","Results")</f>
        <v/>
      </c>
    </row>
    <row r="212">
      <c r="A212" t="inlineStr">
        <is>
          <t>211</t>
        </is>
      </c>
      <c r="B212" t="inlineStr">
        <is>
          <t>Will Thompson</t>
        </is>
      </c>
      <c r="C212" t="inlineStr">
        <is>
          <t>Shibden Cycling Club</t>
        </is>
      </c>
      <c r="D212" t="inlineStr">
        <is>
          <t>56</t>
        </is>
      </c>
      <c r="E212">
        <f>HYPERLINK("https://www.britishcycling.org.uk/points?person_id=477623&amp;year=2022&amp;type=national&amp;d=6","Results")</f>
        <v/>
      </c>
    </row>
    <row r="213">
      <c r="A213" t="inlineStr">
        <is>
          <t>212</t>
        </is>
      </c>
      <c r="B213" t="inlineStr">
        <is>
          <t>Raphael Tabiner</t>
        </is>
      </c>
      <c r="C213" t="inlineStr">
        <is>
          <t>Tofauti Everyone Active</t>
        </is>
      </c>
      <c r="D213" t="inlineStr">
        <is>
          <t>55</t>
        </is>
      </c>
      <c r="E213">
        <f>HYPERLINK("https://www.britishcycling.org.uk/points?person_id=524253&amp;year=2022&amp;type=national&amp;d=6","Results")</f>
        <v/>
      </c>
    </row>
    <row r="214">
      <c r="A214" t="inlineStr">
        <is>
          <t>213</t>
        </is>
      </c>
      <c r="B214" t="inlineStr">
        <is>
          <t>Jacob Vink</t>
        </is>
      </c>
      <c r="C214" t="inlineStr">
        <is>
          <t>University of Bristol CC</t>
        </is>
      </c>
      <c r="D214" t="inlineStr">
        <is>
          <t>55</t>
        </is>
      </c>
      <c r="E214">
        <f>HYPERLINK("https://www.britishcycling.org.uk/points?person_id=692994&amp;year=2022&amp;type=national&amp;d=6","Results")</f>
        <v/>
      </c>
    </row>
    <row r="215">
      <c r="A215" t="inlineStr">
        <is>
          <t>214</t>
        </is>
      </c>
      <c r="B215" t="inlineStr">
        <is>
          <t>Oliver Allen</t>
        </is>
      </c>
      <c r="C215" t="inlineStr">
        <is>
          <t>Pilgrim Flyers</t>
        </is>
      </c>
      <c r="D215" t="inlineStr">
        <is>
          <t>54</t>
        </is>
      </c>
      <c r="E215">
        <f>HYPERLINK("https://www.britishcycling.org.uk/points?person_id=313490&amp;year=2022&amp;type=national&amp;d=6","Results")</f>
        <v/>
      </c>
    </row>
    <row r="216">
      <c r="A216" t="inlineStr">
        <is>
          <t>215</t>
        </is>
      </c>
      <c r="B216" t="inlineStr">
        <is>
          <t>Jonah Drake</t>
        </is>
      </c>
      <c r="C216" t="inlineStr">
        <is>
          <t>Felley Racing Team</t>
        </is>
      </c>
      <c r="D216" t="inlineStr">
        <is>
          <t>54</t>
        </is>
      </c>
      <c r="E216">
        <f>HYPERLINK("https://www.britishcycling.org.uk/points?person_id=174746&amp;year=2022&amp;type=national&amp;d=6","Results")</f>
        <v/>
      </c>
    </row>
    <row r="217">
      <c r="A217" t="inlineStr">
        <is>
          <t>216</t>
        </is>
      </c>
      <c r="B217" t="inlineStr">
        <is>
          <t>Benjamin Hinchliffe</t>
        </is>
      </c>
      <c r="C217" t="inlineStr">
        <is>
          <t>Welwyn Wheelers CC</t>
        </is>
      </c>
      <c r="D217" t="inlineStr">
        <is>
          <t>54</t>
        </is>
      </c>
      <c r="E217">
        <f>HYPERLINK("https://www.britishcycling.org.uk/points?person_id=184454&amp;year=2022&amp;type=national&amp;d=6","Results")</f>
        <v/>
      </c>
    </row>
    <row r="218">
      <c r="A218" t="inlineStr">
        <is>
          <t>217</t>
        </is>
      </c>
      <c r="B218" t="inlineStr">
        <is>
          <t>James Robertson</t>
        </is>
      </c>
      <c r="C218" t="inlineStr">
        <is>
          <t>Ross-Shire RCC</t>
        </is>
      </c>
      <c r="D218" t="inlineStr">
        <is>
          <t>54</t>
        </is>
      </c>
      <c r="E218">
        <f>HYPERLINK("https://www.britishcycling.org.uk/points?person_id=423653&amp;year=2022&amp;type=national&amp;d=6","Results")</f>
        <v/>
      </c>
    </row>
    <row r="219">
      <c r="A219" t="inlineStr">
        <is>
          <t>218</t>
        </is>
      </c>
      <c r="B219" t="inlineStr">
        <is>
          <t>Tom Whitworth</t>
        </is>
      </c>
      <c r="C219" t="inlineStr">
        <is>
          <t>Royal Air Force CA</t>
        </is>
      </c>
      <c r="D219" t="inlineStr">
        <is>
          <t>54</t>
        </is>
      </c>
      <c r="E219">
        <f>HYPERLINK("https://www.britishcycling.org.uk/points?person_id=173864&amp;year=2022&amp;type=national&amp;d=6","Results")</f>
        <v/>
      </c>
    </row>
    <row r="220">
      <c r="A220" t="inlineStr">
        <is>
          <t>219</t>
        </is>
      </c>
      <c r="B220" t="inlineStr">
        <is>
          <t>Charles Ager</t>
        </is>
      </c>
      <c r="C220" t="inlineStr">
        <is>
          <t>StolenGoat Race Team</t>
        </is>
      </c>
      <c r="D220" t="inlineStr">
        <is>
          <t>53</t>
        </is>
      </c>
      <c r="E220">
        <f>HYPERLINK("https://www.britishcycling.org.uk/points?person_id=767262&amp;year=2022&amp;type=national&amp;d=6","Results")</f>
        <v/>
      </c>
    </row>
    <row r="221">
      <c r="A221" t="inlineStr">
        <is>
          <t>220</t>
        </is>
      </c>
      <c r="B221" t="inlineStr">
        <is>
          <t>Scott Fisher</t>
        </is>
      </c>
      <c r="C221" t="inlineStr">
        <is>
          <t>Una Forza Racing</t>
        </is>
      </c>
      <c r="D221" t="inlineStr">
        <is>
          <t>53</t>
        </is>
      </c>
      <c r="E221">
        <f>HYPERLINK("https://www.britishcycling.org.uk/points?person_id=262830&amp;year=2022&amp;type=national&amp;d=6","Results")</f>
        <v/>
      </c>
    </row>
    <row r="222">
      <c r="A222" t="inlineStr">
        <is>
          <t>221</t>
        </is>
      </c>
      <c r="B222" t="inlineStr">
        <is>
          <t>Andrew White</t>
        </is>
      </c>
      <c r="C222" t="inlineStr">
        <is>
          <t>Army Cycling Union</t>
        </is>
      </c>
      <c r="D222" t="inlineStr">
        <is>
          <t>53</t>
        </is>
      </c>
      <c r="E222">
        <f>HYPERLINK("https://www.britishcycling.org.uk/points?person_id=653734&amp;year=2022&amp;type=national&amp;d=6","Results")</f>
        <v/>
      </c>
    </row>
    <row r="223">
      <c r="A223" t="inlineStr">
        <is>
          <t>222</t>
        </is>
      </c>
      <c r="B223" t="inlineStr">
        <is>
          <t>James Bevan</t>
        </is>
      </c>
      <c r="C223" t="inlineStr">
        <is>
          <t>Army Cycling Union</t>
        </is>
      </c>
      <c r="D223" t="inlineStr">
        <is>
          <t>52</t>
        </is>
      </c>
      <c r="E223">
        <f>HYPERLINK("https://www.britishcycling.org.uk/points?person_id=191217&amp;year=2022&amp;type=national&amp;d=6","Results")</f>
        <v/>
      </c>
    </row>
    <row r="224">
      <c r="A224" t="inlineStr">
        <is>
          <t>223</t>
        </is>
      </c>
      <c r="B224" t="inlineStr">
        <is>
          <t>Josef Fitzgerald-Patrick</t>
        </is>
      </c>
      <c r="C224" t="inlineStr">
        <is>
          <t>Penzance Wheelers</t>
        </is>
      </c>
      <c r="D224" t="inlineStr">
        <is>
          <t>52</t>
        </is>
      </c>
      <c r="E224">
        <f>HYPERLINK("https://www.britishcycling.org.uk/points?person_id=256828&amp;year=2022&amp;type=national&amp;d=6","Results")</f>
        <v/>
      </c>
    </row>
    <row r="225">
      <c r="A225" t="inlineStr">
        <is>
          <t>224</t>
        </is>
      </c>
      <c r="B225" t="inlineStr">
        <is>
          <t>Ollie Maynard</t>
        </is>
      </c>
      <c r="C225" t="inlineStr">
        <is>
          <t>St Ives CC</t>
        </is>
      </c>
      <c r="D225" t="inlineStr">
        <is>
          <t>52</t>
        </is>
      </c>
      <c r="E225">
        <f>HYPERLINK("https://www.britishcycling.org.uk/points?person_id=673320&amp;year=2022&amp;type=national&amp;d=6","Results")</f>
        <v/>
      </c>
    </row>
    <row r="226">
      <c r="A226" t="inlineStr">
        <is>
          <t>225</t>
        </is>
      </c>
      <c r="B226" t="inlineStr">
        <is>
          <t>Stuart Paterson</t>
        </is>
      </c>
      <c r="C226" t="inlineStr"/>
      <c r="D226" t="inlineStr">
        <is>
          <t>51</t>
        </is>
      </c>
      <c r="E226">
        <f>HYPERLINK("https://www.britishcycling.org.uk/points?person_id=256215&amp;year=2022&amp;type=national&amp;d=6","Results")</f>
        <v/>
      </c>
    </row>
    <row r="227">
      <c r="A227" t="inlineStr">
        <is>
          <t>226</t>
        </is>
      </c>
      <c r="B227" t="inlineStr">
        <is>
          <t>Jack Wilson</t>
        </is>
      </c>
      <c r="C227" t="inlineStr">
        <is>
          <t>Louth Cycle Centre RT</t>
        </is>
      </c>
      <c r="D227" t="inlineStr">
        <is>
          <t>51</t>
        </is>
      </c>
      <c r="E227">
        <f>HYPERLINK("https://www.britishcycling.org.uk/points?person_id=255959&amp;year=2022&amp;type=national&amp;d=6","Results")</f>
        <v/>
      </c>
    </row>
    <row r="228">
      <c r="A228" t="inlineStr">
        <is>
          <t>227</t>
        </is>
      </c>
      <c r="B228" t="inlineStr">
        <is>
          <t>James Wright</t>
        </is>
      </c>
      <c r="C228" t="inlineStr">
        <is>
          <t>Birkenhead North End CC</t>
        </is>
      </c>
      <c r="D228" t="inlineStr">
        <is>
          <t>51</t>
        </is>
      </c>
      <c r="E228">
        <f>HYPERLINK("https://www.britishcycling.org.uk/points?person_id=178193&amp;year=2022&amp;type=national&amp;d=6","Results")</f>
        <v/>
      </c>
    </row>
    <row r="229">
      <c r="A229" t="inlineStr">
        <is>
          <t>228</t>
        </is>
      </c>
      <c r="B229" t="inlineStr">
        <is>
          <t>Liam Cahill</t>
        </is>
      </c>
      <c r="C229" t="inlineStr">
        <is>
          <t>Bath Cycling Club</t>
        </is>
      </c>
      <c r="D229" t="inlineStr">
        <is>
          <t>50</t>
        </is>
      </c>
      <c r="E229">
        <f>HYPERLINK("https://www.britishcycling.org.uk/points?person_id=197391&amp;year=2022&amp;type=national&amp;d=6","Results")</f>
        <v/>
      </c>
    </row>
    <row r="230">
      <c r="A230" t="inlineStr">
        <is>
          <t>229</t>
        </is>
      </c>
      <c r="B230" t="inlineStr">
        <is>
          <t>Patrick Kiehlmann</t>
        </is>
      </c>
      <c r="C230" t="inlineStr">
        <is>
          <t>Royal Albert CC</t>
        </is>
      </c>
      <c r="D230" t="inlineStr">
        <is>
          <t>50</t>
        </is>
      </c>
      <c r="E230">
        <f>HYPERLINK("https://www.britishcycling.org.uk/points?person_id=405786&amp;year=2022&amp;type=national&amp;d=6","Results")</f>
        <v/>
      </c>
    </row>
    <row r="231">
      <c r="A231" t="inlineStr">
        <is>
          <t>230</t>
        </is>
      </c>
      <c r="B231" t="inlineStr">
        <is>
          <t>Chris Pook</t>
        </is>
      </c>
      <c r="C231" t="inlineStr">
        <is>
          <t>Holohan Coaching Race Team</t>
        </is>
      </c>
      <c r="D231" t="inlineStr">
        <is>
          <t>50</t>
        </is>
      </c>
      <c r="E231">
        <f>HYPERLINK("https://www.britishcycling.org.uk/points?person_id=133260&amp;year=2022&amp;type=national&amp;d=6","Results")</f>
        <v/>
      </c>
    </row>
    <row r="232">
      <c r="A232" t="inlineStr">
        <is>
          <t>231</t>
        </is>
      </c>
      <c r="B232" t="inlineStr">
        <is>
          <t>Nathan Cozens</t>
        </is>
      </c>
      <c r="C232" t="inlineStr">
        <is>
          <t>Brighton Mitre CC</t>
        </is>
      </c>
      <c r="D232" t="inlineStr">
        <is>
          <t>49</t>
        </is>
      </c>
      <c r="E232">
        <f>HYPERLINK("https://www.britishcycling.org.uk/points?person_id=987321&amp;year=2022&amp;type=national&amp;d=6","Results")</f>
        <v/>
      </c>
    </row>
    <row r="233">
      <c r="A233" t="inlineStr">
        <is>
          <t>232</t>
        </is>
      </c>
      <c r="B233" t="inlineStr">
        <is>
          <t>Robin Godden</t>
        </is>
      </c>
      <c r="C233" t="inlineStr">
        <is>
          <t>Hope Factory Racing (UCI CX Team)</t>
        </is>
      </c>
      <c r="D233" t="inlineStr">
        <is>
          <t>49</t>
        </is>
      </c>
      <c r="E233">
        <f>HYPERLINK("https://www.britishcycling.org.uk/points?person_id=585475&amp;year=2022&amp;type=national&amp;d=6","Results")</f>
        <v/>
      </c>
    </row>
    <row r="234">
      <c r="A234" t="inlineStr">
        <is>
          <t>233</t>
        </is>
      </c>
      <c r="B234" t="inlineStr">
        <is>
          <t>Gavin McDougall</t>
        </is>
      </c>
      <c r="C234" t="inlineStr">
        <is>
          <t>Ronde Cycling Club</t>
        </is>
      </c>
      <c r="D234" t="inlineStr">
        <is>
          <t>49</t>
        </is>
      </c>
      <c r="E234">
        <f>HYPERLINK("https://www.britishcycling.org.uk/points?person_id=62462&amp;year=2022&amp;type=national&amp;d=6","Results")</f>
        <v/>
      </c>
    </row>
    <row r="235">
      <c r="A235" t="inlineStr">
        <is>
          <t>234</t>
        </is>
      </c>
      <c r="B235" t="inlineStr">
        <is>
          <t>William Simons</t>
        </is>
      </c>
      <c r="C235" t="inlineStr">
        <is>
          <t>Halesowen A &amp; CC</t>
        </is>
      </c>
      <c r="D235" t="inlineStr">
        <is>
          <t>49</t>
        </is>
      </c>
      <c r="E235">
        <f>HYPERLINK("https://www.britishcycling.org.uk/points?person_id=549000&amp;year=2022&amp;type=national&amp;d=6","Results")</f>
        <v/>
      </c>
    </row>
    <row r="236">
      <c r="A236" t="inlineStr">
        <is>
          <t>235</t>
        </is>
      </c>
      <c r="B236" t="inlineStr">
        <is>
          <t>Jordan Giles</t>
        </is>
      </c>
      <c r="C236" t="inlineStr">
        <is>
          <t>Primera-TeamJobs</t>
        </is>
      </c>
      <c r="D236" t="inlineStr">
        <is>
          <t>48</t>
        </is>
      </c>
      <c r="E236">
        <f>HYPERLINK("https://www.britishcycling.org.uk/points?person_id=871634&amp;year=2022&amp;type=national&amp;d=6","Results")</f>
        <v/>
      </c>
    </row>
    <row r="237">
      <c r="A237" t="inlineStr">
        <is>
          <t>236</t>
        </is>
      </c>
      <c r="B237" t="inlineStr">
        <is>
          <t>Keir Greatorex</t>
        </is>
      </c>
      <c r="C237" t="inlineStr">
        <is>
          <t>Torvelo Racing</t>
        </is>
      </c>
      <c r="D237" t="inlineStr">
        <is>
          <t>48</t>
        </is>
      </c>
      <c r="E237">
        <f>HYPERLINK("https://www.britishcycling.org.uk/points?person_id=245549&amp;year=2022&amp;type=national&amp;d=6","Results")</f>
        <v/>
      </c>
    </row>
    <row r="238">
      <c r="A238" t="inlineStr">
        <is>
          <t>237</t>
        </is>
      </c>
      <c r="B238" t="inlineStr">
        <is>
          <t>Nicholas Hall</t>
        </is>
      </c>
      <c r="C238" t="inlineStr">
        <is>
          <t>St Ives CC</t>
        </is>
      </c>
      <c r="D238" t="inlineStr">
        <is>
          <t>48</t>
        </is>
      </c>
      <c r="E238">
        <f>HYPERLINK("https://www.britishcycling.org.uk/points?person_id=563744&amp;year=2022&amp;type=national&amp;d=6","Results")</f>
        <v/>
      </c>
    </row>
    <row r="239">
      <c r="A239" t="inlineStr">
        <is>
          <t>238</t>
        </is>
      </c>
      <c r="B239" t="inlineStr">
        <is>
          <t>Joe Holt</t>
        </is>
      </c>
      <c r="C239" t="inlineStr">
        <is>
          <t>Wales Racing Academy</t>
        </is>
      </c>
      <c r="D239" t="inlineStr">
        <is>
          <t>48</t>
        </is>
      </c>
      <c r="E239">
        <f>HYPERLINK("https://www.britishcycling.org.uk/points?person_id=171&amp;year=2022&amp;type=national&amp;d=6","Results")</f>
        <v/>
      </c>
    </row>
    <row r="240">
      <c r="A240" t="inlineStr">
        <is>
          <t>239</t>
        </is>
      </c>
      <c r="B240" t="inlineStr">
        <is>
          <t>Alex Jolley</t>
        </is>
      </c>
      <c r="C240" t="inlineStr"/>
      <c r="D240" t="inlineStr">
        <is>
          <t>48</t>
        </is>
      </c>
      <c r="E240">
        <f>HYPERLINK("https://www.britishcycling.org.uk/points?person_id=102668&amp;year=2022&amp;type=national&amp;d=6","Results")</f>
        <v/>
      </c>
    </row>
    <row r="241">
      <c r="A241" t="inlineStr">
        <is>
          <t>240</t>
        </is>
      </c>
      <c r="B241" t="inlineStr">
        <is>
          <t>Ian Lee</t>
        </is>
      </c>
      <c r="C241" t="inlineStr">
        <is>
          <t>Royal Air Force CA</t>
        </is>
      </c>
      <c r="D241" t="inlineStr">
        <is>
          <t>47</t>
        </is>
      </c>
      <c r="E241">
        <f>HYPERLINK("https://www.britishcycling.org.uk/points?person_id=42448&amp;year=2022&amp;type=national&amp;d=6","Results")</f>
        <v/>
      </c>
    </row>
    <row r="242">
      <c r="A242" t="inlineStr">
        <is>
          <t>241</t>
        </is>
      </c>
      <c r="B242" t="inlineStr">
        <is>
          <t>Finn Mansfield</t>
        </is>
      </c>
      <c r="C242" t="inlineStr">
        <is>
          <t>Clash Racing</t>
        </is>
      </c>
      <c r="D242" t="inlineStr">
        <is>
          <t>47</t>
        </is>
      </c>
      <c r="E242">
        <f>HYPERLINK("https://www.britishcycling.org.uk/points?person_id=185354&amp;year=2022&amp;type=national&amp;d=6","Results")</f>
        <v/>
      </c>
    </row>
    <row r="243">
      <c r="A243" t="inlineStr">
        <is>
          <t>242</t>
        </is>
      </c>
      <c r="B243" t="inlineStr">
        <is>
          <t>Andrew Moulden</t>
        </is>
      </c>
      <c r="C243" t="inlineStr">
        <is>
          <t>Lee Velo (South East London)</t>
        </is>
      </c>
      <c r="D243" t="inlineStr">
        <is>
          <t>47</t>
        </is>
      </c>
      <c r="E243">
        <f>HYPERLINK("https://www.britishcycling.org.uk/points?person_id=305190&amp;year=2022&amp;type=national&amp;d=6","Results")</f>
        <v/>
      </c>
    </row>
    <row r="244">
      <c r="A244" t="inlineStr">
        <is>
          <t>243</t>
        </is>
      </c>
      <c r="B244" t="inlineStr">
        <is>
          <t>John White</t>
        </is>
      </c>
      <c r="C244" t="inlineStr">
        <is>
          <t>North Cheshire Clarion</t>
        </is>
      </c>
      <c r="D244" t="inlineStr">
        <is>
          <t>47</t>
        </is>
      </c>
      <c r="E244">
        <f>HYPERLINK("https://www.britishcycling.org.uk/points?person_id=195431&amp;year=2022&amp;type=national&amp;d=6","Results")</f>
        <v/>
      </c>
    </row>
    <row r="245">
      <c r="A245" t="inlineStr">
        <is>
          <t>244</t>
        </is>
      </c>
      <c r="B245" t="inlineStr">
        <is>
          <t>Oliver Dawson</t>
        </is>
      </c>
      <c r="C245" t="inlineStr">
        <is>
          <t>RTD - J'sCycleShack</t>
        </is>
      </c>
      <c r="D245" t="inlineStr">
        <is>
          <t>46</t>
        </is>
      </c>
      <c r="E245">
        <f>HYPERLINK("https://www.britishcycling.org.uk/points?person_id=561633&amp;year=2022&amp;type=national&amp;d=6","Results")</f>
        <v/>
      </c>
    </row>
    <row r="246">
      <c r="A246" t="inlineStr">
        <is>
          <t>245</t>
        </is>
      </c>
      <c r="B246" t="inlineStr">
        <is>
          <t>Joshua Giddings</t>
        </is>
      </c>
      <c r="C246" t="inlineStr">
        <is>
          <t>Team Inspired</t>
        </is>
      </c>
      <c r="D246" t="inlineStr">
        <is>
          <t>46</t>
        </is>
      </c>
      <c r="E246">
        <f>HYPERLINK("https://www.britishcycling.org.uk/points?person_id=135509&amp;year=2022&amp;type=national&amp;d=6","Results")</f>
        <v/>
      </c>
    </row>
    <row r="247">
      <c r="A247" t="inlineStr">
        <is>
          <t>246</t>
        </is>
      </c>
      <c r="B247" t="inlineStr">
        <is>
          <t>Jack Moore</t>
        </is>
      </c>
      <c r="C247" t="inlineStr">
        <is>
          <t>Gala Cycling Club</t>
        </is>
      </c>
      <c r="D247" t="inlineStr">
        <is>
          <t>46</t>
        </is>
      </c>
      <c r="E247">
        <f>HYPERLINK("https://www.britishcycling.org.uk/points?person_id=548574&amp;year=2022&amp;type=national&amp;d=6","Results")</f>
        <v/>
      </c>
    </row>
    <row r="248">
      <c r="A248" t="inlineStr">
        <is>
          <t>247</t>
        </is>
      </c>
      <c r="B248" t="inlineStr">
        <is>
          <t>William Piccin-White</t>
        </is>
      </c>
      <c r="C248" t="inlineStr">
        <is>
          <t>JRC-INTERFLON Race Team</t>
        </is>
      </c>
      <c r="D248" t="inlineStr">
        <is>
          <t>46</t>
        </is>
      </c>
      <c r="E248">
        <f>HYPERLINK("https://www.britishcycling.org.uk/points?person_id=522894&amp;year=2022&amp;type=national&amp;d=6","Results")</f>
        <v/>
      </c>
    </row>
    <row r="249">
      <c r="A249" t="inlineStr">
        <is>
          <t>248</t>
        </is>
      </c>
      <c r="B249" t="inlineStr">
        <is>
          <t>Oliver Richardson</t>
        </is>
      </c>
      <c r="C249" t="inlineStr">
        <is>
          <t>Ex Machina</t>
        </is>
      </c>
      <c r="D249" t="inlineStr">
        <is>
          <t>46</t>
        </is>
      </c>
      <c r="E249">
        <f>HYPERLINK("https://www.britishcycling.org.uk/points?person_id=50185&amp;year=2022&amp;type=national&amp;d=6","Results")</f>
        <v/>
      </c>
    </row>
    <row r="250">
      <c r="A250" t="inlineStr">
        <is>
          <t>249</t>
        </is>
      </c>
      <c r="B250" t="inlineStr">
        <is>
          <t>Ollie Smith</t>
        </is>
      </c>
      <c r="C250" t="inlineStr"/>
      <c r="D250" t="inlineStr">
        <is>
          <t>46</t>
        </is>
      </c>
      <c r="E250">
        <f>HYPERLINK("https://www.britishcycling.org.uk/points?person_id=571057&amp;year=2022&amp;type=national&amp;d=6","Results")</f>
        <v/>
      </c>
    </row>
    <row r="251">
      <c r="A251" t="inlineStr">
        <is>
          <t>250</t>
        </is>
      </c>
      <c r="B251" t="inlineStr">
        <is>
          <t>Oscar Taylor</t>
        </is>
      </c>
      <c r="C251" t="inlineStr">
        <is>
          <t>Clifton CC</t>
        </is>
      </c>
      <c r="D251" t="inlineStr">
        <is>
          <t>46</t>
        </is>
      </c>
      <c r="E251">
        <f>HYPERLINK("https://www.britishcycling.org.uk/points?person_id=271238&amp;year=2022&amp;type=national&amp;d=6","Results")</f>
        <v/>
      </c>
    </row>
    <row r="252">
      <c r="A252" t="inlineStr">
        <is>
          <t>251</t>
        </is>
      </c>
      <c r="B252" t="inlineStr">
        <is>
          <t>Matt Watson</t>
        </is>
      </c>
      <c r="C252" t="inlineStr">
        <is>
          <t>Brocar-Alé</t>
        </is>
      </c>
      <c r="D252" t="inlineStr">
        <is>
          <t>46</t>
        </is>
      </c>
      <c r="E252">
        <f>HYPERLINK("https://www.britishcycling.org.uk/points?person_id=347836&amp;year=2022&amp;type=national&amp;d=6","Results")</f>
        <v/>
      </c>
    </row>
    <row r="253">
      <c r="A253" t="inlineStr">
        <is>
          <t>252</t>
        </is>
      </c>
      <c r="B253" t="inlineStr">
        <is>
          <t>Alan Wylie</t>
        </is>
      </c>
      <c r="C253" t="inlineStr">
        <is>
          <t>Musette Cafe Race Team</t>
        </is>
      </c>
      <c r="D253" t="inlineStr">
        <is>
          <t>46</t>
        </is>
      </c>
      <c r="E253">
        <f>HYPERLINK("https://www.britishcycling.org.uk/points?person_id=263599&amp;year=2022&amp;type=national&amp;d=6","Results")</f>
        <v/>
      </c>
    </row>
    <row r="254">
      <c r="A254" t="inlineStr">
        <is>
          <t>253</t>
        </is>
      </c>
      <c r="B254" t="inlineStr">
        <is>
          <t>Gabriel Hamon</t>
        </is>
      </c>
      <c r="C254" t="inlineStr">
        <is>
          <t>Cardiff JIF</t>
        </is>
      </c>
      <c r="D254" t="inlineStr">
        <is>
          <t>44</t>
        </is>
      </c>
      <c r="E254">
        <f>HYPERLINK("https://www.britishcycling.org.uk/points?person_id=830640&amp;year=2022&amp;type=national&amp;d=6","Results")</f>
        <v/>
      </c>
    </row>
    <row r="255">
      <c r="A255" t="inlineStr">
        <is>
          <t>254</t>
        </is>
      </c>
      <c r="B255" t="inlineStr">
        <is>
          <t>Ethan Rowell</t>
        </is>
      </c>
      <c r="C255" t="inlineStr">
        <is>
          <t>Foremost</t>
        </is>
      </c>
      <c r="D255" t="inlineStr">
        <is>
          <t>44</t>
        </is>
      </c>
      <c r="E255">
        <f>HYPERLINK("https://www.britishcycling.org.uk/points?person_id=685289&amp;year=2022&amp;type=national&amp;d=6","Results")</f>
        <v/>
      </c>
    </row>
    <row r="256">
      <c r="A256" t="inlineStr">
        <is>
          <t>255</t>
        </is>
      </c>
      <c r="B256" t="inlineStr">
        <is>
          <t>Sam Watson</t>
        </is>
      </c>
      <c r="C256" t="inlineStr">
        <is>
          <t>Hope Factory Racing (UCI CX Team)</t>
        </is>
      </c>
      <c r="D256" t="inlineStr">
        <is>
          <t>44</t>
        </is>
      </c>
      <c r="E256">
        <f>HYPERLINK("https://www.britishcycling.org.uk/points?person_id=988954&amp;year=2022&amp;type=national&amp;d=6","Results")</f>
        <v/>
      </c>
    </row>
    <row r="257">
      <c r="A257" t="inlineStr">
        <is>
          <t>256</t>
        </is>
      </c>
      <c r="B257" t="inlineStr">
        <is>
          <t>Robert Williams</t>
        </is>
      </c>
      <c r="C257" t="inlineStr"/>
      <c r="D257" t="inlineStr">
        <is>
          <t>44</t>
        </is>
      </c>
      <c r="E257">
        <f>HYPERLINK("https://www.britishcycling.org.uk/points?person_id=12362&amp;year=2022&amp;type=national&amp;d=6","Results")</f>
        <v/>
      </c>
    </row>
    <row r="258">
      <c r="A258" t="inlineStr">
        <is>
          <t>257</t>
        </is>
      </c>
      <c r="B258" t="inlineStr">
        <is>
          <t>James Phillips</t>
        </is>
      </c>
      <c r="C258" t="inlineStr">
        <is>
          <t>Kalas Motip Race Team</t>
        </is>
      </c>
      <c r="D258" t="inlineStr">
        <is>
          <t>43</t>
        </is>
      </c>
      <c r="E258">
        <f>HYPERLINK("https://www.britishcycling.org.uk/points?person_id=168138&amp;year=2022&amp;type=national&amp;d=6","Results")</f>
        <v/>
      </c>
    </row>
    <row r="259">
      <c r="A259" t="inlineStr">
        <is>
          <t>258</t>
        </is>
      </c>
      <c r="B259" t="inlineStr">
        <is>
          <t>Evan Powell</t>
        </is>
      </c>
      <c r="C259" t="inlineStr">
        <is>
          <t>Pontypool RCC</t>
        </is>
      </c>
      <c r="D259" t="inlineStr">
        <is>
          <t>43</t>
        </is>
      </c>
      <c r="E259">
        <f>HYPERLINK("https://www.britishcycling.org.uk/points?person_id=69239&amp;year=2022&amp;type=national&amp;d=6","Results")</f>
        <v/>
      </c>
    </row>
    <row r="260">
      <c r="A260" t="inlineStr">
        <is>
          <t>259</t>
        </is>
      </c>
      <c r="B260" t="inlineStr">
        <is>
          <t>Richard Davidson</t>
        </is>
      </c>
      <c r="C260" t="inlineStr">
        <is>
          <t>Muckle Cycle Club</t>
        </is>
      </c>
      <c r="D260" t="inlineStr">
        <is>
          <t>42</t>
        </is>
      </c>
      <c r="E260">
        <f>HYPERLINK("https://www.britishcycling.org.uk/points?person_id=757404&amp;year=2022&amp;type=national&amp;d=6","Results")</f>
        <v/>
      </c>
    </row>
    <row r="261">
      <c r="A261" t="inlineStr">
        <is>
          <t>260</t>
        </is>
      </c>
      <c r="B261" t="inlineStr">
        <is>
          <t>Oliver Hayward</t>
        </is>
      </c>
      <c r="C261" t="inlineStr">
        <is>
          <t>Holohan Coaching Race Team</t>
        </is>
      </c>
      <c r="D261" t="inlineStr">
        <is>
          <t>42</t>
        </is>
      </c>
      <c r="E261">
        <f>HYPERLINK("https://www.britishcycling.org.uk/points?person_id=401267&amp;year=2022&amp;type=national&amp;d=6","Results")</f>
        <v/>
      </c>
    </row>
    <row r="262">
      <c r="A262" t="inlineStr">
        <is>
          <t>261</t>
        </is>
      </c>
      <c r="B262" t="inlineStr">
        <is>
          <t>Joel Maclean-Howell</t>
        </is>
      </c>
      <c r="C262" t="inlineStr"/>
      <c r="D262" t="inlineStr">
        <is>
          <t>42</t>
        </is>
      </c>
      <c r="E262">
        <f>HYPERLINK("https://www.britishcycling.org.uk/points?person_id=233844&amp;year=2022&amp;type=national&amp;d=6","Results")</f>
        <v/>
      </c>
    </row>
    <row r="263">
      <c r="A263" t="inlineStr">
        <is>
          <t>262</t>
        </is>
      </c>
      <c r="B263" t="inlineStr">
        <is>
          <t>Edward Woodward</t>
        </is>
      </c>
      <c r="C263" t="inlineStr">
        <is>
          <t>Beeston Cycling Club</t>
        </is>
      </c>
      <c r="D263" t="inlineStr">
        <is>
          <t>42</t>
        </is>
      </c>
      <c r="E263">
        <f>HYPERLINK("https://www.britishcycling.org.uk/points?person_id=171596&amp;year=2022&amp;type=national&amp;d=6","Results")</f>
        <v/>
      </c>
    </row>
    <row r="264">
      <c r="A264" t="inlineStr">
        <is>
          <t>263</t>
        </is>
      </c>
      <c r="B264" t="inlineStr">
        <is>
          <t>Dru Dennis</t>
        </is>
      </c>
      <c r="C264" t="inlineStr">
        <is>
          <t>Panagua CC</t>
        </is>
      </c>
      <c r="D264" t="inlineStr">
        <is>
          <t>41</t>
        </is>
      </c>
      <c r="E264">
        <f>HYPERLINK("https://www.britishcycling.org.uk/points?person_id=888497&amp;year=2022&amp;type=national&amp;d=6","Results")</f>
        <v/>
      </c>
    </row>
    <row r="265">
      <c r="A265" t="inlineStr">
        <is>
          <t>264</t>
        </is>
      </c>
      <c r="B265" t="inlineStr">
        <is>
          <t>Rob Dyde</t>
        </is>
      </c>
      <c r="C265" t="inlineStr">
        <is>
          <t>Pembrokeshire Velo</t>
        </is>
      </c>
      <c r="D265" t="inlineStr">
        <is>
          <t>41</t>
        </is>
      </c>
      <c r="E265">
        <f>HYPERLINK("https://www.britishcycling.org.uk/points?person_id=531746&amp;year=2022&amp;type=national&amp;d=6","Results")</f>
        <v/>
      </c>
    </row>
    <row r="266">
      <c r="A266" t="inlineStr">
        <is>
          <t>265</t>
        </is>
      </c>
      <c r="B266" t="inlineStr">
        <is>
          <t>Frank Moore</t>
        </is>
      </c>
      <c r="C266" t="inlineStr">
        <is>
          <t>Cycling Club Hackney</t>
        </is>
      </c>
      <c r="D266" t="inlineStr">
        <is>
          <t>41</t>
        </is>
      </c>
      <c r="E266">
        <f>HYPERLINK("https://www.britishcycling.org.uk/points?person_id=103842&amp;year=2022&amp;type=national&amp;d=6","Results")</f>
        <v/>
      </c>
    </row>
    <row r="267">
      <c r="A267" t="inlineStr">
        <is>
          <t>266</t>
        </is>
      </c>
      <c r="B267" t="inlineStr">
        <is>
          <t>Adam Caton</t>
        </is>
      </c>
      <c r="C267" t="inlineStr">
        <is>
          <t>Ziggurat Racing</t>
        </is>
      </c>
      <c r="D267" t="inlineStr">
        <is>
          <t>40</t>
        </is>
      </c>
      <c r="E267">
        <f>HYPERLINK("https://www.britishcycling.org.uk/points?person_id=876318&amp;year=2022&amp;type=national&amp;d=6","Results")</f>
        <v/>
      </c>
    </row>
    <row r="268">
      <c r="A268" t="inlineStr">
        <is>
          <t>267</t>
        </is>
      </c>
      <c r="B268" t="inlineStr">
        <is>
          <t>Chris Crabtree</t>
        </is>
      </c>
      <c r="C268" t="inlineStr">
        <is>
          <t>Orwell Velo</t>
        </is>
      </c>
      <c r="D268" t="inlineStr">
        <is>
          <t>40</t>
        </is>
      </c>
      <c r="E268">
        <f>HYPERLINK("https://www.britishcycling.org.uk/points?person_id=428493&amp;year=2022&amp;type=national&amp;d=6","Results")</f>
        <v/>
      </c>
    </row>
    <row r="269">
      <c r="A269" t="inlineStr">
        <is>
          <t>268</t>
        </is>
      </c>
      <c r="B269" t="inlineStr">
        <is>
          <t>Andy Dryburgh</t>
        </is>
      </c>
      <c r="C269" t="inlineStr">
        <is>
          <t>Gateway Racing</t>
        </is>
      </c>
      <c r="D269" t="inlineStr">
        <is>
          <t>40</t>
        </is>
      </c>
      <c r="E269">
        <f>HYPERLINK("https://www.britishcycling.org.uk/points?person_id=327566&amp;year=2022&amp;type=national&amp;d=6","Results")</f>
        <v/>
      </c>
    </row>
    <row r="270">
      <c r="A270" t="inlineStr">
        <is>
          <t>269</t>
        </is>
      </c>
      <c r="B270" t="inlineStr">
        <is>
          <t>Adrian Lansley</t>
        </is>
      </c>
      <c r="C270" t="inlineStr">
        <is>
          <t>Pedalon.co.uk</t>
        </is>
      </c>
      <c r="D270" t="inlineStr">
        <is>
          <t>40</t>
        </is>
      </c>
      <c r="E270">
        <f>HYPERLINK("https://www.britishcycling.org.uk/points?person_id=29240&amp;year=2022&amp;type=national&amp;d=6","Results")</f>
        <v/>
      </c>
    </row>
    <row r="271">
      <c r="A271" t="inlineStr">
        <is>
          <t>270</t>
        </is>
      </c>
      <c r="B271" t="inlineStr">
        <is>
          <t>Callum Macleod</t>
        </is>
      </c>
      <c r="C271" t="inlineStr">
        <is>
          <t>ABLOC CT</t>
        </is>
      </c>
      <c r="D271" t="inlineStr">
        <is>
          <t>40</t>
        </is>
      </c>
      <c r="E271">
        <f>HYPERLINK("https://www.britishcycling.org.uk/points?person_id=8310&amp;year=2022&amp;type=national&amp;d=6","Results")</f>
        <v/>
      </c>
    </row>
    <row r="272">
      <c r="A272" t="inlineStr">
        <is>
          <t>271</t>
        </is>
      </c>
      <c r="B272" t="inlineStr">
        <is>
          <t>Niall McGarrigle</t>
        </is>
      </c>
      <c r="C272" t="inlineStr">
        <is>
          <t>Belper BC</t>
        </is>
      </c>
      <c r="D272" t="inlineStr">
        <is>
          <t>40</t>
        </is>
      </c>
      <c r="E272">
        <f>HYPERLINK("https://www.britishcycling.org.uk/points?person_id=684977&amp;year=2022&amp;type=national&amp;d=6","Results")</f>
        <v/>
      </c>
    </row>
    <row r="273">
      <c r="A273" t="inlineStr">
        <is>
          <t>272</t>
        </is>
      </c>
      <c r="B273" t="inlineStr">
        <is>
          <t>Alex Foley</t>
        </is>
      </c>
      <c r="C273" t="inlineStr">
        <is>
          <t>Leeds Mercury Cycling Club</t>
        </is>
      </c>
      <c r="D273" t="inlineStr">
        <is>
          <t>39</t>
        </is>
      </c>
      <c r="E273">
        <f>HYPERLINK("https://www.britishcycling.org.uk/points?person_id=222927&amp;year=2022&amp;type=national&amp;d=6","Results")</f>
        <v/>
      </c>
    </row>
    <row r="274">
      <c r="A274" t="inlineStr">
        <is>
          <t>273</t>
        </is>
      </c>
      <c r="B274" t="inlineStr">
        <is>
          <t>Ross Creber</t>
        </is>
      </c>
      <c r="C274" t="inlineStr">
        <is>
          <t>Ryan's Bike Surgery-Thomson Homes</t>
        </is>
      </c>
      <c r="D274" t="inlineStr">
        <is>
          <t>38</t>
        </is>
      </c>
      <c r="E274">
        <f>HYPERLINK("https://www.britishcycling.org.uk/points?person_id=69977&amp;year=2022&amp;type=national&amp;d=6","Results")</f>
        <v/>
      </c>
    </row>
    <row r="275">
      <c r="A275" t="inlineStr">
        <is>
          <t>274</t>
        </is>
      </c>
      <c r="B275" t="inlineStr">
        <is>
          <t>Daniel Hepton</t>
        </is>
      </c>
      <c r="C275" t="inlineStr">
        <is>
          <t>Team Bikestop Tyrekey 3FS</t>
        </is>
      </c>
      <c r="D275" t="inlineStr">
        <is>
          <t>38</t>
        </is>
      </c>
      <c r="E275">
        <f>HYPERLINK("https://www.britishcycling.org.uk/points?person_id=515895&amp;year=2022&amp;type=national&amp;d=6","Results")</f>
        <v/>
      </c>
    </row>
    <row r="276">
      <c r="A276" t="inlineStr">
        <is>
          <t>275</t>
        </is>
      </c>
      <c r="B276" t="inlineStr">
        <is>
          <t>Owen Jowett</t>
        </is>
      </c>
      <c r="C276" t="inlineStr">
        <is>
          <t>Sunday Echappée</t>
        </is>
      </c>
      <c r="D276" t="inlineStr">
        <is>
          <t>38</t>
        </is>
      </c>
      <c r="E276">
        <f>HYPERLINK("https://www.britishcycling.org.uk/points?person_id=652421&amp;year=2022&amp;type=national&amp;d=6","Results")</f>
        <v/>
      </c>
    </row>
    <row r="277">
      <c r="A277" t="inlineStr">
        <is>
          <t>276</t>
        </is>
      </c>
      <c r="B277" t="inlineStr">
        <is>
          <t>Andrew Morris</t>
        </is>
      </c>
      <c r="C277" t="inlineStr">
        <is>
          <t>Team LDN - Brother UK</t>
        </is>
      </c>
      <c r="D277" t="inlineStr">
        <is>
          <t>38</t>
        </is>
      </c>
      <c r="E277">
        <f>HYPERLINK("https://www.britishcycling.org.uk/points?person_id=325726&amp;year=2022&amp;type=national&amp;d=6","Results")</f>
        <v/>
      </c>
    </row>
    <row r="278">
      <c r="A278" t="inlineStr">
        <is>
          <t>277</t>
        </is>
      </c>
      <c r="B278" t="inlineStr">
        <is>
          <t>Joseph Rees</t>
        </is>
      </c>
      <c r="C278" t="inlineStr">
        <is>
          <t>Embark - Bikestrong</t>
        </is>
      </c>
      <c r="D278" t="inlineStr">
        <is>
          <t>38</t>
        </is>
      </c>
      <c r="E278">
        <f>HYPERLINK("https://www.britishcycling.org.uk/points?person_id=106395&amp;year=2022&amp;type=national&amp;d=6","Results")</f>
        <v/>
      </c>
    </row>
    <row r="279">
      <c r="A279" t="inlineStr">
        <is>
          <t>278</t>
        </is>
      </c>
      <c r="B279" t="inlineStr">
        <is>
          <t>Andrew Atkinson</t>
        </is>
      </c>
      <c r="C279" t="inlineStr">
        <is>
          <t>Team V-Sprint Racing</t>
        </is>
      </c>
      <c r="D279" t="inlineStr">
        <is>
          <t>37</t>
        </is>
      </c>
      <c r="E279">
        <f>HYPERLINK("https://www.britishcycling.org.uk/points?person_id=137681&amp;year=2022&amp;type=national&amp;d=6","Results")</f>
        <v/>
      </c>
    </row>
    <row r="280">
      <c r="A280" t="inlineStr">
        <is>
          <t>279</t>
        </is>
      </c>
      <c r="B280" t="inlineStr">
        <is>
          <t>Daniel Charlton</t>
        </is>
      </c>
      <c r="C280" t="inlineStr">
        <is>
          <t>MTS Cycle Sport</t>
        </is>
      </c>
      <c r="D280" t="inlineStr">
        <is>
          <t>37</t>
        </is>
      </c>
      <c r="E280">
        <f>HYPERLINK("https://www.britishcycling.org.uk/points?person_id=65911&amp;year=2022&amp;type=national&amp;d=6","Results")</f>
        <v/>
      </c>
    </row>
    <row r="281">
      <c r="A281" t="inlineStr">
        <is>
          <t>280</t>
        </is>
      </c>
      <c r="B281" t="inlineStr">
        <is>
          <t>Tom Ernest</t>
        </is>
      </c>
      <c r="C281" t="inlineStr">
        <is>
          <t>LBRCC (Leighton Buzzard Road CC)</t>
        </is>
      </c>
      <c r="D281" t="inlineStr">
        <is>
          <t>37</t>
        </is>
      </c>
      <c r="E281">
        <f>HYPERLINK("https://www.britishcycling.org.uk/points?person_id=923082&amp;year=2022&amp;type=national&amp;d=6","Results")</f>
        <v/>
      </c>
    </row>
    <row r="282">
      <c r="A282" t="inlineStr">
        <is>
          <t>281</t>
        </is>
      </c>
      <c r="B282" t="inlineStr">
        <is>
          <t>Luke Kennard</t>
        </is>
      </c>
      <c r="C282" t="inlineStr">
        <is>
          <t>Hunt Bike Wheels</t>
        </is>
      </c>
      <c r="D282" t="inlineStr">
        <is>
          <t>37</t>
        </is>
      </c>
      <c r="E282">
        <f>HYPERLINK("https://www.britishcycling.org.uk/points?person_id=107253&amp;year=2022&amp;type=national&amp;d=6","Results")</f>
        <v/>
      </c>
    </row>
    <row r="283">
      <c r="A283" t="inlineStr">
        <is>
          <t>282</t>
        </is>
      </c>
      <c r="B283" t="inlineStr">
        <is>
          <t>Malcolm Bain</t>
        </is>
      </c>
      <c r="C283" t="inlineStr">
        <is>
          <t>Granite City RT</t>
        </is>
      </c>
      <c r="D283" t="inlineStr">
        <is>
          <t>36</t>
        </is>
      </c>
      <c r="E283">
        <f>HYPERLINK("https://www.britishcycling.org.uk/points?person_id=372693&amp;year=2022&amp;type=national&amp;d=6","Results")</f>
        <v/>
      </c>
    </row>
    <row r="284">
      <c r="A284" t="inlineStr">
        <is>
          <t>283</t>
        </is>
      </c>
      <c r="B284" t="inlineStr">
        <is>
          <t>Martin Brown</t>
        </is>
      </c>
      <c r="C284" t="inlineStr">
        <is>
          <t>Smiley's Flight Club</t>
        </is>
      </c>
      <c r="D284" t="inlineStr">
        <is>
          <t>36</t>
        </is>
      </c>
      <c r="E284">
        <f>HYPERLINK("https://www.britishcycling.org.uk/points?person_id=56042&amp;year=2022&amp;type=national&amp;d=6","Results")</f>
        <v/>
      </c>
    </row>
    <row r="285">
      <c r="A285" t="inlineStr">
        <is>
          <t>284</t>
        </is>
      </c>
      <c r="B285" t="inlineStr">
        <is>
          <t>Ethan Storti</t>
        </is>
      </c>
      <c r="C285" t="inlineStr">
        <is>
          <t>Welwyn Wheelers CC</t>
        </is>
      </c>
      <c r="D285" t="inlineStr">
        <is>
          <t>36</t>
        </is>
      </c>
      <c r="E285">
        <f>HYPERLINK("https://www.britishcycling.org.uk/points?person_id=284887&amp;year=2022&amp;type=national&amp;d=6","Results")</f>
        <v/>
      </c>
    </row>
    <row r="286">
      <c r="A286" t="inlineStr">
        <is>
          <t>285</t>
        </is>
      </c>
      <c r="B286" t="inlineStr">
        <is>
          <t>Josh Wakeling</t>
        </is>
      </c>
      <c r="C286" t="inlineStr">
        <is>
          <t>TWB - ON TIME RACE TEAM</t>
        </is>
      </c>
      <c r="D286" t="inlineStr">
        <is>
          <t>36</t>
        </is>
      </c>
      <c r="E286">
        <f>HYPERLINK("https://www.britishcycling.org.uk/points?person_id=314152&amp;year=2022&amp;type=national&amp;d=6","Results")</f>
        <v/>
      </c>
    </row>
    <row r="287">
      <c r="A287" t="inlineStr">
        <is>
          <t>286</t>
        </is>
      </c>
      <c r="B287" t="inlineStr">
        <is>
          <t>Alfie Amey</t>
        </is>
      </c>
      <c r="C287" t="inlineStr">
        <is>
          <t>GKR Racing</t>
        </is>
      </c>
      <c r="D287" t="inlineStr">
        <is>
          <t>34</t>
        </is>
      </c>
      <c r="E287">
        <f>HYPERLINK("https://www.britishcycling.org.uk/points?person_id=218543&amp;year=2022&amp;type=national&amp;d=6","Results")</f>
        <v/>
      </c>
    </row>
    <row r="288">
      <c r="A288" t="inlineStr">
        <is>
          <t>287</t>
        </is>
      </c>
      <c r="B288" t="inlineStr">
        <is>
          <t>Tom Bos</t>
        </is>
      </c>
      <c r="C288" t="inlineStr">
        <is>
          <t>Brown Cow Buckaroos</t>
        </is>
      </c>
      <c r="D288" t="inlineStr">
        <is>
          <t>34</t>
        </is>
      </c>
      <c r="E288">
        <f>HYPERLINK("https://www.britishcycling.org.uk/points?person_id=938871&amp;year=2022&amp;type=national&amp;d=6","Results")</f>
        <v/>
      </c>
    </row>
    <row r="289">
      <c r="A289" t="inlineStr">
        <is>
          <t>288</t>
        </is>
      </c>
      <c r="B289" t="inlineStr">
        <is>
          <t>Douglas Cameron</t>
        </is>
      </c>
      <c r="C289" t="inlineStr"/>
      <c r="D289" t="inlineStr">
        <is>
          <t>34</t>
        </is>
      </c>
      <c r="E289">
        <f>HYPERLINK("https://www.britishcycling.org.uk/points?person_id=68115&amp;year=2022&amp;type=national&amp;d=6","Results")</f>
        <v/>
      </c>
    </row>
    <row r="290">
      <c r="A290" t="inlineStr">
        <is>
          <t>289</t>
        </is>
      </c>
      <c r="B290" t="inlineStr">
        <is>
          <t>Tom Hartwell</t>
        </is>
      </c>
      <c r="C290" t="inlineStr">
        <is>
          <t>TS Racing</t>
        </is>
      </c>
      <c r="D290" t="inlineStr">
        <is>
          <t>34</t>
        </is>
      </c>
      <c r="E290">
        <f>HYPERLINK("https://www.britishcycling.org.uk/points?person_id=829491&amp;year=2022&amp;type=national&amp;d=6","Results")</f>
        <v/>
      </c>
    </row>
    <row r="291">
      <c r="A291" t="inlineStr">
        <is>
          <t>290</t>
        </is>
      </c>
      <c r="B291" t="inlineStr">
        <is>
          <t>Joel Hurt</t>
        </is>
      </c>
      <c r="C291" t="inlineStr">
        <is>
          <t>Derwentside CC</t>
        </is>
      </c>
      <c r="D291" t="inlineStr">
        <is>
          <t>34</t>
        </is>
      </c>
      <c r="E291">
        <f>HYPERLINK("https://www.britishcycling.org.uk/points?person_id=218581&amp;year=2022&amp;type=national&amp;d=6","Results")</f>
        <v/>
      </c>
    </row>
    <row r="292">
      <c r="A292" t="inlineStr">
        <is>
          <t>291</t>
        </is>
      </c>
      <c r="B292" t="inlineStr">
        <is>
          <t>Joshua Meyland</t>
        </is>
      </c>
      <c r="C292" t="inlineStr">
        <is>
          <t>OCTAVE</t>
        </is>
      </c>
      <c r="D292" t="inlineStr">
        <is>
          <t>34</t>
        </is>
      </c>
      <c r="E292">
        <f>HYPERLINK("https://www.britishcycling.org.uk/points?person_id=863940&amp;year=2022&amp;type=national&amp;d=6","Results")</f>
        <v/>
      </c>
    </row>
    <row r="293">
      <c r="A293" t="inlineStr">
        <is>
          <t>292</t>
        </is>
      </c>
      <c r="B293" t="inlineStr">
        <is>
          <t>Jonathan Pybus</t>
        </is>
      </c>
      <c r="C293" t="inlineStr">
        <is>
          <t>Vanelli-Project Go</t>
        </is>
      </c>
      <c r="D293" t="inlineStr">
        <is>
          <t>34</t>
        </is>
      </c>
      <c r="E293">
        <f>HYPERLINK("https://www.britishcycling.org.uk/points?person_id=34620&amp;year=2022&amp;type=national&amp;d=6","Results")</f>
        <v/>
      </c>
    </row>
    <row r="294">
      <c r="A294" t="inlineStr">
        <is>
          <t>293</t>
        </is>
      </c>
      <c r="B294" t="inlineStr">
        <is>
          <t>David Roper</t>
        </is>
      </c>
      <c r="C294" t="inlineStr">
        <is>
          <t>Kalas Motip Race Team</t>
        </is>
      </c>
      <c r="D294" t="inlineStr">
        <is>
          <t>34</t>
        </is>
      </c>
      <c r="E294">
        <f>HYPERLINK("https://www.britishcycling.org.uk/points?person_id=25660&amp;year=2022&amp;type=national&amp;d=6","Results")</f>
        <v/>
      </c>
    </row>
    <row r="295">
      <c r="A295" t="inlineStr">
        <is>
          <t>294</t>
        </is>
      </c>
      <c r="B295" t="inlineStr">
        <is>
          <t>Ben Wadey</t>
        </is>
      </c>
      <c r="C295" t="inlineStr"/>
      <c r="D295" t="inlineStr">
        <is>
          <t>34</t>
        </is>
      </c>
      <c r="E295">
        <f>HYPERLINK("https://www.britishcycling.org.uk/points?person_id=346410&amp;year=2022&amp;type=national&amp;d=6","Results")</f>
        <v/>
      </c>
    </row>
    <row r="296">
      <c r="A296" t="inlineStr">
        <is>
          <t>295</t>
        </is>
      </c>
      <c r="B296" t="inlineStr">
        <is>
          <t>Nathan Harrison</t>
        </is>
      </c>
      <c r="C296" t="inlineStr">
        <is>
          <t>Kingston Wheelers CC</t>
        </is>
      </c>
      <c r="D296" t="inlineStr">
        <is>
          <t>33</t>
        </is>
      </c>
      <c r="E296">
        <f>HYPERLINK("https://www.britishcycling.org.uk/points?person_id=62138&amp;year=2022&amp;type=national&amp;d=6","Results")</f>
        <v/>
      </c>
    </row>
    <row r="297">
      <c r="A297" t="inlineStr">
        <is>
          <t>296</t>
        </is>
      </c>
      <c r="B297" t="inlineStr">
        <is>
          <t>Joshua Croxton</t>
        </is>
      </c>
      <c r="C297" t="inlineStr">
        <is>
          <t>Team Tor 2000 Kalas</t>
        </is>
      </c>
      <c r="D297" t="inlineStr">
        <is>
          <t>32</t>
        </is>
      </c>
      <c r="E297">
        <f>HYPERLINK("https://www.britishcycling.org.uk/points?person_id=448289&amp;year=2022&amp;type=national&amp;d=6","Results")</f>
        <v/>
      </c>
    </row>
    <row r="298">
      <c r="A298" t="inlineStr">
        <is>
          <t>297</t>
        </is>
      </c>
      <c r="B298" t="inlineStr">
        <is>
          <t>Max Girdler</t>
        </is>
      </c>
      <c r="C298" t="inlineStr">
        <is>
          <t>Pactimo RC</t>
        </is>
      </c>
      <c r="D298" t="inlineStr">
        <is>
          <t>32</t>
        </is>
      </c>
      <c r="E298">
        <f>HYPERLINK("https://www.britishcycling.org.uk/points?person_id=42271&amp;year=2022&amp;type=national&amp;d=6","Results")</f>
        <v/>
      </c>
    </row>
    <row r="299">
      <c r="A299" t="inlineStr">
        <is>
          <t>298</t>
        </is>
      </c>
      <c r="B299" t="inlineStr">
        <is>
          <t>Alex Harvey</t>
        </is>
      </c>
      <c r="C299" t="inlineStr">
        <is>
          <t>VC Jubilee</t>
        </is>
      </c>
      <c r="D299" t="inlineStr">
        <is>
          <t>32</t>
        </is>
      </c>
      <c r="E299">
        <f>HYPERLINK("https://www.britishcycling.org.uk/points?person_id=125495&amp;year=2022&amp;type=national&amp;d=6","Results")</f>
        <v/>
      </c>
    </row>
    <row r="300">
      <c r="A300" t="inlineStr">
        <is>
          <t>299</t>
        </is>
      </c>
      <c r="B300" t="inlineStr">
        <is>
          <t>Daniel Porter</t>
        </is>
      </c>
      <c r="C300" t="inlineStr">
        <is>
          <t>Bolton Hot Wheels CC</t>
        </is>
      </c>
      <c r="D300" t="inlineStr">
        <is>
          <t>32</t>
        </is>
      </c>
      <c r="E300">
        <f>HYPERLINK("https://www.britishcycling.org.uk/points?person_id=292345&amp;year=2022&amp;type=national&amp;d=6","Results")</f>
        <v/>
      </c>
    </row>
    <row r="301">
      <c r="A301" t="inlineStr">
        <is>
          <t>300</t>
        </is>
      </c>
      <c r="B301" t="inlineStr">
        <is>
          <t>Alex Sheppard</t>
        </is>
      </c>
      <c r="C301" t="inlineStr">
        <is>
          <t>The Ark Cycles</t>
        </is>
      </c>
      <c r="D301" t="inlineStr">
        <is>
          <t>32</t>
        </is>
      </c>
      <c r="E301">
        <f>HYPERLINK("https://www.britishcycling.org.uk/points?person_id=254767&amp;year=2022&amp;type=national&amp;d=6","Results")</f>
        <v/>
      </c>
    </row>
    <row r="302">
      <c r="A302" t="inlineStr">
        <is>
          <t>301</t>
        </is>
      </c>
      <c r="B302" t="inlineStr">
        <is>
          <t>Steven Burton</t>
        </is>
      </c>
      <c r="C302" t="inlineStr">
        <is>
          <t>Lichfield City CC</t>
        </is>
      </c>
      <c r="D302" t="inlineStr">
        <is>
          <t>31</t>
        </is>
      </c>
      <c r="E302">
        <f>HYPERLINK("https://www.britishcycling.org.uk/points?person_id=492042&amp;year=2022&amp;type=national&amp;d=6","Results")</f>
        <v/>
      </c>
    </row>
    <row r="303">
      <c r="A303" t="inlineStr">
        <is>
          <t>302</t>
        </is>
      </c>
      <c r="B303" t="inlineStr">
        <is>
          <t>Richard Middleton</t>
        </is>
      </c>
      <c r="C303" t="inlineStr">
        <is>
          <t>Shibden Cycling Club</t>
        </is>
      </c>
      <c r="D303" t="inlineStr">
        <is>
          <t>31</t>
        </is>
      </c>
      <c r="E303">
        <f>HYPERLINK("https://www.britishcycling.org.uk/points?person_id=315217&amp;year=2022&amp;type=national&amp;d=6","Results")</f>
        <v/>
      </c>
    </row>
    <row r="304">
      <c r="A304" t="inlineStr">
        <is>
          <t>303</t>
        </is>
      </c>
      <c r="B304" t="inlineStr">
        <is>
          <t>Christopher Bradbury</t>
        </is>
      </c>
      <c r="C304" t="inlineStr">
        <is>
          <t>Team Milton Keynes</t>
        </is>
      </c>
      <c r="D304" t="inlineStr">
        <is>
          <t>30</t>
        </is>
      </c>
      <c r="E304">
        <f>HYPERLINK("https://www.britishcycling.org.uk/points?person_id=25230&amp;year=2022&amp;type=national&amp;d=6","Results")</f>
        <v/>
      </c>
    </row>
    <row r="305">
      <c r="A305" t="inlineStr">
        <is>
          <t>304</t>
        </is>
      </c>
      <c r="B305" t="inlineStr">
        <is>
          <t>Matthew Dennis</t>
        </is>
      </c>
      <c r="C305" t="inlineStr">
        <is>
          <t>University of Nottingham CC</t>
        </is>
      </c>
      <c r="D305" t="inlineStr">
        <is>
          <t>30</t>
        </is>
      </c>
      <c r="E305">
        <f>HYPERLINK("https://www.britishcycling.org.uk/points?person_id=309945&amp;year=2022&amp;type=national&amp;d=6","Results")</f>
        <v/>
      </c>
    </row>
    <row r="306">
      <c r="A306" t="inlineStr">
        <is>
          <t>305</t>
        </is>
      </c>
      <c r="B306" t="inlineStr">
        <is>
          <t>Benjamin Flatau</t>
        </is>
      </c>
      <c r="C306" t="inlineStr">
        <is>
          <t>Elitecycling Junior Team</t>
        </is>
      </c>
      <c r="D306" t="inlineStr">
        <is>
          <t>30</t>
        </is>
      </c>
      <c r="E306">
        <f>HYPERLINK("https://www.britishcycling.org.uk/points?person_id=220100&amp;year=2022&amp;type=national&amp;d=6","Results")</f>
        <v/>
      </c>
    </row>
    <row r="307">
      <c r="A307" t="inlineStr">
        <is>
          <t>306</t>
        </is>
      </c>
      <c r="B307" t="inlineStr">
        <is>
          <t>Alex Galpin</t>
        </is>
      </c>
      <c r="C307" t="inlineStr">
        <is>
          <t>Bourne Whls CC</t>
        </is>
      </c>
      <c r="D307" t="inlineStr">
        <is>
          <t>30</t>
        </is>
      </c>
      <c r="E307">
        <f>HYPERLINK("https://www.britishcycling.org.uk/points?person_id=181416&amp;year=2022&amp;type=national&amp;d=6","Results")</f>
        <v/>
      </c>
    </row>
    <row r="308">
      <c r="A308" t="inlineStr">
        <is>
          <t>307</t>
        </is>
      </c>
      <c r="B308" t="inlineStr">
        <is>
          <t>Clarke James</t>
        </is>
      </c>
      <c r="C308" t="inlineStr">
        <is>
          <t>Abergavenny Road Club</t>
        </is>
      </c>
      <c r="D308" t="inlineStr">
        <is>
          <t>30</t>
        </is>
      </c>
      <c r="E308">
        <f>HYPERLINK("https://www.britishcycling.org.uk/points?person_id=690364&amp;year=2022&amp;type=national&amp;d=6","Results")</f>
        <v/>
      </c>
    </row>
    <row r="309">
      <c r="A309" t="inlineStr">
        <is>
          <t>308</t>
        </is>
      </c>
      <c r="B309" t="inlineStr">
        <is>
          <t>William Jewitt</t>
        </is>
      </c>
      <c r="C309" t="inlineStr">
        <is>
          <t>JRC-INTERFLON Race Team</t>
        </is>
      </c>
      <c r="D309" t="inlineStr">
        <is>
          <t>30</t>
        </is>
      </c>
      <c r="E309">
        <f>HYPERLINK("https://www.britishcycling.org.uk/points?person_id=495674&amp;year=2022&amp;type=national&amp;d=6","Results")</f>
        <v/>
      </c>
    </row>
    <row r="310">
      <c r="A310" t="inlineStr">
        <is>
          <t>309</t>
        </is>
      </c>
      <c r="B310" t="inlineStr">
        <is>
          <t>George Watch</t>
        </is>
      </c>
      <c r="C310" t="inlineStr">
        <is>
          <t>Team Zoyland Race Academy</t>
        </is>
      </c>
      <c r="D310" t="inlineStr">
        <is>
          <t>30</t>
        </is>
      </c>
      <c r="E310">
        <f>HYPERLINK("https://www.britishcycling.org.uk/points?person_id=532098&amp;year=2022&amp;type=national&amp;d=6","Results")</f>
        <v/>
      </c>
    </row>
    <row r="311">
      <c r="A311" t="inlineStr">
        <is>
          <t>310</t>
        </is>
      </c>
      <c r="B311" t="inlineStr">
        <is>
          <t>George Baker</t>
        </is>
      </c>
      <c r="C311" t="inlineStr">
        <is>
          <t>Barrow Central Wheelers</t>
        </is>
      </c>
      <c r="D311" t="inlineStr">
        <is>
          <t>29</t>
        </is>
      </c>
      <c r="E311">
        <f>HYPERLINK("https://www.britishcycling.org.uk/points?person_id=139895&amp;year=2022&amp;type=national&amp;d=6","Results")</f>
        <v/>
      </c>
    </row>
    <row r="312">
      <c r="A312" t="inlineStr">
        <is>
          <t>311</t>
        </is>
      </c>
      <c r="B312" t="inlineStr">
        <is>
          <t>Joe Curran</t>
        </is>
      </c>
      <c r="C312" t="inlineStr">
        <is>
          <t>Muckle Cycle Club</t>
        </is>
      </c>
      <c r="D312" t="inlineStr">
        <is>
          <t>29</t>
        </is>
      </c>
      <c r="E312">
        <f>HYPERLINK("https://www.britishcycling.org.uk/points?person_id=391602&amp;year=2022&amp;type=national&amp;d=6","Results")</f>
        <v/>
      </c>
    </row>
    <row r="313">
      <c r="A313" t="inlineStr">
        <is>
          <t>312</t>
        </is>
      </c>
      <c r="B313" t="inlineStr">
        <is>
          <t>Ethan Grimshaw</t>
        </is>
      </c>
      <c r="C313" t="inlineStr">
        <is>
          <t>Cookson Cycles</t>
        </is>
      </c>
      <c r="D313" t="inlineStr">
        <is>
          <t>29</t>
        </is>
      </c>
      <c r="E313">
        <f>HYPERLINK("https://www.britishcycling.org.uk/points?person_id=215903&amp;year=2022&amp;type=national&amp;d=6","Results")</f>
        <v/>
      </c>
    </row>
    <row r="314">
      <c r="A314" t="inlineStr">
        <is>
          <t>313</t>
        </is>
      </c>
      <c r="B314" t="inlineStr">
        <is>
          <t>Luke Protheroe</t>
        </is>
      </c>
      <c r="C314" t="inlineStr">
        <is>
          <t>UF Rowe &amp; King</t>
        </is>
      </c>
      <c r="D314" t="inlineStr">
        <is>
          <t>29</t>
        </is>
      </c>
      <c r="E314">
        <f>HYPERLINK("https://www.britishcycling.org.uk/points?person_id=652933&amp;year=2022&amp;type=national&amp;d=6","Results")</f>
        <v/>
      </c>
    </row>
    <row r="315">
      <c r="A315" t="inlineStr">
        <is>
          <t>314</t>
        </is>
      </c>
      <c r="B315" t="inlineStr">
        <is>
          <t>Richard Wiggins</t>
        </is>
      </c>
      <c r="C315" t="inlineStr">
        <is>
          <t>Ziggurat Racing</t>
        </is>
      </c>
      <c r="D315" t="inlineStr">
        <is>
          <t>29</t>
        </is>
      </c>
      <c r="E315">
        <f>HYPERLINK("https://www.britishcycling.org.uk/points?person_id=588679&amp;year=2022&amp;type=national&amp;d=6","Results")</f>
        <v/>
      </c>
    </row>
    <row r="316">
      <c r="A316" t="inlineStr">
        <is>
          <t>315</t>
        </is>
      </c>
      <c r="B316" t="inlineStr">
        <is>
          <t>Philip Holwell</t>
        </is>
      </c>
      <c r="C316" t="inlineStr">
        <is>
          <t>www.Zepnat.com RT - Lazer helmets</t>
        </is>
      </c>
      <c r="D316" t="inlineStr">
        <is>
          <t>28</t>
        </is>
      </c>
      <c r="E316">
        <f>HYPERLINK("https://www.britishcycling.org.uk/points?person_id=20732&amp;year=2022&amp;type=national&amp;d=6","Results")</f>
        <v/>
      </c>
    </row>
    <row r="317">
      <c r="A317" t="inlineStr">
        <is>
          <t>316</t>
        </is>
      </c>
      <c r="B317" t="inlineStr">
        <is>
          <t>Joe Homer</t>
        </is>
      </c>
      <c r="C317" t="inlineStr">
        <is>
          <t>Halesowen A &amp; CC</t>
        </is>
      </c>
      <c r="D317" t="inlineStr">
        <is>
          <t>28</t>
        </is>
      </c>
      <c r="E317">
        <f>HYPERLINK("https://www.britishcycling.org.uk/points?person_id=346297&amp;year=2022&amp;type=national&amp;d=6","Results")</f>
        <v/>
      </c>
    </row>
    <row r="318">
      <c r="A318" t="inlineStr">
        <is>
          <t>317</t>
        </is>
      </c>
      <c r="B318" t="inlineStr">
        <is>
          <t>Gareth James</t>
        </is>
      </c>
      <c r="C318" t="inlineStr">
        <is>
          <t>Team V-Sprint Racing</t>
        </is>
      </c>
      <c r="D318" t="inlineStr">
        <is>
          <t>28</t>
        </is>
      </c>
      <c r="E318">
        <f>HYPERLINK("https://www.britishcycling.org.uk/points?person_id=253099&amp;year=2022&amp;type=national&amp;d=6","Results")</f>
        <v/>
      </c>
    </row>
    <row r="319">
      <c r="A319" t="inlineStr">
        <is>
          <t>318</t>
        </is>
      </c>
      <c r="B319" t="inlineStr">
        <is>
          <t>Max Rushby</t>
        </is>
      </c>
      <c r="C319" t="inlineStr">
        <is>
          <t>Acrog-Tormans</t>
        </is>
      </c>
      <c r="D319" t="inlineStr">
        <is>
          <t>28</t>
        </is>
      </c>
      <c r="E319">
        <f>HYPERLINK("https://www.britishcycling.org.uk/points?person_id=205387&amp;year=2022&amp;type=national&amp;d=6","Results")</f>
        <v/>
      </c>
    </row>
    <row r="320">
      <c r="A320" t="inlineStr">
        <is>
          <t>319</t>
        </is>
      </c>
      <c r="B320" t="inlineStr">
        <is>
          <t>Owen Thompson</t>
        </is>
      </c>
      <c r="C320" t="inlineStr">
        <is>
          <t>Paul Milnes - Bradford Olympic RC</t>
        </is>
      </c>
      <c r="D320" t="inlineStr">
        <is>
          <t>28</t>
        </is>
      </c>
      <c r="E320">
        <f>HYPERLINK("https://www.britishcycling.org.uk/points?person_id=379108&amp;year=2022&amp;type=national&amp;d=6","Results")</f>
        <v/>
      </c>
    </row>
    <row r="321">
      <c r="A321" t="inlineStr">
        <is>
          <t>320</t>
        </is>
      </c>
      <c r="B321" t="inlineStr">
        <is>
          <t>Joseph Wynn-Jones</t>
        </is>
      </c>
      <c r="C321" t="inlineStr">
        <is>
          <t>Leicester University Cycling Team</t>
        </is>
      </c>
      <c r="D321" t="inlineStr">
        <is>
          <t>28</t>
        </is>
      </c>
      <c r="E321">
        <f>HYPERLINK("https://www.britishcycling.org.uk/points?person_id=1021468&amp;year=2022&amp;type=national&amp;d=6","Results")</f>
        <v/>
      </c>
    </row>
    <row r="322">
      <c r="A322" t="inlineStr">
        <is>
          <t>321</t>
        </is>
      </c>
      <c r="B322" t="inlineStr">
        <is>
          <t>Sam Bullen</t>
        </is>
      </c>
      <c r="C322" t="inlineStr">
        <is>
          <t>VéloElite RC</t>
        </is>
      </c>
      <c r="D322" t="inlineStr">
        <is>
          <t>27</t>
        </is>
      </c>
      <c r="E322">
        <f>HYPERLINK("https://www.britishcycling.org.uk/points?person_id=814774&amp;year=2022&amp;type=national&amp;d=6","Results")</f>
        <v/>
      </c>
    </row>
    <row r="323">
      <c r="A323" t="inlineStr">
        <is>
          <t>322</t>
        </is>
      </c>
      <c r="B323" t="inlineStr">
        <is>
          <t>Jake Hales</t>
        </is>
      </c>
      <c r="C323" t="inlineStr">
        <is>
          <t>Spirit BSS</t>
        </is>
      </c>
      <c r="D323" t="inlineStr">
        <is>
          <t>27</t>
        </is>
      </c>
      <c r="E323">
        <f>HYPERLINK("https://www.britishcycling.org.uk/points?person_id=58720&amp;year=2022&amp;type=national&amp;d=6","Results")</f>
        <v/>
      </c>
    </row>
    <row r="324">
      <c r="A324" t="inlineStr">
        <is>
          <t>323</t>
        </is>
      </c>
      <c r="B324" t="inlineStr">
        <is>
          <t>CJ McGovern</t>
        </is>
      </c>
      <c r="C324" t="inlineStr">
        <is>
          <t>CMG Factory Racing</t>
        </is>
      </c>
      <c r="D324" t="inlineStr">
        <is>
          <t>27</t>
        </is>
      </c>
      <c r="E324">
        <f>HYPERLINK("https://www.britishcycling.org.uk/points?person_id=10335&amp;year=2022&amp;type=national&amp;d=6","Results")</f>
        <v/>
      </c>
    </row>
    <row r="325">
      <c r="A325" t="inlineStr">
        <is>
          <t>324</t>
        </is>
      </c>
      <c r="B325" t="inlineStr">
        <is>
          <t>Jack Oelmann Perez</t>
        </is>
      </c>
      <c r="C325" t="inlineStr"/>
      <c r="D325" t="inlineStr">
        <is>
          <t>27</t>
        </is>
      </c>
      <c r="E325">
        <f>HYPERLINK("https://www.britishcycling.org.uk/points?person_id=31165&amp;year=2022&amp;type=national&amp;d=6","Results")</f>
        <v/>
      </c>
    </row>
    <row r="326">
      <c r="A326" t="inlineStr">
        <is>
          <t>325</t>
        </is>
      </c>
      <c r="B326" t="inlineStr">
        <is>
          <t>Martin Quill</t>
        </is>
      </c>
      <c r="C326" t="inlineStr">
        <is>
          <t>Team Milton Keynes</t>
        </is>
      </c>
      <c r="D326" t="inlineStr">
        <is>
          <t>27</t>
        </is>
      </c>
      <c r="E326">
        <f>HYPERLINK("https://www.britishcycling.org.uk/points?person_id=55487&amp;year=2022&amp;type=national&amp;d=6","Results")</f>
        <v/>
      </c>
    </row>
    <row r="327">
      <c r="A327" t="inlineStr">
        <is>
          <t>326</t>
        </is>
      </c>
      <c r="B327" t="inlineStr">
        <is>
          <t>Robert Watson</t>
        </is>
      </c>
      <c r="C327" t="inlineStr">
        <is>
          <t>Paceline Cycles North</t>
        </is>
      </c>
      <c r="D327" t="inlineStr">
        <is>
          <t>27</t>
        </is>
      </c>
      <c r="E327">
        <f>HYPERLINK("https://www.britishcycling.org.uk/points?person_id=11379&amp;year=2022&amp;type=national&amp;d=6","Results")</f>
        <v/>
      </c>
    </row>
    <row r="328">
      <c r="A328" t="inlineStr">
        <is>
          <t>327</t>
        </is>
      </c>
      <c r="B328" t="inlineStr">
        <is>
          <t>Simon Wright</t>
        </is>
      </c>
      <c r="C328" t="inlineStr">
        <is>
          <t>Army Cycling Union</t>
        </is>
      </c>
      <c r="D328" t="inlineStr">
        <is>
          <t>27</t>
        </is>
      </c>
      <c r="E328">
        <f>HYPERLINK("https://www.britishcycling.org.uk/points?person_id=725246&amp;year=2022&amp;type=national&amp;d=6","Results")</f>
        <v/>
      </c>
    </row>
    <row r="329">
      <c r="A329" t="inlineStr">
        <is>
          <t>328</t>
        </is>
      </c>
      <c r="B329" t="inlineStr">
        <is>
          <t>Olli Dawson</t>
        </is>
      </c>
      <c r="C329" t="inlineStr"/>
      <c r="D329" t="inlineStr">
        <is>
          <t>26</t>
        </is>
      </c>
      <c r="E329">
        <f>HYPERLINK("https://www.britishcycling.org.uk/points?person_id=184797&amp;year=2022&amp;type=national&amp;d=6","Results")</f>
        <v/>
      </c>
    </row>
    <row r="330">
      <c r="A330" t="inlineStr">
        <is>
          <t>329</t>
        </is>
      </c>
      <c r="B330" t="inlineStr">
        <is>
          <t>Sebastian Grindley</t>
        </is>
      </c>
      <c r="C330" t="inlineStr">
        <is>
          <t>North Cheshire Clarion</t>
        </is>
      </c>
      <c r="D330" t="inlineStr">
        <is>
          <t>26</t>
        </is>
      </c>
      <c r="E330">
        <f>HYPERLINK("https://www.britishcycling.org.uk/points?person_id=330519&amp;year=2022&amp;type=national&amp;d=6","Results")</f>
        <v/>
      </c>
    </row>
    <row r="331">
      <c r="A331" t="inlineStr">
        <is>
          <t>330</t>
        </is>
      </c>
      <c r="B331" t="inlineStr">
        <is>
          <t>Daniel Hunt</t>
        </is>
      </c>
      <c r="C331" t="inlineStr">
        <is>
          <t>Lichfield City CC</t>
        </is>
      </c>
      <c r="D331" t="inlineStr">
        <is>
          <t>26</t>
        </is>
      </c>
      <c r="E331">
        <f>HYPERLINK("https://www.britishcycling.org.uk/points?person_id=770343&amp;year=2022&amp;type=national&amp;d=6","Results")</f>
        <v/>
      </c>
    </row>
    <row r="332">
      <c r="A332" t="inlineStr">
        <is>
          <t>331</t>
        </is>
      </c>
      <c r="B332" t="inlineStr">
        <is>
          <t>Henry James</t>
        </is>
      </c>
      <c r="C332" t="inlineStr">
        <is>
          <t>Crawley Wheelers Race Team</t>
        </is>
      </c>
      <c r="D332" t="inlineStr">
        <is>
          <t>26</t>
        </is>
      </c>
      <c r="E332">
        <f>HYPERLINK("https://www.britishcycling.org.uk/points?person_id=621617&amp;year=2022&amp;type=national&amp;d=6","Results")</f>
        <v/>
      </c>
    </row>
    <row r="333">
      <c r="A333" t="inlineStr">
        <is>
          <t>332</t>
        </is>
      </c>
      <c r="B333" t="inlineStr">
        <is>
          <t>Richard Jones</t>
        </is>
      </c>
      <c r="C333" t="inlineStr">
        <is>
          <t>Ribble Weldtite Pro Cycling</t>
        </is>
      </c>
      <c r="D333" t="inlineStr">
        <is>
          <t>26</t>
        </is>
      </c>
      <c r="E333">
        <f>HYPERLINK("https://www.britishcycling.org.uk/points?person_id=131876&amp;year=2022&amp;type=national&amp;d=6","Results")</f>
        <v/>
      </c>
    </row>
    <row r="334">
      <c r="A334" t="inlineStr">
        <is>
          <t>333</t>
        </is>
      </c>
      <c r="B334" t="inlineStr">
        <is>
          <t>John Mackenzie</t>
        </is>
      </c>
      <c r="C334" t="inlineStr">
        <is>
          <t>SR Albannach</t>
        </is>
      </c>
      <c r="D334" t="inlineStr">
        <is>
          <t>26</t>
        </is>
      </c>
      <c r="E334">
        <f>HYPERLINK("https://www.britishcycling.org.uk/points?person_id=506476&amp;year=2022&amp;type=national&amp;d=6","Results")</f>
        <v/>
      </c>
    </row>
    <row r="335">
      <c r="A335" t="inlineStr">
        <is>
          <t>334</t>
        </is>
      </c>
      <c r="B335" t="inlineStr">
        <is>
          <t>Ed Moseley</t>
        </is>
      </c>
      <c r="C335" t="inlineStr">
        <is>
          <t>Malvern Cycle Sport</t>
        </is>
      </c>
      <c r="D335" t="inlineStr">
        <is>
          <t>26</t>
        </is>
      </c>
      <c r="E335">
        <f>HYPERLINK("https://www.britishcycling.org.uk/points?person_id=76157&amp;year=2022&amp;type=national&amp;d=6","Results")</f>
        <v/>
      </c>
    </row>
    <row r="336">
      <c r="A336" t="inlineStr">
        <is>
          <t>335</t>
        </is>
      </c>
      <c r="B336" t="inlineStr">
        <is>
          <t>Barnabas Pickford</t>
        </is>
      </c>
      <c r="C336" t="inlineStr">
        <is>
          <t>University of Nottingham CC</t>
        </is>
      </c>
      <c r="D336" t="inlineStr">
        <is>
          <t>26</t>
        </is>
      </c>
      <c r="E336">
        <f>HYPERLINK("https://www.britishcycling.org.uk/points?person_id=1034395&amp;year=2022&amp;type=national&amp;d=6","Results")</f>
        <v/>
      </c>
    </row>
    <row r="337">
      <c r="A337" t="inlineStr">
        <is>
          <t>336</t>
        </is>
      </c>
      <c r="B337" t="inlineStr">
        <is>
          <t>Niall Shannon</t>
        </is>
      </c>
      <c r="C337" t="inlineStr">
        <is>
          <t>SR Albannach</t>
        </is>
      </c>
      <c r="D337" t="inlineStr">
        <is>
          <t>26</t>
        </is>
      </c>
      <c r="E337">
        <f>HYPERLINK("https://www.britishcycling.org.uk/points?person_id=25401&amp;year=2022&amp;type=national&amp;d=6","Results")</f>
        <v/>
      </c>
    </row>
    <row r="338">
      <c r="A338" t="inlineStr">
        <is>
          <t>337</t>
        </is>
      </c>
      <c r="B338" t="inlineStr">
        <is>
          <t>James Shirley</t>
        </is>
      </c>
      <c r="C338" t="inlineStr">
        <is>
          <t>West Highland Wheelers</t>
        </is>
      </c>
      <c r="D338" t="inlineStr">
        <is>
          <t>26</t>
        </is>
      </c>
      <c r="E338">
        <f>HYPERLINK("https://www.britishcycling.org.uk/points?person_id=25921&amp;year=2022&amp;type=national&amp;d=6","Results")</f>
        <v/>
      </c>
    </row>
    <row r="339">
      <c r="A339" t="inlineStr">
        <is>
          <t>338</t>
        </is>
      </c>
      <c r="B339" t="inlineStr">
        <is>
          <t>Callum Start</t>
        </is>
      </c>
      <c r="C339" t="inlineStr">
        <is>
          <t>Mid Devon CC</t>
        </is>
      </c>
      <c r="D339" t="inlineStr">
        <is>
          <t>26</t>
        </is>
      </c>
      <c r="E339">
        <f>HYPERLINK("https://www.britishcycling.org.uk/points?person_id=251441&amp;year=2022&amp;type=national&amp;d=6","Results")</f>
        <v/>
      </c>
    </row>
    <row r="340">
      <c r="A340" t="inlineStr">
        <is>
          <t>339</t>
        </is>
      </c>
      <c r="B340" t="inlineStr">
        <is>
          <t>Jacob Kench</t>
        </is>
      </c>
      <c r="C340" t="inlineStr">
        <is>
          <t>G!RO Cycles</t>
        </is>
      </c>
      <c r="D340" t="inlineStr">
        <is>
          <t>25</t>
        </is>
      </c>
      <c r="E340">
        <f>HYPERLINK("https://www.britishcycling.org.uk/points?person_id=521814&amp;year=2022&amp;type=national&amp;d=6","Results")</f>
        <v/>
      </c>
    </row>
    <row r="341">
      <c r="A341" t="inlineStr">
        <is>
          <t>340</t>
        </is>
      </c>
      <c r="B341" t="inlineStr">
        <is>
          <t>Andrew Lindsay</t>
        </is>
      </c>
      <c r="C341" t="inlineStr">
        <is>
          <t>Surrey Hills Cycleworks</t>
        </is>
      </c>
      <c r="D341" t="inlineStr">
        <is>
          <t>25</t>
        </is>
      </c>
      <c r="E341">
        <f>HYPERLINK("https://www.britishcycling.org.uk/points?person_id=256947&amp;year=2022&amp;type=national&amp;d=6","Results")</f>
        <v/>
      </c>
    </row>
    <row r="342">
      <c r="A342" t="inlineStr">
        <is>
          <t>341</t>
        </is>
      </c>
      <c r="B342" t="inlineStr">
        <is>
          <t>Connor Rumbles</t>
        </is>
      </c>
      <c r="C342" t="inlineStr">
        <is>
          <t>Strada 2020</t>
        </is>
      </c>
      <c r="D342" t="inlineStr">
        <is>
          <t>25</t>
        </is>
      </c>
      <c r="E342">
        <f>HYPERLINK("https://www.britishcycling.org.uk/points?person_id=273369&amp;year=2022&amp;type=national&amp;d=6","Results")</f>
        <v/>
      </c>
    </row>
    <row r="343">
      <c r="A343" t="inlineStr">
        <is>
          <t>342</t>
        </is>
      </c>
      <c r="B343" t="inlineStr">
        <is>
          <t>Lee Cuthbertson</t>
        </is>
      </c>
      <c r="C343" t="inlineStr">
        <is>
          <t>Muckle Cycle Club</t>
        </is>
      </c>
      <c r="D343" t="inlineStr">
        <is>
          <t>24</t>
        </is>
      </c>
      <c r="E343">
        <f>HYPERLINK("https://www.britishcycling.org.uk/points?person_id=707607&amp;year=2022&amp;type=national&amp;d=6","Results")</f>
        <v/>
      </c>
    </row>
    <row r="344">
      <c r="A344" t="inlineStr">
        <is>
          <t>343</t>
        </is>
      </c>
      <c r="B344" t="inlineStr">
        <is>
          <t>Oliver Glen</t>
        </is>
      </c>
      <c r="C344" t="inlineStr">
        <is>
          <t>Reifen Racing</t>
        </is>
      </c>
      <c r="D344" t="inlineStr">
        <is>
          <t>24</t>
        </is>
      </c>
      <c r="E344">
        <f>HYPERLINK("https://www.britishcycling.org.uk/points?person_id=672018&amp;year=2022&amp;type=national&amp;d=6","Results")</f>
        <v/>
      </c>
    </row>
    <row r="345">
      <c r="A345" t="inlineStr">
        <is>
          <t>344</t>
        </is>
      </c>
      <c r="B345" t="inlineStr">
        <is>
          <t>Dan Hopes</t>
        </is>
      </c>
      <c r="C345" t="inlineStr">
        <is>
          <t>WestSide Coaching</t>
        </is>
      </c>
      <c r="D345" t="inlineStr">
        <is>
          <t>24</t>
        </is>
      </c>
      <c r="E345">
        <f>HYPERLINK("https://www.britishcycling.org.uk/points?person_id=408137&amp;year=2022&amp;type=national&amp;d=6","Results")</f>
        <v/>
      </c>
    </row>
    <row r="346">
      <c r="A346" t="inlineStr">
        <is>
          <t>345</t>
        </is>
      </c>
      <c r="B346" t="inlineStr">
        <is>
          <t>Lucas Jowett</t>
        </is>
      </c>
      <c r="C346" t="inlineStr">
        <is>
          <t>FlandersColor Galloo</t>
        </is>
      </c>
      <c r="D346" t="inlineStr">
        <is>
          <t>24</t>
        </is>
      </c>
      <c r="E346">
        <f>HYPERLINK("https://www.britishcycling.org.uk/points?person_id=953417&amp;year=2022&amp;type=national&amp;d=6","Results")</f>
        <v/>
      </c>
    </row>
    <row r="347">
      <c r="A347" t="inlineStr">
        <is>
          <t>346</t>
        </is>
      </c>
      <c r="B347" t="inlineStr">
        <is>
          <t>Matthew Marshall</t>
        </is>
      </c>
      <c r="C347" t="inlineStr"/>
      <c r="D347" t="inlineStr">
        <is>
          <t>24</t>
        </is>
      </c>
      <c r="E347">
        <f>HYPERLINK("https://www.britishcycling.org.uk/points?person_id=663109&amp;year=2022&amp;type=national&amp;d=6","Results")</f>
        <v/>
      </c>
    </row>
    <row r="348">
      <c r="A348" t="inlineStr">
        <is>
          <t>347</t>
        </is>
      </c>
      <c r="B348" t="inlineStr">
        <is>
          <t>Lewis Muncaster</t>
        </is>
      </c>
      <c r="C348" t="inlineStr">
        <is>
          <t>Leicester University Cycling Team</t>
        </is>
      </c>
      <c r="D348" t="inlineStr">
        <is>
          <t>24</t>
        </is>
      </c>
      <c r="E348">
        <f>HYPERLINK("https://www.britishcycling.org.uk/points?person_id=108183&amp;year=2022&amp;type=national&amp;d=6","Results")</f>
        <v/>
      </c>
    </row>
    <row r="349">
      <c r="A349" t="inlineStr">
        <is>
          <t>348</t>
        </is>
      </c>
      <c r="B349" t="inlineStr">
        <is>
          <t>Mark Staples</t>
        </is>
      </c>
      <c r="C349" t="inlineStr">
        <is>
          <t>Clancy Briggs Cycling Academy</t>
        </is>
      </c>
      <c r="D349" t="inlineStr">
        <is>
          <t>24</t>
        </is>
      </c>
      <c r="E349">
        <f>HYPERLINK("https://www.britishcycling.org.uk/points?person_id=379014&amp;year=2022&amp;type=national&amp;d=6","Results")</f>
        <v/>
      </c>
    </row>
    <row r="350">
      <c r="A350" t="inlineStr">
        <is>
          <t>349</t>
        </is>
      </c>
      <c r="B350" t="inlineStr">
        <is>
          <t>Michael Wright</t>
        </is>
      </c>
      <c r="C350" t="inlineStr">
        <is>
          <t>Gateway Racing</t>
        </is>
      </c>
      <c r="D350" t="inlineStr">
        <is>
          <t>24</t>
        </is>
      </c>
      <c r="E350">
        <f>HYPERLINK("https://www.britishcycling.org.uk/points?person_id=623795&amp;year=2022&amp;type=national&amp;d=6","Results")</f>
        <v/>
      </c>
    </row>
    <row r="351">
      <c r="A351" t="inlineStr">
        <is>
          <t>350</t>
        </is>
      </c>
      <c r="B351" t="inlineStr">
        <is>
          <t>Benjamin Beynon</t>
        </is>
      </c>
      <c r="C351" t="inlineStr">
        <is>
          <t>ROTOR Race Team</t>
        </is>
      </c>
      <c r="D351" t="inlineStr">
        <is>
          <t>23</t>
        </is>
      </c>
      <c r="E351">
        <f>HYPERLINK("https://www.britishcycling.org.uk/points?person_id=248738&amp;year=2022&amp;type=national&amp;d=6","Results")</f>
        <v/>
      </c>
    </row>
    <row r="352">
      <c r="A352" t="inlineStr">
        <is>
          <t>351</t>
        </is>
      </c>
      <c r="B352" t="inlineStr">
        <is>
          <t>Thomas Bowden</t>
        </is>
      </c>
      <c r="C352" t="inlineStr">
        <is>
          <t>FTP-Fulfil The Potential-Racing</t>
        </is>
      </c>
      <c r="D352" t="inlineStr">
        <is>
          <t>23</t>
        </is>
      </c>
      <c r="E352">
        <f>HYPERLINK("https://www.britishcycling.org.uk/points?person_id=614390&amp;year=2022&amp;type=national&amp;d=6","Results")</f>
        <v/>
      </c>
    </row>
    <row r="353">
      <c r="A353" t="inlineStr">
        <is>
          <t>352</t>
        </is>
      </c>
      <c r="B353" t="inlineStr">
        <is>
          <t>Adam Cooke</t>
        </is>
      </c>
      <c r="C353" t="inlineStr">
        <is>
          <t>Reifen Racing</t>
        </is>
      </c>
      <c r="D353" t="inlineStr">
        <is>
          <t>23</t>
        </is>
      </c>
      <c r="E353">
        <f>HYPERLINK("https://www.britishcycling.org.uk/points?person_id=183994&amp;year=2022&amp;type=national&amp;d=6","Results")</f>
        <v/>
      </c>
    </row>
    <row r="354">
      <c r="A354" t="inlineStr">
        <is>
          <t>353</t>
        </is>
      </c>
      <c r="B354" t="inlineStr">
        <is>
          <t>Ben Dowson</t>
        </is>
      </c>
      <c r="C354" t="inlineStr">
        <is>
          <t>Richmond Cycling Club</t>
        </is>
      </c>
      <c r="D354" t="inlineStr">
        <is>
          <t>23</t>
        </is>
      </c>
      <c r="E354">
        <f>HYPERLINK("https://www.britishcycling.org.uk/points?person_id=36722&amp;year=2022&amp;type=national&amp;d=6","Results")</f>
        <v/>
      </c>
    </row>
    <row r="355">
      <c r="A355" t="inlineStr">
        <is>
          <t>354</t>
        </is>
      </c>
      <c r="B355" t="inlineStr">
        <is>
          <t>Marco Ruggeri</t>
        </is>
      </c>
      <c r="C355" t="inlineStr">
        <is>
          <t>Rapha Cycling Club</t>
        </is>
      </c>
      <c r="D355" t="inlineStr">
        <is>
          <t>23</t>
        </is>
      </c>
      <c r="E355">
        <f>HYPERLINK("https://www.britishcycling.org.uk/points?person_id=865145&amp;year=2022&amp;type=national&amp;d=6","Results")</f>
        <v/>
      </c>
    </row>
    <row r="356">
      <c r="A356" t="inlineStr">
        <is>
          <t>355</t>
        </is>
      </c>
      <c r="B356" t="inlineStr">
        <is>
          <t>Ed Welsh</t>
        </is>
      </c>
      <c r="C356" t="inlineStr"/>
      <c r="D356" t="inlineStr">
        <is>
          <t>23</t>
        </is>
      </c>
      <c r="E356">
        <f>HYPERLINK("https://www.britishcycling.org.uk/points?person_id=105103&amp;year=2022&amp;type=national&amp;d=6","Results")</f>
        <v/>
      </c>
    </row>
    <row r="357">
      <c r="A357" t="inlineStr">
        <is>
          <t>356</t>
        </is>
      </c>
      <c r="B357" t="inlineStr">
        <is>
          <t>Hamish Fletcher-Cooney</t>
        </is>
      </c>
      <c r="C357" t="inlineStr">
        <is>
          <t>All Terrain Cycles Ride In Peace</t>
        </is>
      </c>
      <c r="D357" t="inlineStr">
        <is>
          <t>22</t>
        </is>
      </c>
      <c r="E357">
        <f>HYPERLINK("https://www.britishcycling.org.uk/points?person_id=28042&amp;year=2022&amp;type=national&amp;d=6","Results")</f>
        <v/>
      </c>
    </row>
    <row r="358">
      <c r="A358" t="inlineStr">
        <is>
          <t>357</t>
        </is>
      </c>
      <c r="B358" t="inlineStr">
        <is>
          <t>Peter Hawkins</t>
        </is>
      </c>
      <c r="C358" t="inlineStr">
        <is>
          <t>Muckle Cycle Club</t>
        </is>
      </c>
      <c r="D358" t="inlineStr">
        <is>
          <t>22</t>
        </is>
      </c>
      <c r="E358">
        <f>HYPERLINK("https://www.britishcycling.org.uk/points?person_id=240950&amp;year=2022&amp;type=national&amp;d=6","Results")</f>
        <v/>
      </c>
    </row>
    <row r="359">
      <c r="A359" t="inlineStr">
        <is>
          <t>358</t>
        </is>
      </c>
      <c r="B359" t="inlineStr">
        <is>
          <t>Joshua Ibbett</t>
        </is>
      </c>
      <c r="C359" t="inlineStr">
        <is>
          <t>St Ives CC</t>
        </is>
      </c>
      <c r="D359" t="inlineStr">
        <is>
          <t>22</t>
        </is>
      </c>
      <c r="E359">
        <f>HYPERLINK("https://www.britishcycling.org.uk/points?person_id=51728&amp;year=2022&amp;type=national&amp;d=6","Results")</f>
        <v/>
      </c>
    </row>
    <row r="360">
      <c r="A360" t="inlineStr">
        <is>
          <t>359</t>
        </is>
      </c>
      <c r="B360" t="inlineStr">
        <is>
          <t>Sam Mitchell</t>
        </is>
      </c>
      <c r="C360" t="inlineStr">
        <is>
          <t>Plymouth Corinthian CC</t>
        </is>
      </c>
      <c r="D360" t="inlineStr">
        <is>
          <t>22</t>
        </is>
      </c>
      <c r="E360">
        <f>HYPERLINK("https://www.britishcycling.org.uk/points?person_id=1017283&amp;year=2022&amp;type=national&amp;d=6","Results")</f>
        <v/>
      </c>
    </row>
    <row r="361">
      <c r="A361" t="inlineStr">
        <is>
          <t>360</t>
        </is>
      </c>
      <c r="B361" t="inlineStr">
        <is>
          <t>Sebastian Siswick</t>
        </is>
      </c>
      <c r="C361" t="inlineStr">
        <is>
          <t>Royal Navy &amp; Royal Marines CA</t>
        </is>
      </c>
      <c r="D361" t="inlineStr">
        <is>
          <t>22</t>
        </is>
      </c>
      <c r="E361">
        <f>HYPERLINK("https://www.britishcycling.org.uk/points?person_id=987240&amp;year=2022&amp;type=national&amp;d=6","Results")</f>
        <v/>
      </c>
    </row>
    <row r="362">
      <c r="A362" t="inlineStr">
        <is>
          <t>361</t>
        </is>
      </c>
      <c r="B362" t="inlineStr">
        <is>
          <t>Daniel Wellings</t>
        </is>
      </c>
      <c r="C362" t="inlineStr">
        <is>
          <t>Bristol CX</t>
        </is>
      </c>
      <c r="D362" t="inlineStr">
        <is>
          <t>22</t>
        </is>
      </c>
      <c r="E362">
        <f>HYPERLINK("https://www.britishcycling.org.uk/points?person_id=176498&amp;year=2022&amp;type=national&amp;d=6","Results")</f>
        <v/>
      </c>
    </row>
    <row r="363">
      <c r="A363" t="inlineStr">
        <is>
          <t>362</t>
        </is>
      </c>
      <c r="B363" t="inlineStr">
        <is>
          <t>Adam Williams</t>
        </is>
      </c>
      <c r="C363" t="inlineStr">
        <is>
          <t>St Neots CC</t>
        </is>
      </c>
      <c r="D363" t="inlineStr">
        <is>
          <t>22</t>
        </is>
      </c>
      <c r="E363">
        <f>HYPERLINK("https://www.britishcycling.org.uk/points?person_id=652899&amp;year=2022&amp;type=national&amp;d=6","Results")</f>
        <v/>
      </c>
    </row>
    <row r="364">
      <c r="A364" t="inlineStr">
        <is>
          <t>363</t>
        </is>
      </c>
      <c r="B364" t="inlineStr">
        <is>
          <t>Aidan Worden</t>
        </is>
      </c>
      <c r="C364" t="inlineStr">
        <is>
          <t>Red Rose Olympic CC</t>
        </is>
      </c>
      <c r="D364" t="inlineStr">
        <is>
          <t>22</t>
        </is>
      </c>
      <c r="E364">
        <f>HYPERLINK("https://www.britishcycling.org.uk/points?person_id=456930&amp;year=2022&amp;type=national&amp;d=6","Results")</f>
        <v/>
      </c>
    </row>
    <row r="365">
      <c r="A365" t="inlineStr">
        <is>
          <t>364</t>
        </is>
      </c>
      <c r="B365" t="inlineStr">
        <is>
          <t>Joshua Horsfield</t>
        </is>
      </c>
      <c r="C365" t="inlineStr"/>
      <c r="D365" t="inlineStr">
        <is>
          <t>21</t>
        </is>
      </c>
      <c r="E365">
        <f>HYPERLINK("https://www.britishcycling.org.uk/points?person_id=64115&amp;year=2022&amp;type=national&amp;d=6","Results")</f>
        <v/>
      </c>
    </row>
    <row r="366">
      <c r="A366" t="inlineStr">
        <is>
          <t>365</t>
        </is>
      </c>
      <c r="B366" t="inlineStr">
        <is>
          <t>Leo Bungay</t>
        </is>
      </c>
      <c r="C366" t="inlineStr">
        <is>
          <t>University of Nottingham CC</t>
        </is>
      </c>
      <c r="D366" t="inlineStr">
        <is>
          <t>20</t>
        </is>
      </c>
      <c r="E366">
        <f>HYPERLINK("https://www.britishcycling.org.uk/points?person_id=70463&amp;year=2022&amp;type=national&amp;d=6","Results")</f>
        <v/>
      </c>
    </row>
    <row r="367">
      <c r="A367" t="inlineStr">
        <is>
          <t>366</t>
        </is>
      </c>
      <c r="B367" t="inlineStr">
        <is>
          <t>Miles Earl</t>
        </is>
      </c>
      <c r="C367" t="inlineStr">
        <is>
          <t>Plymouth Corinthian CC</t>
        </is>
      </c>
      <c r="D367" t="inlineStr">
        <is>
          <t>20</t>
        </is>
      </c>
      <c r="E367">
        <f>HYPERLINK("https://www.britishcycling.org.uk/points?person_id=118982&amp;year=2022&amp;type=national&amp;d=6","Results")</f>
        <v/>
      </c>
    </row>
    <row r="368">
      <c r="A368" t="inlineStr">
        <is>
          <t>367</t>
        </is>
      </c>
      <c r="B368" t="inlineStr">
        <is>
          <t>Nathan Edmondson</t>
        </is>
      </c>
      <c r="C368" t="inlineStr">
        <is>
          <t>PMRR</t>
        </is>
      </c>
      <c r="D368" t="inlineStr">
        <is>
          <t>20</t>
        </is>
      </c>
      <c r="E368">
        <f>HYPERLINK("https://www.britishcycling.org.uk/points?person_id=49897&amp;year=2022&amp;type=national&amp;d=6","Results")</f>
        <v/>
      </c>
    </row>
    <row r="369">
      <c r="A369" t="inlineStr">
        <is>
          <t>368</t>
        </is>
      </c>
      <c r="B369" t="inlineStr">
        <is>
          <t>Dan Galpin</t>
        </is>
      </c>
      <c r="C369" t="inlineStr">
        <is>
          <t>Bourne Whls CC</t>
        </is>
      </c>
      <c r="D369" t="inlineStr">
        <is>
          <t>20</t>
        </is>
      </c>
      <c r="E369">
        <f>HYPERLINK("https://www.britishcycling.org.uk/points?person_id=181414&amp;year=2022&amp;type=national&amp;d=6","Results")</f>
        <v/>
      </c>
    </row>
    <row r="370">
      <c r="A370" t="inlineStr">
        <is>
          <t>369</t>
        </is>
      </c>
      <c r="B370" t="inlineStr">
        <is>
          <t>William Haynes</t>
        </is>
      </c>
      <c r="C370" t="inlineStr">
        <is>
          <t>Cheltenham &amp; County Cycling Club</t>
        </is>
      </c>
      <c r="D370" t="inlineStr">
        <is>
          <t>20</t>
        </is>
      </c>
      <c r="E370">
        <f>HYPERLINK("https://www.britishcycling.org.uk/points?person_id=15632&amp;year=2022&amp;type=national&amp;d=6","Results")</f>
        <v/>
      </c>
    </row>
    <row r="371">
      <c r="A371" t="inlineStr">
        <is>
          <t>370</t>
        </is>
      </c>
      <c r="B371" t="inlineStr">
        <is>
          <t>Samuel Holder</t>
        </is>
      </c>
      <c r="C371" t="inlineStr">
        <is>
          <t>Liverpool Century RC</t>
        </is>
      </c>
      <c r="D371" t="inlineStr">
        <is>
          <t>20</t>
        </is>
      </c>
      <c r="E371">
        <f>HYPERLINK("https://www.britishcycling.org.uk/points?person_id=184875&amp;year=2022&amp;type=national&amp;d=6","Results")</f>
        <v/>
      </c>
    </row>
    <row r="372">
      <c r="A372" t="inlineStr">
        <is>
          <t>371</t>
        </is>
      </c>
      <c r="B372" t="inlineStr">
        <is>
          <t>Ash Mahoney</t>
        </is>
      </c>
      <c r="C372" t="inlineStr">
        <is>
          <t>Ziggurat Racing</t>
        </is>
      </c>
      <c r="D372" t="inlineStr">
        <is>
          <t>20</t>
        </is>
      </c>
      <c r="E372">
        <f>HYPERLINK("https://www.britishcycling.org.uk/points?person_id=497702&amp;year=2022&amp;type=national&amp;d=6","Results")</f>
        <v/>
      </c>
    </row>
    <row r="373">
      <c r="A373" t="inlineStr">
        <is>
          <t>372</t>
        </is>
      </c>
      <c r="B373" t="inlineStr">
        <is>
          <t>Josh Matthews</t>
        </is>
      </c>
      <c r="C373" t="inlineStr"/>
      <c r="D373" t="inlineStr">
        <is>
          <t>20</t>
        </is>
      </c>
      <c r="E373">
        <f>HYPERLINK("https://www.britishcycling.org.uk/points?person_id=1060036&amp;year=2022&amp;type=national&amp;d=6","Results")</f>
        <v/>
      </c>
    </row>
    <row r="374">
      <c r="A374" t="inlineStr">
        <is>
          <t>373</t>
        </is>
      </c>
      <c r="B374" t="inlineStr">
        <is>
          <t>Michael Newall</t>
        </is>
      </c>
      <c r="C374" t="inlineStr">
        <is>
          <t>Ribble rechrg Race Team</t>
        </is>
      </c>
      <c r="D374" t="inlineStr">
        <is>
          <t>20</t>
        </is>
      </c>
      <c r="E374">
        <f>HYPERLINK("https://www.britishcycling.org.uk/points?person_id=327239&amp;year=2022&amp;type=national&amp;d=6","Results")</f>
        <v/>
      </c>
    </row>
    <row r="375">
      <c r="A375" t="inlineStr">
        <is>
          <t>374</t>
        </is>
      </c>
      <c r="B375" t="inlineStr">
        <is>
          <t>Joe Parker</t>
        </is>
      </c>
      <c r="C375" t="inlineStr">
        <is>
          <t>Racing Club Ravenna</t>
        </is>
      </c>
      <c r="D375" t="inlineStr">
        <is>
          <t>20</t>
        </is>
      </c>
      <c r="E375">
        <f>HYPERLINK("https://www.britishcycling.org.uk/points?person_id=10012&amp;year=2022&amp;type=national&amp;d=6","Results")</f>
        <v/>
      </c>
    </row>
    <row r="376">
      <c r="A376" t="inlineStr">
        <is>
          <t>375</t>
        </is>
      </c>
      <c r="B376" t="inlineStr">
        <is>
          <t>Richard Payne</t>
        </is>
      </c>
      <c r="C376" t="inlineStr">
        <is>
          <t>Caesarean CC Jersey</t>
        </is>
      </c>
      <c r="D376" t="inlineStr">
        <is>
          <t>20</t>
        </is>
      </c>
      <c r="E376">
        <f>HYPERLINK("https://www.britishcycling.org.uk/points?person_id=18368&amp;year=2022&amp;type=national&amp;d=6","Results")</f>
        <v/>
      </c>
    </row>
    <row r="377">
      <c r="A377" t="inlineStr">
        <is>
          <t>376</t>
        </is>
      </c>
      <c r="B377" t="inlineStr">
        <is>
          <t>Oscar Smith</t>
        </is>
      </c>
      <c r="C377" t="inlineStr"/>
      <c r="D377" t="inlineStr">
        <is>
          <t>20</t>
        </is>
      </c>
      <c r="E377">
        <f>HYPERLINK("https://www.britishcycling.org.uk/points?person_id=990725&amp;year=2022&amp;type=national&amp;d=6","Results")</f>
        <v/>
      </c>
    </row>
    <row r="378">
      <c r="A378" t="inlineStr">
        <is>
          <t>377</t>
        </is>
      </c>
      <c r="B378" t="inlineStr">
        <is>
          <t>Alistair Thornton</t>
        </is>
      </c>
      <c r="C378" t="inlineStr"/>
      <c r="D378" t="inlineStr">
        <is>
          <t>20</t>
        </is>
      </c>
      <c r="E378">
        <f>HYPERLINK("https://www.britishcycling.org.uk/points?person_id=364500&amp;year=2022&amp;type=national&amp;d=6","Results")</f>
        <v/>
      </c>
    </row>
    <row r="379">
      <c r="A379" t="inlineStr">
        <is>
          <t>378</t>
        </is>
      </c>
      <c r="B379" t="inlineStr">
        <is>
          <t>Thomas Clarke</t>
        </is>
      </c>
      <c r="C379" t="inlineStr">
        <is>
          <t>Pedalon.co.uk</t>
        </is>
      </c>
      <c r="D379" t="inlineStr">
        <is>
          <t>19</t>
        </is>
      </c>
      <c r="E379">
        <f>HYPERLINK("https://www.britishcycling.org.uk/points?person_id=217414&amp;year=2022&amp;type=national&amp;d=6","Results")</f>
        <v/>
      </c>
    </row>
    <row r="380">
      <c r="A380" t="inlineStr">
        <is>
          <t>379</t>
        </is>
      </c>
      <c r="B380" t="inlineStr">
        <is>
          <t>Daniel Ingham</t>
        </is>
      </c>
      <c r="C380" t="inlineStr">
        <is>
          <t>VC VELDRIJDEN</t>
        </is>
      </c>
      <c r="D380" t="inlineStr">
        <is>
          <t>19</t>
        </is>
      </c>
      <c r="E380">
        <f>HYPERLINK("https://www.britishcycling.org.uk/points?person_id=736433&amp;year=2022&amp;type=national&amp;d=6","Results")</f>
        <v/>
      </c>
    </row>
    <row r="381">
      <c r="A381" t="inlineStr">
        <is>
          <t>380</t>
        </is>
      </c>
      <c r="B381" t="inlineStr">
        <is>
          <t>Edward Kingsley</t>
        </is>
      </c>
      <c r="C381" t="inlineStr">
        <is>
          <t>Darlington CC</t>
        </is>
      </c>
      <c r="D381" t="inlineStr">
        <is>
          <t>19</t>
        </is>
      </c>
      <c r="E381">
        <f>HYPERLINK("https://www.britishcycling.org.uk/points?person_id=821883&amp;year=2022&amp;type=national&amp;d=6","Results")</f>
        <v/>
      </c>
    </row>
    <row r="382">
      <c r="A382" t="inlineStr">
        <is>
          <t>381</t>
        </is>
      </c>
      <c r="B382" t="inlineStr">
        <is>
          <t>Nathan Price</t>
        </is>
      </c>
      <c r="C382" t="inlineStr"/>
      <c r="D382" t="inlineStr">
        <is>
          <t>19</t>
        </is>
      </c>
      <c r="E382">
        <f>HYPERLINK("https://www.britishcycling.org.uk/points?person_id=1054363&amp;year=2022&amp;type=national&amp;d=6","Results")</f>
        <v/>
      </c>
    </row>
    <row r="383">
      <c r="A383" t="inlineStr">
        <is>
          <t>382</t>
        </is>
      </c>
      <c r="B383" t="inlineStr">
        <is>
          <t>Chad Scallan</t>
        </is>
      </c>
      <c r="C383" t="inlineStr">
        <is>
          <t>Team PB Performance</t>
        </is>
      </c>
      <c r="D383" t="inlineStr">
        <is>
          <t>19</t>
        </is>
      </c>
      <c r="E383">
        <f>HYPERLINK("https://www.britishcycling.org.uk/points?person_id=744415&amp;year=2022&amp;type=national&amp;d=6","Results")</f>
        <v/>
      </c>
    </row>
    <row r="384">
      <c r="A384" t="inlineStr">
        <is>
          <t>383</t>
        </is>
      </c>
      <c r="B384" t="inlineStr">
        <is>
          <t>Trevor Schofield</t>
        </is>
      </c>
      <c r="C384" t="inlineStr">
        <is>
          <t>Velo Culture</t>
        </is>
      </c>
      <c r="D384" t="inlineStr">
        <is>
          <t>19</t>
        </is>
      </c>
      <c r="E384">
        <f>HYPERLINK("https://www.britishcycling.org.uk/points?person_id=135253&amp;year=2022&amp;type=national&amp;d=6","Results")</f>
        <v/>
      </c>
    </row>
    <row r="385">
      <c r="A385" t="inlineStr">
        <is>
          <t>384</t>
        </is>
      </c>
      <c r="B385" t="inlineStr">
        <is>
          <t>William Brown</t>
        </is>
      </c>
      <c r="C385" t="inlineStr">
        <is>
          <t>Ribble Weldtite Pro Cycling</t>
        </is>
      </c>
      <c r="D385" t="inlineStr">
        <is>
          <t>18</t>
        </is>
      </c>
      <c r="E385">
        <f>HYPERLINK("https://www.britishcycling.org.uk/points?person_id=39686&amp;year=2022&amp;type=national&amp;d=6","Results")</f>
        <v/>
      </c>
    </row>
    <row r="386">
      <c r="A386" t="inlineStr">
        <is>
          <t>385</t>
        </is>
      </c>
      <c r="B386" t="inlineStr">
        <is>
          <t>Matthew Dewey</t>
        </is>
      </c>
      <c r="C386" t="inlineStr"/>
      <c r="D386" t="inlineStr">
        <is>
          <t>18</t>
        </is>
      </c>
      <c r="E386">
        <f>HYPERLINK("https://www.britishcycling.org.uk/points?person_id=50263&amp;year=2022&amp;type=national&amp;d=6","Results")</f>
        <v/>
      </c>
    </row>
    <row r="387">
      <c r="A387" t="inlineStr">
        <is>
          <t>386</t>
        </is>
      </c>
      <c r="B387" t="inlineStr">
        <is>
          <t>Matthew Exley</t>
        </is>
      </c>
      <c r="C387" t="inlineStr">
        <is>
          <t>Pro Sports Events RT</t>
        </is>
      </c>
      <c r="D387" t="inlineStr">
        <is>
          <t>18</t>
        </is>
      </c>
      <c r="E387">
        <f>HYPERLINK("https://www.britishcycling.org.uk/points?person_id=191939&amp;year=2022&amp;type=national&amp;d=6","Results")</f>
        <v/>
      </c>
    </row>
    <row r="388">
      <c r="A388" t="inlineStr">
        <is>
          <t>387</t>
        </is>
      </c>
      <c r="B388" t="inlineStr">
        <is>
          <t>Dale Lee</t>
        </is>
      </c>
      <c r="C388" t="inlineStr">
        <is>
          <t>Kendal Cycle Club</t>
        </is>
      </c>
      <c r="D388" t="inlineStr">
        <is>
          <t>18</t>
        </is>
      </c>
      <c r="E388">
        <f>HYPERLINK("https://www.britishcycling.org.uk/points?person_id=271077&amp;year=2022&amp;type=national&amp;d=6","Results")</f>
        <v/>
      </c>
    </row>
    <row r="389">
      <c r="A389" t="inlineStr">
        <is>
          <t>388</t>
        </is>
      </c>
      <c r="B389" t="inlineStr">
        <is>
          <t>Oliver Murphy</t>
        </is>
      </c>
      <c r="C389" t="inlineStr">
        <is>
          <t>ROTOR Race Team</t>
        </is>
      </c>
      <c r="D389" t="inlineStr">
        <is>
          <t>18</t>
        </is>
      </c>
      <c r="E389">
        <f>HYPERLINK("https://www.britishcycling.org.uk/points?person_id=407094&amp;year=2022&amp;type=national&amp;d=6","Results")</f>
        <v/>
      </c>
    </row>
    <row r="390">
      <c r="A390" t="inlineStr">
        <is>
          <t>389</t>
        </is>
      </c>
      <c r="B390" t="inlineStr">
        <is>
          <t>Bradley Shenton</t>
        </is>
      </c>
      <c r="C390" t="inlineStr">
        <is>
          <t>Partenza - Nude Espresso RT</t>
        </is>
      </c>
      <c r="D390" t="inlineStr">
        <is>
          <t>18</t>
        </is>
      </c>
      <c r="E390">
        <f>HYPERLINK("https://www.britishcycling.org.uk/points?person_id=754037&amp;year=2022&amp;type=national&amp;d=6","Results")</f>
        <v/>
      </c>
    </row>
    <row r="391">
      <c r="A391" t="inlineStr">
        <is>
          <t>390</t>
        </is>
      </c>
      <c r="B391" t="inlineStr">
        <is>
          <t>George Sloan</t>
        </is>
      </c>
      <c r="C391" t="inlineStr">
        <is>
          <t>VC Londres</t>
        </is>
      </c>
      <c r="D391" t="inlineStr">
        <is>
          <t>18</t>
        </is>
      </c>
      <c r="E391">
        <f>HYPERLINK("https://www.britishcycling.org.uk/points?person_id=105014&amp;year=2022&amp;type=national&amp;d=6","Results")</f>
        <v/>
      </c>
    </row>
    <row r="392">
      <c r="A392" t="inlineStr">
        <is>
          <t>391</t>
        </is>
      </c>
      <c r="B392" t="inlineStr">
        <is>
          <t>Patrick Torrison</t>
        </is>
      </c>
      <c r="C392" t="inlineStr">
        <is>
          <t>LVC Racing</t>
        </is>
      </c>
      <c r="D392" t="inlineStr">
        <is>
          <t>18</t>
        </is>
      </c>
      <c r="E392">
        <f>HYPERLINK("https://www.britishcycling.org.uk/points?person_id=882118&amp;year=2022&amp;type=national&amp;d=6","Results")</f>
        <v/>
      </c>
    </row>
    <row r="393">
      <c r="A393" t="inlineStr">
        <is>
          <t>392</t>
        </is>
      </c>
      <c r="B393" t="inlineStr">
        <is>
          <t>Mark Whittaker</t>
        </is>
      </c>
      <c r="C393" t="inlineStr">
        <is>
          <t>GS Invicta-ELO-Herberts Cycles</t>
        </is>
      </c>
      <c r="D393" t="inlineStr">
        <is>
          <t>18</t>
        </is>
      </c>
      <c r="E393">
        <f>HYPERLINK("https://www.britishcycling.org.uk/points?person_id=138761&amp;year=2022&amp;type=national&amp;d=6","Results")</f>
        <v/>
      </c>
    </row>
    <row r="394">
      <c r="A394" t="inlineStr">
        <is>
          <t>393</t>
        </is>
      </c>
      <c r="B394" t="inlineStr">
        <is>
          <t>Harry Ellison</t>
        </is>
      </c>
      <c r="C394" t="inlineStr">
        <is>
          <t>Shibden Cycling Club</t>
        </is>
      </c>
      <c r="D394" t="inlineStr">
        <is>
          <t>17</t>
        </is>
      </c>
      <c r="E394">
        <f>HYPERLINK("https://www.britishcycling.org.uk/points?person_id=546296&amp;year=2022&amp;type=national&amp;d=6","Results")</f>
        <v/>
      </c>
    </row>
    <row r="395">
      <c r="A395" t="inlineStr">
        <is>
          <t>394</t>
        </is>
      </c>
      <c r="B395" t="inlineStr">
        <is>
          <t>Greg Hilson</t>
        </is>
      </c>
      <c r="C395" t="inlineStr">
        <is>
          <t>OCTAVE</t>
        </is>
      </c>
      <c r="D395" t="inlineStr">
        <is>
          <t>17</t>
        </is>
      </c>
      <c r="E395">
        <f>HYPERLINK("https://www.britishcycling.org.uk/points?person_id=352298&amp;year=2022&amp;type=national&amp;d=6","Results")</f>
        <v/>
      </c>
    </row>
    <row r="396">
      <c r="A396" t="inlineStr">
        <is>
          <t>395</t>
        </is>
      </c>
      <c r="B396" t="inlineStr">
        <is>
          <t>Thomas Medley</t>
        </is>
      </c>
      <c r="C396" t="inlineStr">
        <is>
          <t>Kings Cliffe Flyers CC</t>
        </is>
      </c>
      <c r="D396" t="inlineStr">
        <is>
          <t>17</t>
        </is>
      </c>
      <c r="E396">
        <f>HYPERLINK("https://www.britishcycling.org.uk/points?person_id=250660&amp;year=2022&amp;type=national&amp;d=6","Results")</f>
        <v/>
      </c>
    </row>
    <row r="397">
      <c r="A397" t="inlineStr">
        <is>
          <t>396</t>
        </is>
      </c>
      <c r="B397" t="inlineStr">
        <is>
          <t>Phil Smith</t>
        </is>
      </c>
      <c r="C397" t="inlineStr">
        <is>
          <t>Lakes RC</t>
        </is>
      </c>
      <c r="D397" t="inlineStr">
        <is>
          <t>17</t>
        </is>
      </c>
      <c r="E397">
        <f>HYPERLINK("https://www.britishcycling.org.uk/points?person_id=22458&amp;year=2022&amp;type=national&amp;d=6","Results")</f>
        <v/>
      </c>
    </row>
    <row r="398">
      <c r="A398" t="inlineStr">
        <is>
          <t>397</t>
        </is>
      </c>
      <c r="B398" t="inlineStr">
        <is>
          <t>Lewis Craven</t>
        </is>
      </c>
      <c r="C398" t="inlineStr">
        <is>
          <t>Wheelbase CabTech Castelli</t>
        </is>
      </c>
      <c r="D398" t="inlineStr">
        <is>
          <t>16</t>
        </is>
      </c>
      <c r="E398">
        <f>HYPERLINK("https://www.britishcycling.org.uk/points?person_id=79292&amp;year=2022&amp;type=national&amp;d=6","Results")</f>
        <v/>
      </c>
    </row>
    <row r="399">
      <c r="A399" t="inlineStr">
        <is>
          <t>398</t>
        </is>
      </c>
      <c r="B399" t="inlineStr">
        <is>
          <t>Henry Hunter</t>
        </is>
      </c>
      <c r="C399" t="inlineStr">
        <is>
          <t>Kendal Cycle Club</t>
        </is>
      </c>
      <c r="D399" t="inlineStr">
        <is>
          <t>16</t>
        </is>
      </c>
      <c r="E399">
        <f>HYPERLINK("https://www.britishcycling.org.uk/points?person_id=1043454&amp;year=2022&amp;type=national&amp;d=6","Results")</f>
        <v/>
      </c>
    </row>
    <row r="400">
      <c r="A400" t="inlineStr">
        <is>
          <t>399</t>
        </is>
      </c>
      <c r="B400" t="inlineStr">
        <is>
          <t>Adam Kharchi</t>
        </is>
      </c>
      <c r="C400" t="inlineStr">
        <is>
          <t>PMRR</t>
        </is>
      </c>
      <c r="D400" t="inlineStr">
        <is>
          <t>16</t>
        </is>
      </c>
      <c r="E400">
        <f>HYPERLINK("https://www.britishcycling.org.uk/points?person_id=417982&amp;year=2022&amp;type=national&amp;d=6","Results")</f>
        <v/>
      </c>
    </row>
    <row r="401">
      <c r="A401" t="inlineStr">
        <is>
          <t>400</t>
        </is>
      </c>
      <c r="B401" t="inlineStr">
        <is>
          <t>Ben Millar</t>
        </is>
      </c>
      <c r="C401" t="inlineStr">
        <is>
          <t>Primera-TeamJobs</t>
        </is>
      </c>
      <c r="D401" t="inlineStr">
        <is>
          <t>16</t>
        </is>
      </c>
      <c r="E401">
        <f>HYPERLINK("https://www.britishcycling.org.uk/points?person_id=410802&amp;year=2022&amp;type=national&amp;d=6","Results")</f>
        <v/>
      </c>
    </row>
    <row r="402">
      <c r="A402" t="inlineStr">
        <is>
          <t>401</t>
        </is>
      </c>
      <c r="B402" t="inlineStr">
        <is>
          <t>Richard Morgan</t>
        </is>
      </c>
      <c r="C402" t="inlineStr">
        <is>
          <t>Barrow Central Wheelers</t>
        </is>
      </c>
      <c r="D402" t="inlineStr">
        <is>
          <t>16</t>
        </is>
      </c>
      <c r="E402">
        <f>HYPERLINK("https://www.britishcycling.org.uk/points?person_id=741520&amp;year=2022&amp;type=national&amp;d=6","Results")</f>
        <v/>
      </c>
    </row>
    <row r="403">
      <c r="A403" t="inlineStr">
        <is>
          <t>402</t>
        </is>
      </c>
      <c r="B403" t="inlineStr">
        <is>
          <t>Henry Thompson</t>
        </is>
      </c>
      <c r="C403" t="inlineStr">
        <is>
          <t>Sleaford Wheelers Cycling Club</t>
        </is>
      </c>
      <c r="D403" t="inlineStr">
        <is>
          <t>16</t>
        </is>
      </c>
      <c r="E403">
        <f>HYPERLINK("https://www.britishcycling.org.uk/points?person_id=18940&amp;year=2022&amp;type=national&amp;d=6","Results")</f>
        <v/>
      </c>
    </row>
    <row r="404">
      <c r="A404" t="inlineStr">
        <is>
          <t>403</t>
        </is>
      </c>
      <c r="B404" t="inlineStr">
        <is>
          <t>Nicholas Wood</t>
        </is>
      </c>
      <c r="C404" t="inlineStr">
        <is>
          <t>VC Deal</t>
        </is>
      </c>
      <c r="D404" t="inlineStr">
        <is>
          <t>16</t>
        </is>
      </c>
      <c r="E404">
        <f>HYPERLINK("https://www.britishcycling.org.uk/points?person_id=108244&amp;year=2022&amp;type=national&amp;d=6","Results")</f>
        <v/>
      </c>
    </row>
    <row r="405">
      <c r="A405" t="inlineStr">
        <is>
          <t>404</t>
        </is>
      </c>
      <c r="B405" t="inlineStr">
        <is>
          <t>Ben Bishop</t>
        </is>
      </c>
      <c r="C405" t="inlineStr">
        <is>
          <t>Charlotteville CC</t>
        </is>
      </c>
      <c r="D405" t="inlineStr">
        <is>
          <t>15</t>
        </is>
      </c>
      <c r="E405">
        <f>HYPERLINK("https://www.britishcycling.org.uk/points?person_id=185771&amp;year=2022&amp;type=national&amp;d=6","Results")</f>
        <v/>
      </c>
    </row>
    <row r="406">
      <c r="A406" t="inlineStr">
        <is>
          <t>405</t>
        </is>
      </c>
      <c r="B406" t="inlineStr">
        <is>
          <t>Theo Brumhead</t>
        </is>
      </c>
      <c r="C406" t="inlineStr">
        <is>
          <t>Bristol South CC</t>
        </is>
      </c>
      <c r="D406" t="inlineStr">
        <is>
          <t>15</t>
        </is>
      </c>
      <c r="E406">
        <f>HYPERLINK("https://www.britishcycling.org.uk/points?person_id=43315&amp;year=2022&amp;type=national&amp;d=6","Results")</f>
        <v/>
      </c>
    </row>
    <row r="407">
      <c r="A407" t="inlineStr">
        <is>
          <t>406</t>
        </is>
      </c>
      <c r="B407" t="inlineStr">
        <is>
          <t>Thomas Eke</t>
        </is>
      </c>
      <c r="C407" t="inlineStr">
        <is>
          <t>Ziggurat Racing</t>
        </is>
      </c>
      <c r="D407" t="inlineStr">
        <is>
          <t>15</t>
        </is>
      </c>
      <c r="E407">
        <f>HYPERLINK("https://www.britishcycling.org.uk/points?person_id=440234&amp;year=2022&amp;type=national&amp;d=6","Results")</f>
        <v/>
      </c>
    </row>
    <row r="408">
      <c r="A408" t="inlineStr">
        <is>
          <t>407</t>
        </is>
      </c>
      <c r="B408" t="inlineStr">
        <is>
          <t>George William Charles Farrow-Green</t>
        </is>
      </c>
      <c r="C408" t="inlineStr"/>
      <c r="D408" t="inlineStr">
        <is>
          <t>15</t>
        </is>
      </c>
      <c r="E408">
        <f>HYPERLINK("https://www.britishcycling.org.uk/points?person_id=676667&amp;year=2022&amp;type=national&amp;d=6","Results")</f>
        <v/>
      </c>
    </row>
    <row r="409">
      <c r="A409" t="inlineStr">
        <is>
          <t>408</t>
        </is>
      </c>
      <c r="B409" t="inlineStr">
        <is>
          <t>Liam Lamb</t>
        </is>
      </c>
      <c r="C409" t="inlineStr">
        <is>
          <t>Edinburgh RC</t>
        </is>
      </c>
      <c r="D409" t="inlineStr">
        <is>
          <t>15</t>
        </is>
      </c>
      <c r="E409">
        <f>HYPERLINK("https://www.britishcycling.org.uk/points?person_id=1022625&amp;year=2022&amp;type=national&amp;d=6","Results")</f>
        <v/>
      </c>
    </row>
    <row r="410">
      <c r="A410" t="inlineStr">
        <is>
          <t>409</t>
        </is>
      </c>
      <c r="B410" t="inlineStr">
        <is>
          <t>Benjamin Livesey</t>
        </is>
      </c>
      <c r="C410" t="inlineStr">
        <is>
          <t>Cog Set Papyrus Racing Club</t>
        </is>
      </c>
      <c r="D410" t="inlineStr">
        <is>
          <t>15</t>
        </is>
      </c>
      <c r="E410">
        <f>HYPERLINK("https://www.britishcycling.org.uk/points?person_id=387309&amp;year=2022&amp;type=national&amp;d=6","Results")</f>
        <v/>
      </c>
    </row>
    <row r="411">
      <c r="A411" t="inlineStr">
        <is>
          <t>410</t>
        </is>
      </c>
      <c r="B411" t="inlineStr">
        <is>
          <t>Jack Parnaby</t>
        </is>
      </c>
      <c r="C411" t="inlineStr">
        <is>
          <t>Shibden Cycling Club</t>
        </is>
      </c>
      <c r="D411" t="inlineStr">
        <is>
          <t>15</t>
        </is>
      </c>
      <c r="E411">
        <f>HYPERLINK("https://www.britishcycling.org.uk/points?person_id=870368&amp;year=2022&amp;type=national&amp;d=6","Results")</f>
        <v/>
      </c>
    </row>
    <row r="412">
      <c r="A412" t="inlineStr">
        <is>
          <t>411</t>
        </is>
      </c>
      <c r="B412" t="inlineStr">
        <is>
          <t>Denis Zaboronsky</t>
        </is>
      </c>
      <c r="C412" t="inlineStr">
        <is>
          <t>WestSide Coaching</t>
        </is>
      </c>
      <c r="D412" t="inlineStr">
        <is>
          <t>15</t>
        </is>
      </c>
      <c r="E412">
        <f>HYPERLINK("https://www.britishcycling.org.uk/points?person_id=808616&amp;year=2022&amp;type=national&amp;d=6","Results")</f>
        <v/>
      </c>
    </row>
    <row r="413">
      <c r="A413" t="inlineStr">
        <is>
          <t>412</t>
        </is>
      </c>
      <c r="B413" t="inlineStr">
        <is>
          <t>Luke Barton</t>
        </is>
      </c>
      <c r="C413" t="inlineStr">
        <is>
          <t>Louth Cycle Centre RT</t>
        </is>
      </c>
      <c r="D413" t="inlineStr">
        <is>
          <t>14</t>
        </is>
      </c>
      <c r="E413">
        <f>HYPERLINK("https://www.britishcycling.org.uk/points?person_id=426068&amp;year=2022&amp;type=national&amp;d=6","Results")</f>
        <v/>
      </c>
    </row>
    <row r="414">
      <c r="A414" t="inlineStr">
        <is>
          <t>413</t>
        </is>
      </c>
      <c r="B414" t="inlineStr">
        <is>
          <t>Jenson Harris</t>
        </is>
      </c>
      <c r="C414" t="inlineStr">
        <is>
          <t>Magspeed Racing</t>
        </is>
      </c>
      <c r="D414" t="inlineStr">
        <is>
          <t>14</t>
        </is>
      </c>
      <c r="E414">
        <f>HYPERLINK("https://www.britishcycling.org.uk/points?person_id=403618&amp;year=2022&amp;type=national&amp;d=6","Results")</f>
        <v/>
      </c>
    </row>
    <row r="415">
      <c r="A415" t="inlineStr">
        <is>
          <t>414</t>
        </is>
      </c>
      <c r="B415" t="inlineStr">
        <is>
          <t>Oliver Higgins</t>
        </is>
      </c>
      <c r="C415" t="inlineStr"/>
      <c r="D415" t="inlineStr">
        <is>
          <t>14</t>
        </is>
      </c>
      <c r="E415">
        <f>HYPERLINK("https://www.britishcycling.org.uk/points?person_id=918171&amp;year=2022&amp;type=national&amp;d=6","Results")</f>
        <v/>
      </c>
    </row>
    <row r="416">
      <c r="A416" t="inlineStr">
        <is>
          <t>415</t>
        </is>
      </c>
      <c r="B416" t="inlineStr">
        <is>
          <t>Harry Ives</t>
        </is>
      </c>
      <c r="C416" t="inlineStr">
        <is>
          <t>trainSharp Elite</t>
        </is>
      </c>
      <c r="D416" t="inlineStr">
        <is>
          <t>14</t>
        </is>
      </c>
      <c r="E416">
        <f>HYPERLINK("https://www.britishcycling.org.uk/points?person_id=625160&amp;year=2022&amp;type=national&amp;d=6","Results")</f>
        <v/>
      </c>
    </row>
    <row r="417">
      <c r="A417" t="inlineStr">
        <is>
          <t>416</t>
        </is>
      </c>
      <c r="B417" t="inlineStr">
        <is>
          <t>Elliott Joseph</t>
        </is>
      </c>
      <c r="C417" t="inlineStr">
        <is>
          <t>Brixton Cycles Club</t>
        </is>
      </c>
      <c r="D417" t="inlineStr">
        <is>
          <t>14</t>
        </is>
      </c>
      <c r="E417">
        <f>HYPERLINK("https://www.britishcycling.org.uk/points?person_id=259915&amp;year=2022&amp;type=national&amp;d=6","Results")</f>
        <v/>
      </c>
    </row>
    <row r="418">
      <c r="A418" t="inlineStr">
        <is>
          <t>417</t>
        </is>
      </c>
      <c r="B418" t="inlineStr">
        <is>
          <t>Chad King</t>
        </is>
      </c>
      <c r="C418" t="inlineStr">
        <is>
          <t>Islington Cycling Club</t>
        </is>
      </c>
      <c r="D418" t="inlineStr">
        <is>
          <t>14</t>
        </is>
      </c>
      <c r="E418">
        <f>HYPERLINK("https://www.britishcycling.org.uk/points?person_id=1017605&amp;year=2022&amp;type=national&amp;d=6","Results")</f>
        <v/>
      </c>
    </row>
    <row r="419">
      <c r="A419" t="inlineStr">
        <is>
          <t>418</t>
        </is>
      </c>
      <c r="B419" t="inlineStr">
        <is>
          <t>Edward Laverack</t>
        </is>
      </c>
      <c r="C419" t="inlineStr">
        <is>
          <t>Bynea CC</t>
        </is>
      </c>
      <c r="D419" t="inlineStr">
        <is>
          <t>14</t>
        </is>
      </c>
      <c r="E419">
        <f>HYPERLINK("https://www.britishcycling.org.uk/points?person_id=100034&amp;year=2022&amp;type=national&amp;d=6","Results")</f>
        <v/>
      </c>
    </row>
    <row r="420">
      <c r="A420" t="inlineStr">
        <is>
          <t>419</t>
        </is>
      </c>
      <c r="B420" t="inlineStr">
        <is>
          <t>Darren Longhurst</t>
        </is>
      </c>
      <c r="C420" t="inlineStr">
        <is>
          <t>Nova Race Team</t>
        </is>
      </c>
      <c r="D420" t="inlineStr">
        <is>
          <t>14</t>
        </is>
      </c>
      <c r="E420">
        <f>HYPERLINK("https://www.britishcycling.org.uk/points?person_id=766923&amp;year=2022&amp;type=national&amp;d=6","Results")</f>
        <v/>
      </c>
    </row>
    <row r="421">
      <c r="A421" t="inlineStr">
        <is>
          <t>420</t>
        </is>
      </c>
      <c r="B421" t="inlineStr">
        <is>
          <t>Craig Owen</t>
        </is>
      </c>
      <c r="C421" t="inlineStr">
        <is>
          <t>Lettuce Club</t>
        </is>
      </c>
      <c r="D421" t="inlineStr">
        <is>
          <t>14</t>
        </is>
      </c>
      <c r="E421">
        <f>HYPERLINK("https://www.britishcycling.org.uk/points?person_id=55720&amp;year=2022&amp;type=national&amp;d=6","Results")</f>
        <v/>
      </c>
    </row>
    <row r="422">
      <c r="A422" t="inlineStr">
        <is>
          <t>421</t>
        </is>
      </c>
      <c r="B422" t="inlineStr">
        <is>
          <t>Chris Peareth</t>
        </is>
      </c>
      <c r="C422" t="inlineStr">
        <is>
          <t>Zurbaran Racing</t>
        </is>
      </c>
      <c r="D422" t="inlineStr">
        <is>
          <t>14</t>
        </is>
      </c>
      <c r="E422">
        <f>HYPERLINK("https://www.britishcycling.org.uk/points?person_id=107086&amp;year=2022&amp;type=national&amp;d=6","Results")</f>
        <v/>
      </c>
    </row>
    <row r="423">
      <c r="A423" t="inlineStr">
        <is>
          <t>422</t>
        </is>
      </c>
      <c r="B423" t="inlineStr">
        <is>
          <t>John Sawers</t>
        </is>
      </c>
      <c r="C423" t="inlineStr">
        <is>
          <t>Royal Navy &amp; Royal Marines CA</t>
        </is>
      </c>
      <c r="D423" t="inlineStr">
        <is>
          <t>14</t>
        </is>
      </c>
      <c r="E423">
        <f>HYPERLINK("https://www.britishcycling.org.uk/points?person_id=261668&amp;year=2022&amp;type=national&amp;d=6","Results")</f>
        <v/>
      </c>
    </row>
    <row r="424">
      <c r="A424" t="inlineStr">
        <is>
          <t>423</t>
        </is>
      </c>
      <c r="B424" t="inlineStr">
        <is>
          <t>Harrison Webb</t>
        </is>
      </c>
      <c r="C424" t="inlineStr"/>
      <c r="D424" t="inlineStr">
        <is>
          <t>14</t>
        </is>
      </c>
      <c r="E424">
        <f>HYPERLINK("https://www.britishcycling.org.uk/points?person_id=133311&amp;year=2022&amp;type=national&amp;d=6","Results")</f>
        <v/>
      </c>
    </row>
    <row r="425">
      <c r="A425" t="inlineStr">
        <is>
          <t>424</t>
        </is>
      </c>
      <c r="B425" t="inlineStr">
        <is>
          <t>Sebastian Anderson</t>
        </is>
      </c>
      <c r="C425" t="inlineStr">
        <is>
          <t>Orwell Velo</t>
        </is>
      </c>
      <c r="D425" t="inlineStr">
        <is>
          <t>13</t>
        </is>
      </c>
      <c r="E425">
        <f>HYPERLINK("https://www.britishcycling.org.uk/points?person_id=1001366&amp;year=2022&amp;type=national&amp;d=6","Results")</f>
        <v/>
      </c>
    </row>
    <row r="426">
      <c r="A426" t="inlineStr">
        <is>
          <t>425</t>
        </is>
      </c>
      <c r="B426" t="inlineStr">
        <is>
          <t>Robbie Bringlow</t>
        </is>
      </c>
      <c r="C426" t="inlineStr"/>
      <c r="D426" t="inlineStr">
        <is>
          <t>13</t>
        </is>
      </c>
      <c r="E426">
        <f>HYPERLINK("https://www.britishcycling.org.uk/points?person_id=1024142&amp;year=2022&amp;type=national&amp;d=6","Results")</f>
        <v/>
      </c>
    </row>
    <row r="427">
      <c r="A427" t="inlineStr">
        <is>
          <t>426</t>
        </is>
      </c>
      <c r="B427" t="inlineStr">
        <is>
          <t>Jeremy Godfrey</t>
        </is>
      </c>
      <c r="C427" t="inlineStr"/>
      <c r="D427" t="inlineStr">
        <is>
          <t>13</t>
        </is>
      </c>
      <c r="E427">
        <f>HYPERLINK("https://www.britishcycling.org.uk/points?person_id=690906&amp;year=2022&amp;type=national&amp;d=6","Results")</f>
        <v/>
      </c>
    </row>
    <row r="428">
      <c r="A428" t="inlineStr">
        <is>
          <t>427</t>
        </is>
      </c>
      <c r="B428" t="inlineStr">
        <is>
          <t>Ben Ramsden</t>
        </is>
      </c>
      <c r="C428" t="inlineStr">
        <is>
          <t>Shibden Cycling Club</t>
        </is>
      </c>
      <c r="D428" t="inlineStr">
        <is>
          <t>13</t>
        </is>
      </c>
      <c r="E428">
        <f>HYPERLINK("https://www.britishcycling.org.uk/points?person_id=298270&amp;year=2022&amp;type=national&amp;d=6","Results")</f>
        <v/>
      </c>
    </row>
    <row r="429">
      <c r="A429" t="inlineStr">
        <is>
          <t>428</t>
        </is>
      </c>
      <c r="B429" t="inlineStr">
        <is>
          <t>Edward Armstrong</t>
        </is>
      </c>
      <c r="C429" t="inlineStr">
        <is>
          <t>Southfork Racing.co.uk</t>
        </is>
      </c>
      <c r="D429" t="inlineStr">
        <is>
          <t>12</t>
        </is>
      </c>
      <c r="E429">
        <f>HYPERLINK("https://www.britishcycling.org.uk/points?person_id=252866&amp;year=2022&amp;type=national&amp;d=6","Results")</f>
        <v/>
      </c>
    </row>
    <row r="430">
      <c r="A430" t="inlineStr">
        <is>
          <t>429</t>
        </is>
      </c>
      <c r="B430" t="inlineStr">
        <is>
          <t>Paul Beattie</t>
        </is>
      </c>
      <c r="C430" t="inlineStr">
        <is>
          <t>Royal Air Force CA</t>
        </is>
      </c>
      <c r="D430" t="inlineStr">
        <is>
          <t>12</t>
        </is>
      </c>
      <c r="E430">
        <f>HYPERLINK("https://www.britishcycling.org.uk/points?person_id=211642&amp;year=2022&amp;type=national&amp;d=6","Results")</f>
        <v/>
      </c>
    </row>
    <row r="431">
      <c r="A431" t="inlineStr">
        <is>
          <t>430</t>
        </is>
      </c>
      <c r="B431" t="inlineStr">
        <is>
          <t>Scott Chappell</t>
        </is>
      </c>
      <c r="C431" t="inlineStr">
        <is>
          <t>Pedalon.co.uk</t>
        </is>
      </c>
      <c r="D431" t="inlineStr">
        <is>
          <t>12</t>
        </is>
      </c>
      <c r="E431">
        <f>HYPERLINK("https://www.britishcycling.org.uk/points?person_id=79017&amp;year=2022&amp;type=national&amp;d=6","Results")</f>
        <v/>
      </c>
    </row>
    <row r="432">
      <c r="A432" t="inlineStr">
        <is>
          <t>431</t>
        </is>
      </c>
      <c r="B432" t="inlineStr">
        <is>
          <t>Otto Chilton</t>
        </is>
      </c>
      <c r="C432" t="inlineStr">
        <is>
          <t>Derby Mercury RC</t>
        </is>
      </c>
      <c r="D432" t="inlineStr">
        <is>
          <t>12</t>
        </is>
      </c>
      <c r="E432">
        <f>HYPERLINK("https://www.britishcycling.org.uk/points?person_id=194740&amp;year=2022&amp;type=national&amp;d=6","Results")</f>
        <v/>
      </c>
    </row>
    <row r="433">
      <c r="A433" t="inlineStr">
        <is>
          <t>432</t>
        </is>
      </c>
      <c r="B433" t="inlineStr">
        <is>
          <t>Denholm Edwards</t>
        </is>
      </c>
      <c r="C433" t="inlineStr">
        <is>
          <t>Harrogate Nova CC</t>
        </is>
      </c>
      <c r="D433" t="inlineStr">
        <is>
          <t>12</t>
        </is>
      </c>
      <c r="E433">
        <f>HYPERLINK("https://www.britishcycling.org.uk/points?person_id=416881&amp;year=2022&amp;type=national&amp;d=6","Results")</f>
        <v/>
      </c>
    </row>
    <row r="434">
      <c r="A434" t="inlineStr">
        <is>
          <t>433</t>
        </is>
      </c>
      <c r="B434" t="inlineStr">
        <is>
          <t>Matt Fleming</t>
        </is>
      </c>
      <c r="C434" t="inlineStr"/>
      <c r="D434" t="inlineStr">
        <is>
          <t>12</t>
        </is>
      </c>
      <c r="E434">
        <f>HYPERLINK("https://www.britishcycling.org.uk/points?person_id=1029316&amp;year=2022&amp;type=national&amp;d=6","Results")</f>
        <v/>
      </c>
    </row>
    <row r="435">
      <c r="A435" t="inlineStr">
        <is>
          <t>434</t>
        </is>
      </c>
      <c r="B435" t="inlineStr">
        <is>
          <t>Elliot Fraser</t>
        </is>
      </c>
      <c r="C435" t="inlineStr">
        <is>
          <t>Clifton CC</t>
        </is>
      </c>
      <c r="D435" t="inlineStr">
        <is>
          <t>12</t>
        </is>
      </c>
      <c r="E435">
        <f>HYPERLINK("https://www.britishcycling.org.uk/points?person_id=1015530&amp;year=2022&amp;type=national&amp;d=6","Results")</f>
        <v/>
      </c>
    </row>
    <row r="436">
      <c r="A436" t="inlineStr">
        <is>
          <t>435</t>
        </is>
      </c>
      <c r="B436" t="inlineStr">
        <is>
          <t>Nathan Hardy</t>
        </is>
      </c>
      <c r="C436" t="inlineStr">
        <is>
          <t>Tofauti Everyone Active</t>
        </is>
      </c>
      <c r="D436" t="inlineStr">
        <is>
          <t>12</t>
        </is>
      </c>
      <c r="E436">
        <f>HYPERLINK("https://www.britishcycling.org.uk/points?person_id=293404&amp;year=2022&amp;type=national&amp;d=6","Results")</f>
        <v/>
      </c>
    </row>
    <row r="437">
      <c r="A437" t="inlineStr">
        <is>
          <t>436</t>
        </is>
      </c>
      <c r="B437" t="inlineStr">
        <is>
          <t>Oliver Harris</t>
        </is>
      </c>
      <c r="C437" t="inlineStr">
        <is>
          <t>VC Deal</t>
        </is>
      </c>
      <c r="D437" t="inlineStr">
        <is>
          <t>12</t>
        </is>
      </c>
      <c r="E437">
        <f>HYPERLINK("https://www.britishcycling.org.uk/points?person_id=418534&amp;year=2022&amp;type=national&amp;d=6","Results")</f>
        <v/>
      </c>
    </row>
    <row r="438">
      <c r="A438" t="inlineStr">
        <is>
          <t>437</t>
        </is>
      </c>
      <c r="B438" t="inlineStr">
        <is>
          <t>Matthew Humpage</t>
        </is>
      </c>
      <c r="C438" t="inlineStr"/>
      <c r="D438" t="inlineStr">
        <is>
          <t>12</t>
        </is>
      </c>
      <c r="E438">
        <f>HYPERLINK("https://www.britishcycling.org.uk/points?person_id=242503&amp;year=2022&amp;type=national&amp;d=6","Results")</f>
        <v/>
      </c>
    </row>
    <row r="439">
      <c r="A439" t="inlineStr">
        <is>
          <t>438</t>
        </is>
      </c>
      <c r="B439" t="inlineStr">
        <is>
          <t>Dexter Hurlock</t>
        </is>
      </c>
      <c r="C439" t="inlineStr"/>
      <c r="D439" t="inlineStr">
        <is>
          <t>12</t>
        </is>
      </c>
      <c r="E439">
        <f>HYPERLINK("https://www.britishcycling.org.uk/points?person_id=199270&amp;year=2022&amp;type=national&amp;d=6","Results")</f>
        <v/>
      </c>
    </row>
    <row r="440">
      <c r="A440" t="inlineStr">
        <is>
          <t>439</t>
        </is>
      </c>
      <c r="B440" t="inlineStr">
        <is>
          <t>Peter Link</t>
        </is>
      </c>
      <c r="C440" t="inlineStr">
        <is>
          <t>VC Deal</t>
        </is>
      </c>
      <c r="D440" t="inlineStr">
        <is>
          <t>12</t>
        </is>
      </c>
      <c r="E440">
        <f>HYPERLINK("https://www.britishcycling.org.uk/points?person_id=535141&amp;year=2022&amp;type=national&amp;d=6","Results")</f>
        <v/>
      </c>
    </row>
    <row r="441">
      <c r="A441" t="inlineStr">
        <is>
          <t>440</t>
        </is>
      </c>
      <c r="B441" t="inlineStr">
        <is>
          <t>Oliver Moss</t>
        </is>
      </c>
      <c r="C441" t="inlineStr">
        <is>
          <t>Clifton CC</t>
        </is>
      </c>
      <c r="D441" t="inlineStr">
        <is>
          <t>12</t>
        </is>
      </c>
      <c r="E441">
        <f>HYPERLINK("https://www.britishcycling.org.uk/points?person_id=580888&amp;year=2022&amp;type=national&amp;d=6","Results")</f>
        <v/>
      </c>
    </row>
    <row r="442">
      <c r="A442" t="inlineStr">
        <is>
          <t>441</t>
        </is>
      </c>
      <c r="B442" t="inlineStr">
        <is>
          <t>Euan Sanderson</t>
        </is>
      </c>
      <c r="C442" t="inlineStr">
        <is>
          <t>Durham University Cycling Club</t>
        </is>
      </c>
      <c r="D442" t="inlineStr">
        <is>
          <t>12</t>
        </is>
      </c>
      <c r="E442">
        <f>HYPERLINK("https://www.britishcycling.org.uk/points?person_id=661033&amp;year=2022&amp;type=national&amp;d=6","Results")</f>
        <v/>
      </c>
    </row>
    <row r="443">
      <c r="A443" t="inlineStr">
        <is>
          <t>442</t>
        </is>
      </c>
      <c r="B443" t="inlineStr">
        <is>
          <t>Alessandro Sella</t>
        </is>
      </c>
      <c r="C443" t="inlineStr">
        <is>
          <t>Lee Valley Youth Cycling Club</t>
        </is>
      </c>
      <c r="D443" t="inlineStr">
        <is>
          <t>12</t>
        </is>
      </c>
      <c r="E443">
        <f>HYPERLINK("https://www.britishcycling.org.uk/points?person_id=224105&amp;year=2022&amp;type=national&amp;d=6","Results")</f>
        <v/>
      </c>
    </row>
    <row r="444">
      <c r="A444" t="inlineStr">
        <is>
          <t>443</t>
        </is>
      </c>
      <c r="B444" t="inlineStr">
        <is>
          <t>Neil Shepherd</t>
        </is>
      </c>
      <c r="C444" t="inlineStr">
        <is>
          <t>Gala Cycling Club</t>
        </is>
      </c>
      <c r="D444" t="inlineStr">
        <is>
          <t>12</t>
        </is>
      </c>
      <c r="E444">
        <f>HYPERLINK("https://www.britishcycling.org.uk/points?person_id=52516&amp;year=2022&amp;type=national&amp;d=6","Results")</f>
        <v/>
      </c>
    </row>
    <row r="445">
      <c r="A445" t="inlineStr">
        <is>
          <t>444</t>
        </is>
      </c>
      <c r="B445" t="inlineStr">
        <is>
          <t>Thomas Stegeman</t>
        </is>
      </c>
      <c r="C445" t="inlineStr">
        <is>
          <t>Fenland Clarion CC</t>
        </is>
      </c>
      <c r="D445" t="inlineStr">
        <is>
          <t>12</t>
        </is>
      </c>
      <c r="E445">
        <f>HYPERLINK("https://www.britishcycling.org.uk/points?person_id=171750&amp;year=2022&amp;type=national&amp;d=6","Results")</f>
        <v/>
      </c>
    </row>
    <row r="446">
      <c r="A446" t="inlineStr">
        <is>
          <t>445</t>
        </is>
      </c>
      <c r="B446" t="inlineStr">
        <is>
          <t>Dominic Switzer</t>
        </is>
      </c>
      <c r="C446" t="inlineStr">
        <is>
          <t>Welland Valley CC</t>
        </is>
      </c>
      <c r="D446" t="inlineStr">
        <is>
          <t>12</t>
        </is>
      </c>
      <c r="E446">
        <f>HYPERLINK("https://www.britishcycling.org.uk/points?person_id=180600&amp;year=2022&amp;type=national&amp;d=6","Results")</f>
        <v/>
      </c>
    </row>
    <row r="447">
      <c r="A447" t="inlineStr">
        <is>
          <t>446</t>
        </is>
      </c>
      <c r="B447" t="inlineStr">
        <is>
          <t>Matt Taylor</t>
        </is>
      </c>
      <c r="C447" t="inlineStr">
        <is>
          <t>wattbike.com</t>
        </is>
      </c>
      <c r="D447" t="inlineStr">
        <is>
          <t>12</t>
        </is>
      </c>
      <c r="E447">
        <f>HYPERLINK("https://www.britishcycling.org.uk/points?person_id=724651&amp;year=2022&amp;type=national&amp;d=6","Results")</f>
        <v/>
      </c>
    </row>
    <row r="448">
      <c r="A448" t="inlineStr">
        <is>
          <t>447</t>
        </is>
      </c>
      <c r="B448" t="inlineStr">
        <is>
          <t>Joe Thorp</t>
        </is>
      </c>
      <c r="C448" t="inlineStr">
        <is>
          <t>Ribble rechrg Race Team</t>
        </is>
      </c>
      <c r="D448" t="inlineStr">
        <is>
          <t>12</t>
        </is>
      </c>
      <c r="E448">
        <f>HYPERLINK("https://www.britishcycling.org.uk/points?person_id=205090&amp;year=2022&amp;type=national&amp;d=6","Results")</f>
        <v/>
      </c>
    </row>
    <row r="449">
      <c r="A449" t="inlineStr">
        <is>
          <t>448</t>
        </is>
      </c>
      <c r="B449" t="inlineStr">
        <is>
          <t>Duncan Warner</t>
        </is>
      </c>
      <c r="C449" t="inlineStr">
        <is>
          <t>Boston Spa Cycling Club</t>
        </is>
      </c>
      <c r="D449" t="inlineStr">
        <is>
          <t>12</t>
        </is>
      </c>
      <c r="E449">
        <f>HYPERLINK("https://www.britishcycling.org.uk/points?person_id=185845&amp;year=2022&amp;type=national&amp;d=6","Results")</f>
        <v/>
      </c>
    </row>
    <row r="450">
      <c r="A450" t="inlineStr">
        <is>
          <t>449</t>
        </is>
      </c>
      <c r="B450" t="inlineStr">
        <is>
          <t>Daniel Watts</t>
        </is>
      </c>
      <c r="C450" t="inlineStr">
        <is>
          <t>Royal Air Force CA</t>
        </is>
      </c>
      <c r="D450" t="inlineStr">
        <is>
          <t>12</t>
        </is>
      </c>
      <c r="E450">
        <f>HYPERLINK("https://www.britishcycling.org.uk/points?person_id=105027&amp;year=2022&amp;type=national&amp;d=6","Results")</f>
        <v/>
      </c>
    </row>
    <row r="451">
      <c r="A451" t="inlineStr">
        <is>
          <t>450</t>
        </is>
      </c>
      <c r="B451" t="inlineStr">
        <is>
          <t>Jack Wyllie</t>
        </is>
      </c>
      <c r="C451" t="inlineStr">
        <is>
          <t>TAAP Cervelo</t>
        </is>
      </c>
      <c r="D451" t="inlineStr">
        <is>
          <t>12</t>
        </is>
      </c>
      <c r="E451">
        <f>HYPERLINK("https://www.britishcycling.org.uk/points?person_id=651722&amp;year=2022&amp;type=national&amp;d=6","Results")</f>
        <v/>
      </c>
    </row>
    <row r="452">
      <c r="A452" t="inlineStr">
        <is>
          <t>451</t>
        </is>
      </c>
      <c r="B452" t="inlineStr">
        <is>
          <t>Richard Akers</t>
        </is>
      </c>
      <c r="C452" t="inlineStr">
        <is>
          <t>RIAK Fitness</t>
        </is>
      </c>
      <c r="D452" t="inlineStr">
        <is>
          <t>11</t>
        </is>
      </c>
      <c r="E452">
        <f>HYPERLINK("https://www.britishcycling.org.uk/points?person_id=767199&amp;year=2022&amp;type=national&amp;d=6","Results")</f>
        <v/>
      </c>
    </row>
    <row r="453">
      <c r="A453" t="inlineStr">
        <is>
          <t>452</t>
        </is>
      </c>
      <c r="B453" t="inlineStr">
        <is>
          <t>Oliver Daw</t>
        </is>
      </c>
      <c r="C453" t="inlineStr">
        <is>
          <t>Hub Vélo</t>
        </is>
      </c>
      <c r="D453" t="inlineStr">
        <is>
          <t>11</t>
        </is>
      </c>
      <c r="E453">
        <f>HYPERLINK("https://www.britishcycling.org.uk/points?person_id=842425&amp;year=2022&amp;type=national&amp;d=6","Results")</f>
        <v/>
      </c>
    </row>
    <row r="454">
      <c r="A454" t="inlineStr">
        <is>
          <t>453</t>
        </is>
      </c>
      <c r="B454" t="inlineStr">
        <is>
          <t>Craig Dowse</t>
        </is>
      </c>
      <c r="C454" t="inlineStr">
        <is>
          <t>Kings Lynn MTB</t>
        </is>
      </c>
      <c r="D454" t="inlineStr">
        <is>
          <t>11</t>
        </is>
      </c>
      <c r="E454">
        <f>HYPERLINK("https://www.britishcycling.org.uk/points?person_id=845684&amp;year=2022&amp;type=national&amp;d=6","Results")</f>
        <v/>
      </c>
    </row>
    <row r="455">
      <c r="A455" t="inlineStr">
        <is>
          <t>454</t>
        </is>
      </c>
      <c r="B455" t="inlineStr">
        <is>
          <t>Matthew Fish</t>
        </is>
      </c>
      <c r="C455" t="inlineStr">
        <is>
          <t>Plymouth Corinthian CC</t>
        </is>
      </c>
      <c r="D455" t="inlineStr">
        <is>
          <t>11</t>
        </is>
      </c>
      <c r="E455">
        <f>HYPERLINK("https://www.britishcycling.org.uk/points?person_id=651291&amp;year=2022&amp;type=national&amp;d=6","Results")</f>
        <v/>
      </c>
    </row>
    <row r="456">
      <c r="A456" t="inlineStr">
        <is>
          <t>455</t>
        </is>
      </c>
      <c r="B456" t="inlineStr">
        <is>
          <t>Beranger Fric</t>
        </is>
      </c>
      <c r="C456" t="inlineStr">
        <is>
          <t>Dulwich Paragon CC</t>
        </is>
      </c>
      <c r="D456" t="inlineStr">
        <is>
          <t>11</t>
        </is>
      </c>
      <c r="E456">
        <f>HYPERLINK("https://www.britishcycling.org.uk/points?person_id=770911&amp;year=2022&amp;type=national&amp;d=6","Results")</f>
        <v/>
      </c>
    </row>
    <row r="457">
      <c r="A457" t="inlineStr">
        <is>
          <t>456</t>
        </is>
      </c>
      <c r="B457" t="inlineStr">
        <is>
          <t>Finlay Johnson</t>
        </is>
      </c>
      <c r="C457" t="inlineStr"/>
      <c r="D457" t="inlineStr">
        <is>
          <t>11</t>
        </is>
      </c>
      <c r="E457">
        <f>HYPERLINK("https://www.britishcycling.org.uk/points?person_id=1026566&amp;year=2022&amp;type=national&amp;d=6","Results")</f>
        <v/>
      </c>
    </row>
    <row r="458">
      <c r="A458" t="inlineStr">
        <is>
          <t>457</t>
        </is>
      </c>
      <c r="B458" t="inlineStr">
        <is>
          <t>Ryan Keynes</t>
        </is>
      </c>
      <c r="C458" t="inlineStr">
        <is>
          <t>GS Mossa</t>
        </is>
      </c>
      <c r="D458" t="inlineStr">
        <is>
          <t>11</t>
        </is>
      </c>
      <c r="E458">
        <f>HYPERLINK("https://www.britishcycling.org.uk/points?person_id=3714&amp;year=2022&amp;type=national&amp;d=6","Results")</f>
        <v/>
      </c>
    </row>
    <row r="459">
      <c r="A459" t="inlineStr">
        <is>
          <t>458</t>
        </is>
      </c>
      <c r="B459" t="inlineStr">
        <is>
          <t>Richard Mathie</t>
        </is>
      </c>
      <c r="C459" t="inlineStr">
        <is>
          <t>Penge Cycle Club</t>
        </is>
      </c>
      <c r="D459" t="inlineStr">
        <is>
          <t>11</t>
        </is>
      </c>
      <c r="E459">
        <f>HYPERLINK("https://www.britishcycling.org.uk/points?person_id=451343&amp;year=2022&amp;type=national&amp;d=6","Results")</f>
        <v/>
      </c>
    </row>
    <row r="460">
      <c r="A460" t="inlineStr">
        <is>
          <t>459</t>
        </is>
      </c>
      <c r="B460" t="inlineStr">
        <is>
          <t>Chris Shakya</t>
        </is>
      </c>
      <c r="C460" t="inlineStr">
        <is>
          <t>Exeter Wheelers</t>
        </is>
      </c>
      <c r="D460" t="inlineStr">
        <is>
          <t>11</t>
        </is>
      </c>
      <c r="E460">
        <f>HYPERLINK("https://www.britishcycling.org.uk/points?person_id=185139&amp;year=2022&amp;type=national&amp;d=6","Results")</f>
        <v/>
      </c>
    </row>
    <row r="461">
      <c r="A461" t="inlineStr">
        <is>
          <t>460</t>
        </is>
      </c>
      <c r="B461" t="inlineStr">
        <is>
          <t>Bruce Dalton</t>
        </is>
      </c>
      <c r="C461" t="inlineStr">
        <is>
          <t>Matlock CC</t>
        </is>
      </c>
      <c r="D461" t="inlineStr">
        <is>
          <t>10</t>
        </is>
      </c>
      <c r="E461">
        <f>HYPERLINK("https://www.britishcycling.org.uk/points?person_id=13258&amp;year=2022&amp;type=national&amp;d=6","Results")</f>
        <v/>
      </c>
    </row>
    <row r="462">
      <c r="A462" t="inlineStr">
        <is>
          <t>461</t>
        </is>
      </c>
      <c r="B462" t="inlineStr">
        <is>
          <t>Patrick Heron</t>
        </is>
      </c>
      <c r="C462" t="inlineStr">
        <is>
          <t>Matlock CC</t>
        </is>
      </c>
      <c r="D462" t="inlineStr">
        <is>
          <t>10</t>
        </is>
      </c>
      <c r="E462">
        <f>HYPERLINK("https://www.britishcycling.org.uk/points?person_id=18511&amp;year=2022&amp;type=national&amp;d=6","Results")</f>
        <v/>
      </c>
    </row>
    <row r="463">
      <c r="A463" t="inlineStr">
        <is>
          <t>462</t>
        </is>
      </c>
      <c r="B463" t="inlineStr">
        <is>
          <t>Dylan Humber-Kelly</t>
        </is>
      </c>
      <c r="C463" t="inlineStr">
        <is>
          <t>JRC-INTERFLON Race Team</t>
        </is>
      </c>
      <c r="D463" t="inlineStr">
        <is>
          <t>10</t>
        </is>
      </c>
      <c r="E463">
        <f>HYPERLINK("https://www.britishcycling.org.uk/points?person_id=750300&amp;year=2022&amp;type=national&amp;d=6","Results")</f>
        <v/>
      </c>
    </row>
    <row r="464">
      <c r="A464" t="inlineStr">
        <is>
          <t>463</t>
        </is>
      </c>
      <c r="B464" t="inlineStr">
        <is>
          <t>Lee Hunt</t>
        </is>
      </c>
      <c r="C464" t="inlineStr">
        <is>
          <t>Army Cycling Union</t>
        </is>
      </c>
      <c r="D464" t="inlineStr">
        <is>
          <t>10</t>
        </is>
      </c>
      <c r="E464">
        <f>HYPERLINK("https://www.britishcycling.org.uk/points?person_id=867925&amp;year=2022&amp;type=national&amp;d=6","Results")</f>
        <v/>
      </c>
    </row>
    <row r="465">
      <c r="A465" t="inlineStr">
        <is>
          <t>464</t>
        </is>
      </c>
      <c r="B465" t="inlineStr">
        <is>
          <t>Daniel Maclean-Howell</t>
        </is>
      </c>
      <c r="C465" t="inlineStr">
        <is>
          <t>University of Bath Cycling Club</t>
        </is>
      </c>
      <c r="D465" t="inlineStr">
        <is>
          <t>10</t>
        </is>
      </c>
      <c r="E465">
        <f>HYPERLINK("https://www.britishcycling.org.uk/points?person_id=233242&amp;year=2022&amp;type=national&amp;d=6","Results")</f>
        <v/>
      </c>
    </row>
    <row r="466">
      <c r="A466" t="inlineStr">
        <is>
          <t>465</t>
        </is>
      </c>
      <c r="B466" t="inlineStr">
        <is>
          <t>Louis Moore</t>
        </is>
      </c>
      <c r="C466" t="inlineStr">
        <is>
          <t>Vanelli-Project Go</t>
        </is>
      </c>
      <c r="D466" t="inlineStr">
        <is>
          <t>10</t>
        </is>
      </c>
      <c r="E466">
        <f>HYPERLINK("https://www.britishcycling.org.uk/points?person_id=255344&amp;year=2022&amp;type=national&amp;d=6","Results")</f>
        <v/>
      </c>
    </row>
    <row r="467">
      <c r="A467" t="inlineStr">
        <is>
          <t>466</t>
        </is>
      </c>
      <c r="B467" t="inlineStr">
        <is>
          <t>Sebastian Ottley</t>
        </is>
      </c>
      <c r="C467" t="inlineStr">
        <is>
          <t>Racing Club Ravenna</t>
        </is>
      </c>
      <c r="D467" t="inlineStr">
        <is>
          <t>10</t>
        </is>
      </c>
      <c r="E467">
        <f>HYPERLINK("https://www.britishcycling.org.uk/points?person_id=58697&amp;year=2022&amp;type=national&amp;d=6","Results")</f>
        <v/>
      </c>
    </row>
    <row r="468">
      <c r="A468" t="inlineStr">
        <is>
          <t>467</t>
        </is>
      </c>
      <c r="B468" t="inlineStr">
        <is>
          <t>Aaron Pascovitch</t>
        </is>
      </c>
      <c r="C468" t="inlineStr">
        <is>
          <t>Bristol South CC</t>
        </is>
      </c>
      <c r="D468" t="inlineStr">
        <is>
          <t>10</t>
        </is>
      </c>
      <c r="E468">
        <f>HYPERLINK("https://www.britishcycling.org.uk/points?person_id=862347&amp;year=2022&amp;type=national&amp;d=6","Results")</f>
        <v/>
      </c>
    </row>
    <row r="469">
      <c r="A469" t="inlineStr">
        <is>
          <t>468</t>
        </is>
      </c>
      <c r="B469" t="inlineStr">
        <is>
          <t>Alex Rhodes</t>
        </is>
      </c>
      <c r="C469" t="inlineStr">
        <is>
          <t>Brixton Cycles Club</t>
        </is>
      </c>
      <c r="D469" t="inlineStr">
        <is>
          <t>10</t>
        </is>
      </c>
      <c r="E469">
        <f>HYPERLINK("https://www.britishcycling.org.uk/points?person_id=543342&amp;year=2022&amp;type=national&amp;d=6","Results")</f>
        <v/>
      </c>
    </row>
    <row r="470">
      <c r="A470" t="inlineStr">
        <is>
          <t>469</t>
        </is>
      </c>
      <c r="B470" t="inlineStr">
        <is>
          <t>William Scott</t>
        </is>
      </c>
      <c r="C470" t="inlineStr">
        <is>
          <t>Richardsons Trek DAS</t>
        </is>
      </c>
      <c r="D470" t="inlineStr">
        <is>
          <t>10</t>
        </is>
      </c>
      <c r="E470">
        <f>HYPERLINK("https://www.britishcycling.org.uk/points?person_id=196735&amp;year=2022&amp;type=national&amp;d=6","Results")</f>
        <v/>
      </c>
    </row>
    <row r="471">
      <c r="A471" t="inlineStr">
        <is>
          <t>470</t>
        </is>
      </c>
      <c r="B471" t="inlineStr">
        <is>
          <t>Ian Taylor</t>
        </is>
      </c>
      <c r="C471" t="inlineStr">
        <is>
          <t>Shibden Cycling Club</t>
        </is>
      </c>
      <c r="D471" t="inlineStr">
        <is>
          <t>10</t>
        </is>
      </c>
      <c r="E471">
        <f>HYPERLINK("https://www.britishcycling.org.uk/points?person_id=30980&amp;year=2022&amp;type=national&amp;d=6","Results")</f>
        <v/>
      </c>
    </row>
    <row r="472">
      <c r="A472" t="inlineStr">
        <is>
          <t>471</t>
        </is>
      </c>
      <c r="B472" t="inlineStr">
        <is>
          <t>Martin Woffindin</t>
        </is>
      </c>
      <c r="C472" t="inlineStr">
        <is>
          <t>Secret-Training.cc</t>
        </is>
      </c>
      <c r="D472" t="inlineStr">
        <is>
          <t>10</t>
        </is>
      </c>
      <c r="E472">
        <f>HYPERLINK("https://www.britishcycling.org.uk/points?person_id=51499&amp;year=2022&amp;type=national&amp;d=6","Results")</f>
        <v/>
      </c>
    </row>
    <row r="473">
      <c r="A473" t="inlineStr">
        <is>
          <t>472</t>
        </is>
      </c>
      <c r="B473" t="inlineStr">
        <is>
          <t>Frederick Barlow</t>
        </is>
      </c>
      <c r="C473" t="inlineStr">
        <is>
          <t>Shaftesbury CC</t>
        </is>
      </c>
      <c r="D473" t="inlineStr">
        <is>
          <t>9</t>
        </is>
      </c>
      <c r="E473">
        <f>HYPERLINK("https://www.britishcycling.org.uk/points?person_id=616875&amp;year=2022&amp;type=national&amp;d=6","Results")</f>
        <v/>
      </c>
    </row>
    <row r="474">
      <c r="A474" t="inlineStr">
        <is>
          <t>473</t>
        </is>
      </c>
      <c r="B474" t="inlineStr">
        <is>
          <t>Tim Doole</t>
        </is>
      </c>
      <c r="C474" t="inlineStr">
        <is>
          <t>Cowley Road Condors</t>
        </is>
      </c>
      <c r="D474" t="inlineStr">
        <is>
          <t>9</t>
        </is>
      </c>
      <c r="E474">
        <f>HYPERLINK("https://www.britishcycling.org.uk/points?person_id=222719&amp;year=2022&amp;type=national&amp;d=6","Results")</f>
        <v/>
      </c>
    </row>
    <row r="475">
      <c r="A475" t="inlineStr">
        <is>
          <t>474</t>
        </is>
      </c>
      <c r="B475" t="inlineStr">
        <is>
          <t>Warren Grigg</t>
        </is>
      </c>
      <c r="C475" t="inlineStr"/>
      <c r="D475" t="inlineStr">
        <is>
          <t>9</t>
        </is>
      </c>
      <c r="E475">
        <f>HYPERLINK("https://www.britishcycling.org.uk/points?person_id=1040337&amp;year=2022&amp;type=national&amp;d=6","Results")</f>
        <v/>
      </c>
    </row>
    <row r="476">
      <c r="A476" t="inlineStr">
        <is>
          <t>475</t>
        </is>
      </c>
      <c r="B476" t="inlineStr">
        <is>
          <t>Glen Hale</t>
        </is>
      </c>
      <c r="C476" t="inlineStr">
        <is>
          <t>Trek Sheffield Fox Valley</t>
        </is>
      </c>
      <c r="D476" t="inlineStr">
        <is>
          <t>9</t>
        </is>
      </c>
      <c r="E476">
        <f>HYPERLINK("https://www.britishcycling.org.uk/points?person_id=359476&amp;year=2022&amp;type=national&amp;d=6","Results")</f>
        <v/>
      </c>
    </row>
    <row r="477">
      <c r="A477" t="inlineStr">
        <is>
          <t>476</t>
        </is>
      </c>
      <c r="B477" t="inlineStr">
        <is>
          <t>Adrian Hill</t>
        </is>
      </c>
      <c r="C477" t="inlineStr">
        <is>
          <t>Wilsons Wheels Race Team</t>
        </is>
      </c>
      <c r="D477" t="inlineStr">
        <is>
          <t>9</t>
        </is>
      </c>
      <c r="E477">
        <f>HYPERLINK("https://www.britishcycling.org.uk/points?person_id=302293&amp;year=2022&amp;type=national&amp;d=6","Results")</f>
        <v/>
      </c>
    </row>
    <row r="478">
      <c r="A478" t="inlineStr">
        <is>
          <t>477</t>
        </is>
      </c>
      <c r="B478" t="inlineStr">
        <is>
          <t>Dewi Lord</t>
        </is>
      </c>
      <c r="C478" t="inlineStr">
        <is>
          <t>Cardiff Ajax CC</t>
        </is>
      </c>
      <c r="D478" t="inlineStr">
        <is>
          <t>9</t>
        </is>
      </c>
      <c r="E478">
        <f>HYPERLINK("https://www.britishcycling.org.uk/points?person_id=765979&amp;year=2022&amp;type=national&amp;d=6","Results")</f>
        <v/>
      </c>
    </row>
    <row r="479">
      <c r="A479" t="inlineStr">
        <is>
          <t>478</t>
        </is>
      </c>
      <c r="B479" t="inlineStr">
        <is>
          <t>Richard Moult</t>
        </is>
      </c>
      <c r="C479" t="inlineStr">
        <is>
          <t>Brighton Mitre CC</t>
        </is>
      </c>
      <c r="D479" t="inlineStr">
        <is>
          <t>9</t>
        </is>
      </c>
      <c r="E479">
        <f>HYPERLINK("https://www.britishcycling.org.uk/points?person_id=335910&amp;year=2022&amp;type=national&amp;d=6","Results")</f>
        <v/>
      </c>
    </row>
    <row r="480">
      <c r="A480" t="inlineStr">
        <is>
          <t>479</t>
        </is>
      </c>
      <c r="B480" t="inlineStr">
        <is>
          <t>Duncan Murdison</t>
        </is>
      </c>
      <c r="C480" t="inlineStr">
        <is>
          <t>Mid Cornwall Cycling Club</t>
        </is>
      </c>
      <c r="D480" t="inlineStr">
        <is>
          <t>9</t>
        </is>
      </c>
      <c r="E480">
        <f>HYPERLINK("https://www.britishcycling.org.uk/points?person_id=397295&amp;year=2022&amp;type=national&amp;d=6","Results")</f>
        <v/>
      </c>
    </row>
    <row r="481">
      <c r="A481" t="inlineStr">
        <is>
          <t>480</t>
        </is>
      </c>
      <c r="B481" t="inlineStr">
        <is>
          <t>Brendan Schofield</t>
        </is>
      </c>
      <c r="C481" t="inlineStr">
        <is>
          <t>Abingdon Race Team</t>
        </is>
      </c>
      <c r="D481" t="inlineStr">
        <is>
          <t>9</t>
        </is>
      </c>
      <c r="E481">
        <f>HYPERLINK("https://www.britishcycling.org.uk/points?person_id=646060&amp;year=2022&amp;type=national&amp;d=6","Results")</f>
        <v/>
      </c>
    </row>
    <row r="482">
      <c r="A482" t="inlineStr">
        <is>
          <t>481</t>
        </is>
      </c>
      <c r="B482" t="inlineStr">
        <is>
          <t>Edward Selwood</t>
        </is>
      </c>
      <c r="C482" t="inlineStr">
        <is>
          <t>Mid Devon CC</t>
        </is>
      </c>
      <c r="D482" t="inlineStr">
        <is>
          <t>9</t>
        </is>
      </c>
      <c r="E482">
        <f>HYPERLINK("https://www.britishcycling.org.uk/points?person_id=183050&amp;year=2022&amp;type=national&amp;d=6","Results")</f>
        <v/>
      </c>
    </row>
    <row r="483">
      <c r="A483" t="inlineStr">
        <is>
          <t>482</t>
        </is>
      </c>
      <c r="B483" t="inlineStr">
        <is>
          <t>Joseph Shepherd</t>
        </is>
      </c>
      <c r="C483" t="inlineStr">
        <is>
          <t>New Forest CC</t>
        </is>
      </c>
      <c r="D483" t="inlineStr">
        <is>
          <t>9</t>
        </is>
      </c>
      <c r="E483">
        <f>HYPERLINK("https://www.britishcycling.org.uk/points?person_id=802540&amp;year=2022&amp;type=national&amp;d=6","Results")</f>
        <v/>
      </c>
    </row>
    <row r="484">
      <c r="A484" t="inlineStr">
        <is>
          <t>483</t>
        </is>
      </c>
      <c r="B484" t="inlineStr">
        <is>
          <t>Rob Shipley</t>
        </is>
      </c>
      <c r="C484" t="inlineStr">
        <is>
          <t>Pontypool RCC</t>
        </is>
      </c>
      <c r="D484" t="inlineStr">
        <is>
          <t>9</t>
        </is>
      </c>
      <c r="E484">
        <f>HYPERLINK("https://www.britishcycling.org.uk/points?person_id=470759&amp;year=2022&amp;type=national&amp;d=6","Results")</f>
        <v/>
      </c>
    </row>
    <row r="485">
      <c r="A485" t="inlineStr">
        <is>
          <t>484</t>
        </is>
      </c>
      <c r="B485" t="inlineStr">
        <is>
          <t>Sam Smith</t>
        </is>
      </c>
      <c r="C485" t="inlineStr">
        <is>
          <t>Magspeed Racing</t>
        </is>
      </c>
      <c r="D485" t="inlineStr">
        <is>
          <t>9</t>
        </is>
      </c>
      <c r="E485">
        <f>HYPERLINK("https://www.britishcycling.org.uk/points?person_id=502173&amp;year=2022&amp;type=national&amp;d=6","Results")</f>
        <v/>
      </c>
    </row>
    <row r="486">
      <c r="A486" t="inlineStr">
        <is>
          <t>485</t>
        </is>
      </c>
      <c r="B486" t="inlineStr">
        <is>
          <t>Alex Smith</t>
        </is>
      </c>
      <c r="C486" t="inlineStr">
        <is>
          <t>Port Sunlight Wheelers</t>
        </is>
      </c>
      <c r="D486" t="inlineStr">
        <is>
          <t>9</t>
        </is>
      </c>
      <c r="E486">
        <f>HYPERLINK("https://www.britishcycling.org.uk/points?person_id=210970&amp;year=2022&amp;type=national&amp;d=6","Results")</f>
        <v/>
      </c>
    </row>
    <row r="487">
      <c r="A487" t="inlineStr">
        <is>
          <t>486</t>
        </is>
      </c>
      <c r="B487" t="inlineStr">
        <is>
          <t>Harry Weedon</t>
        </is>
      </c>
      <c r="C487" t="inlineStr">
        <is>
          <t>Club Corley Cycles RC</t>
        </is>
      </c>
      <c r="D487" t="inlineStr">
        <is>
          <t>9</t>
        </is>
      </c>
      <c r="E487">
        <f>HYPERLINK("https://www.britishcycling.org.uk/points?person_id=888914&amp;year=2022&amp;type=national&amp;d=6","Results")</f>
        <v/>
      </c>
    </row>
    <row r="488">
      <c r="A488" t="inlineStr">
        <is>
          <t>487</t>
        </is>
      </c>
      <c r="B488" t="inlineStr">
        <is>
          <t>Nick Williamson</t>
        </is>
      </c>
      <c r="C488" t="inlineStr"/>
      <c r="D488" t="inlineStr">
        <is>
          <t>9</t>
        </is>
      </c>
      <c r="E488">
        <f>HYPERLINK("https://www.britishcycling.org.uk/points?person_id=495024&amp;year=2022&amp;type=national&amp;d=6","Results")</f>
        <v/>
      </c>
    </row>
    <row r="489">
      <c r="A489" t="inlineStr">
        <is>
          <t>488</t>
        </is>
      </c>
      <c r="B489" t="inlineStr">
        <is>
          <t>Barry Wilson</t>
        </is>
      </c>
      <c r="C489" t="inlineStr"/>
      <c r="D489" t="inlineStr">
        <is>
          <t>9</t>
        </is>
      </c>
      <c r="E489">
        <f>HYPERLINK("https://www.britishcycling.org.uk/points?person_id=13558&amp;year=2022&amp;type=national&amp;d=6","Results")</f>
        <v/>
      </c>
    </row>
    <row r="490">
      <c r="A490" t="inlineStr">
        <is>
          <t>489</t>
        </is>
      </c>
      <c r="B490" t="inlineStr">
        <is>
          <t>Matthew Clements</t>
        </is>
      </c>
      <c r="C490" t="inlineStr">
        <is>
          <t>Kuwait Pro Cycling Team</t>
        </is>
      </c>
      <c r="D490" t="inlineStr">
        <is>
          <t>8</t>
        </is>
      </c>
      <c r="E490">
        <f>HYPERLINK("https://www.britishcycling.org.uk/points?person_id=107356&amp;year=2022&amp;type=national&amp;d=6","Results")</f>
        <v/>
      </c>
    </row>
    <row r="491">
      <c r="A491" t="inlineStr">
        <is>
          <t>490</t>
        </is>
      </c>
      <c r="B491" t="inlineStr">
        <is>
          <t>Dylan Curtis</t>
        </is>
      </c>
      <c r="C491" t="inlineStr">
        <is>
          <t>Merthyr Cycling Club</t>
        </is>
      </c>
      <c r="D491" t="inlineStr">
        <is>
          <t>8</t>
        </is>
      </c>
      <c r="E491">
        <f>HYPERLINK("https://www.britishcycling.org.uk/points?person_id=664058&amp;year=2022&amp;type=national&amp;d=6","Results")</f>
        <v/>
      </c>
    </row>
    <row r="492">
      <c r="A492" t="inlineStr">
        <is>
          <t>491</t>
        </is>
      </c>
      <c r="B492" t="inlineStr">
        <is>
          <t>Ashley Foxford</t>
        </is>
      </c>
      <c r="C492" t="inlineStr"/>
      <c r="D492" t="inlineStr">
        <is>
          <t>8</t>
        </is>
      </c>
      <c r="E492">
        <f>HYPERLINK("https://www.britishcycling.org.uk/points?person_id=1038808&amp;year=2022&amp;type=national&amp;d=6","Results")</f>
        <v/>
      </c>
    </row>
    <row r="493">
      <c r="A493" t="inlineStr">
        <is>
          <t>492</t>
        </is>
      </c>
      <c r="B493" t="inlineStr">
        <is>
          <t>Thomas Hocking</t>
        </is>
      </c>
      <c r="C493" t="inlineStr"/>
      <c r="D493" t="inlineStr">
        <is>
          <t>8</t>
        </is>
      </c>
      <c r="E493">
        <f>HYPERLINK("https://www.britishcycling.org.uk/points?person_id=1042161&amp;year=2022&amp;type=national&amp;d=6","Results")</f>
        <v/>
      </c>
    </row>
    <row r="494">
      <c r="A494" t="inlineStr">
        <is>
          <t>493</t>
        </is>
      </c>
      <c r="B494" t="inlineStr">
        <is>
          <t>Archie Honeysett</t>
        </is>
      </c>
      <c r="C494" t="inlineStr">
        <is>
          <t>Salt Ayre Cog Set</t>
        </is>
      </c>
      <c r="D494" t="inlineStr">
        <is>
          <t>8</t>
        </is>
      </c>
      <c r="E494">
        <f>HYPERLINK("https://www.britishcycling.org.uk/points?person_id=326805&amp;year=2022&amp;type=national&amp;d=6","Results")</f>
        <v/>
      </c>
    </row>
    <row r="495">
      <c r="A495" t="inlineStr">
        <is>
          <t>494</t>
        </is>
      </c>
      <c r="B495" t="inlineStr">
        <is>
          <t>Harry Owen</t>
        </is>
      </c>
      <c r="C495" t="inlineStr">
        <is>
          <t>Herne Hill Youth CC</t>
        </is>
      </c>
      <c r="D495" t="inlineStr">
        <is>
          <t>8</t>
        </is>
      </c>
      <c r="E495">
        <f>HYPERLINK("https://www.britishcycling.org.uk/points?person_id=283313&amp;year=2022&amp;type=national&amp;d=6","Results")</f>
        <v/>
      </c>
    </row>
    <row r="496">
      <c r="A496" t="inlineStr">
        <is>
          <t>495</t>
        </is>
      </c>
      <c r="B496" t="inlineStr">
        <is>
          <t>Thomas Price</t>
        </is>
      </c>
      <c r="C496" t="inlineStr">
        <is>
          <t>Spirit BSS</t>
        </is>
      </c>
      <c r="D496" t="inlineStr">
        <is>
          <t>8</t>
        </is>
      </c>
      <c r="E496">
        <f>HYPERLINK("https://www.britishcycling.org.uk/points?person_id=464041&amp;year=2022&amp;type=national&amp;d=6","Results")</f>
        <v/>
      </c>
    </row>
    <row r="497">
      <c r="A497" t="inlineStr">
        <is>
          <t>496</t>
        </is>
      </c>
      <c r="B497" t="inlineStr">
        <is>
          <t>Anthony Smee</t>
        </is>
      </c>
      <c r="C497" t="inlineStr"/>
      <c r="D497" t="inlineStr">
        <is>
          <t>8</t>
        </is>
      </c>
      <c r="E497">
        <f>HYPERLINK("https://www.britishcycling.org.uk/points?person_id=957526&amp;year=2022&amp;type=national&amp;d=6","Results")</f>
        <v/>
      </c>
    </row>
    <row r="498">
      <c r="A498" t="inlineStr">
        <is>
          <t>497</t>
        </is>
      </c>
      <c r="B498" t="inlineStr">
        <is>
          <t>Ally Anderson</t>
        </is>
      </c>
      <c r="C498" t="inlineStr"/>
      <c r="D498" t="inlineStr">
        <is>
          <t>7</t>
        </is>
      </c>
      <c r="E498">
        <f>HYPERLINK("https://www.britishcycling.org.uk/points?person_id=129965&amp;year=2022&amp;type=national&amp;d=6","Results")</f>
        <v/>
      </c>
    </row>
    <row r="499">
      <c r="A499" t="inlineStr">
        <is>
          <t>498</t>
        </is>
      </c>
      <c r="B499" t="inlineStr">
        <is>
          <t>Chris Barr</t>
        </is>
      </c>
      <c r="C499" t="inlineStr">
        <is>
          <t>SR Albannach</t>
        </is>
      </c>
      <c r="D499" t="inlineStr">
        <is>
          <t>7</t>
        </is>
      </c>
      <c r="E499">
        <f>HYPERLINK("https://www.britishcycling.org.uk/points?person_id=392748&amp;year=2022&amp;type=national&amp;d=6","Results")</f>
        <v/>
      </c>
    </row>
    <row r="500">
      <c r="A500" t="inlineStr">
        <is>
          <t>499</t>
        </is>
      </c>
      <c r="B500" t="inlineStr">
        <is>
          <t>Joe Champness</t>
        </is>
      </c>
      <c r="C500" t="inlineStr">
        <is>
          <t>Hadleigh MTB Club</t>
        </is>
      </c>
      <c r="D500" t="inlineStr">
        <is>
          <t>7</t>
        </is>
      </c>
      <c r="E500">
        <f>HYPERLINK("https://www.britishcycling.org.uk/points?person_id=272379&amp;year=2022&amp;type=national&amp;d=6","Results")</f>
        <v/>
      </c>
    </row>
    <row r="501">
      <c r="A501" t="inlineStr">
        <is>
          <t>500</t>
        </is>
      </c>
      <c r="B501" t="inlineStr">
        <is>
          <t>Owen Evans</t>
        </is>
      </c>
      <c r="C501" t="inlineStr">
        <is>
          <t>Caffi Gruff</t>
        </is>
      </c>
      <c r="D501" t="inlineStr">
        <is>
          <t>7</t>
        </is>
      </c>
      <c r="E501">
        <f>HYPERLINK("https://www.britishcycling.org.uk/points?person_id=107468&amp;year=2022&amp;type=national&amp;d=6","Results")</f>
        <v/>
      </c>
    </row>
    <row r="502">
      <c r="A502" t="inlineStr">
        <is>
          <t>501</t>
        </is>
      </c>
      <c r="B502" t="inlineStr">
        <is>
          <t>Thomas Frater</t>
        </is>
      </c>
      <c r="C502" t="inlineStr"/>
      <c r="D502" t="inlineStr">
        <is>
          <t>7</t>
        </is>
      </c>
      <c r="E502">
        <f>HYPERLINK("https://www.britishcycling.org.uk/points?person_id=187658&amp;year=2022&amp;type=national&amp;d=6","Results")</f>
        <v/>
      </c>
    </row>
    <row r="503">
      <c r="A503" t="inlineStr">
        <is>
          <t>502</t>
        </is>
      </c>
      <c r="B503" t="inlineStr">
        <is>
          <t>Liam Hallam</t>
        </is>
      </c>
      <c r="C503" t="inlineStr"/>
      <c r="D503" t="inlineStr">
        <is>
          <t>7</t>
        </is>
      </c>
      <c r="E503">
        <f>HYPERLINK("https://www.britishcycling.org.uk/points?person_id=62813&amp;year=2022&amp;type=national&amp;d=6","Results")</f>
        <v/>
      </c>
    </row>
    <row r="504">
      <c r="A504" t="inlineStr">
        <is>
          <t>503</t>
        </is>
      </c>
      <c r="B504" t="inlineStr">
        <is>
          <t>Callum Healey</t>
        </is>
      </c>
      <c r="C504" t="inlineStr">
        <is>
          <t>Bristol South CC</t>
        </is>
      </c>
      <c r="D504" t="inlineStr">
        <is>
          <t>7</t>
        </is>
      </c>
      <c r="E504">
        <f>HYPERLINK("https://www.britishcycling.org.uk/points?person_id=1052025&amp;year=2022&amp;type=national&amp;d=6","Results")</f>
        <v/>
      </c>
    </row>
    <row r="505">
      <c r="A505" t="inlineStr">
        <is>
          <t>504</t>
        </is>
      </c>
      <c r="B505" t="inlineStr">
        <is>
          <t>Carl Jackson</t>
        </is>
      </c>
      <c r="C505" t="inlineStr">
        <is>
          <t>Ellmore Factory Racing</t>
        </is>
      </c>
      <c r="D505" t="inlineStr">
        <is>
          <t>7</t>
        </is>
      </c>
      <c r="E505">
        <f>HYPERLINK("https://www.britishcycling.org.uk/points?person_id=410192&amp;year=2022&amp;type=national&amp;d=6","Results")</f>
        <v/>
      </c>
    </row>
    <row r="506">
      <c r="A506" t="inlineStr">
        <is>
          <t>505</t>
        </is>
      </c>
      <c r="B506" t="inlineStr">
        <is>
          <t>Top Rai</t>
        </is>
      </c>
      <c r="C506" t="inlineStr">
        <is>
          <t>Army Cycling Union</t>
        </is>
      </c>
      <c r="D506" t="inlineStr">
        <is>
          <t>7</t>
        </is>
      </c>
      <c r="E506">
        <f>HYPERLINK("https://www.britishcycling.org.uk/points?person_id=564009&amp;year=2022&amp;type=national&amp;d=6","Results")</f>
        <v/>
      </c>
    </row>
    <row r="507">
      <c r="A507" t="inlineStr">
        <is>
          <t>506</t>
        </is>
      </c>
      <c r="B507" t="inlineStr">
        <is>
          <t>Mark Shaw Jr</t>
        </is>
      </c>
      <c r="C507" t="inlineStr">
        <is>
          <t>JG Cycles CC</t>
        </is>
      </c>
      <c r="D507" t="inlineStr">
        <is>
          <t>7</t>
        </is>
      </c>
      <c r="E507">
        <f>HYPERLINK("https://www.britishcycling.org.uk/points?person_id=809640&amp;year=2022&amp;type=national&amp;d=6","Results")</f>
        <v/>
      </c>
    </row>
    <row r="508">
      <c r="A508" t="inlineStr">
        <is>
          <t>507</t>
        </is>
      </c>
      <c r="B508" t="inlineStr">
        <is>
          <t>Lewis Smith</t>
        </is>
      </c>
      <c r="C508" t="inlineStr">
        <is>
          <t>Origin Race Team</t>
        </is>
      </c>
      <c r="D508" t="inlineStr">
        <is>
          <t>7</t>
        </is>
      </c>
      <c r="E508">
        <f>HYPERLINK("https://www.britishcycling.org.uk/points?person_id=525367&amp;year=2022&amp;type=national&amp;d=6","Results")</f>
        <v/>
      </c>
    </row>
    <row r="509">
      <c r="A509" t="inlineStr">
        <is>
          <t>508</t>
        </is>
      </c>
      <c r="B509" t="inlineStr">
        <is>
          <t>Nathan Smith</t>
        </is>
      </c>
      <c r="C509" t="inlineStr">
        <is>
          <t>Tormans Cyclo Cross Team</t>
        </is>
      </c>
      <c r="D509" t="inlineStr">
        <is>
          <t>7</t>
        </is>
      </c>
      <c r="E509">
        <f>HYPERLINK("https://www.britishcycling.org.uk/points?person_id=262296&amp;year=2022&amp;type=national&amp;d=6","Results")</f>
        <v/>
      </c>
    </row>
    <row r="510">
      <c r="A510" t="inlineStr">
        <is>
          <t>509</t>
        </is>
      </c>
      <c r="B510" t="inlineStr">
        <is>
          <t>Matthew Wight</t>
        </is>
      </c>
      <c r="C510" t="inlineStr">
        <is>
          <t>Verulam - reallymoving.com</t>
        </is>
      </c>
      <c r="D510" t="inlineStr">
        <is>
          <t>7</t>
        </is>
      </c>
      <c r="E510">
        <f>HYPERLINK("https://www.britishcycling.org.uk/points?person_id=1040177&amp;year=2022&amp;type=national&amp;d=6","Results")</f>
        <v/>
      </c>
    </row>
    <row r="511">
      <c r="A511" t="inlineStr">
        <is>
          <t>510</t>
        </is>
      </c>
      <c r="B511" t="inlineStr">
        <is>
          <t>Matthew Wilkins</t>
        </is>
      </c>
      <c r="C511" t="inlineStr">
        <is>
          <t>Rutland CC</t>
        </is>
      </c>
      <c r="D511" t="inlineStr">
        <is>
          <t>7</t>
        </is>
      </c>
      <c r="E511">
        <f>HYPERLINK("https://www.britishcycling.org.uk/points?person_id=242896&amp;year=2022&amp;type=national&amp;d=6","Results")</f>
        <v/>
      </c>
    </row>
    <row r="512">
      <c r="A512" t="inlineStr">
        <is>
          <t>511</t>
        </is>
      </c>
      <c r="B512" t="inlineStr">
        <is>
          <t>Mark Aldred</t>
        </is>
      </c>
      <c r="C512" t="inlineStr">
        <is>
          <t>Kingston Wheelers CC</t>
        </is>
      </c>
      <c r="D512" t="inlineStr">
        <is>
          <t>6</t>
        </is>
      </c>
      <c r="E512">
        <f>HYPERLINK("https://www.britishcycling.org.uk/points?person_id=643493&amp;year=2022&amp;type=national&amp;d=6","Results")</f>
        <v/>
      </c>
    </row>
    <row r="513">
      <c r="A513" t="inlineStr">
        <is>
          <t>512</t>
        </is>
      </c>
      <c r="B513" t="inlineStr">
        <is>
          <t>Nick Ashmore</t>
        </is>
      </c>
      <c r="C513" t="inlineStr">
        <is>
          <t>Paceline Cycles North</t>
        </is>
      </c>
      <c r="D513" t="inlineStr">
        <is>
          <t>6</t>
        </is>
      </c>
      <c r="E513">
        <f>HYPERLINK("https://www.britishcycling.org.uk/points?person_id=282151&amp;year=2022&amp;type=national&amp;d=6","Results")</f>
        <v/>
      </c>
    </row>
    <row r="514">
      <c r="A514" t="inlineStr">
        <is>
          <t>513</t>
        </is>
      </c>
      <c r="B514" t="inlineStr">
        <is>
          <t>Christopher Ashton</t>
        </is>
      </c>
      <c r="C514" t="inlineStr">
        <is>
          <t>Deeside Thistle CC</t>
        </is>
      </c>
      <c r="D514" t="inlineStr">
        <is>
          <t>6</t>
        </is>
      </c>
      <c r="E514">
        <f>HYPERLINK("https://www.britishcycling.org.uk/points?person_id=107965&amp;year=2022&amp;type=national&amp;d=6","Results")</f>
        <v/>
      </c>
    </row>
    <row r="515">
      <c r="A515" t="inlineStr">
        <is>
          <t>514</t>
        </is>
      </c>
      <c r="B515" t="inlineStr">
        <is>
          <t>Paul Barrett</t>
        </is>
      </c>
      <c r="C515" t="inlineStr">
        <is>
          <t>Velo Culture</t>
        </is>
      </c>
      <c r="D515" t="inlineStr">
        <is>
          <t>6</t>
        </is>
      </c>
      <c r="E515">
        <f>HYPERLINK("https://www.britishcycling.org.uk/points?person_id=344908&amp;year=2022&amp;type=national&amp;d=6","Results")</f>
        <v/>
      </c>
    </row>
    <row r="516">
      <c r="A516" t="inlineStr">
        <is>
          <t>515</t>
        </is>
      </c>
      <c r="B516" t="inlineStr">
        <is>
          <t>George Comins</t>
        </is>
      </c>
      <c r="C516" t="inlineStr">
        <is>
          <t>Royal Navy &amp; Royal Marines CA</t>
        </is>
      </c>
      <c r="D516" t="inlineStr">
        <is>
          <t>6</t>
        </is>
      </c>
      <c r="E516">
        <f>HYPERLINK("https://www.britishcycling.org.uk/points?person_id=791669&amp;year=2022&amp;type=national&amp;d=6","Results")</f>
        <v/>
      </c>
    </row>
    <row r="517">
      <c r="A517" t="inlineStr">
        <is>
          <t>516</t>
        </is>
      </c>
      <c r="B517" t="inlineStr">
        <is>
          <t>Callum Dickson</t>
        </is>
      </c>
      <c r="C517" t="inlineStr">
        <is>
          <t>Kelso Wheelers</t>
        </is>
      </c>
      <c r="D517" t="inlineStr">
        <is>
          <t>6</t>
        </is>
      </c>
      <c r="E517">
        <f>HYPERLINK("https://www.britishcycling.org.uk/points?person_id=703917&amp;year=2022&amp;type=national&amp;d=6","Results")</f>
        <v/>
      </c>
    </row>
    <row r="518">
      <c r="A518" t="inlineStr">
        <is>
          <t>517</t>
        </is>
      </c>
      <c r="B518" t="inlineStr">
        <is>
          <t>Jack Dunne</t>
        </is>
      </c>
      <c r="C518" t="inlineStr">
        <is>
          <t>Lindfield Coffee Works</t>
        </is>
      </c>
      <c r="D518" t="inlineStr">
        <is>
          <t>6</t>
        </is>
      </c>
      <c r="E518">
        <f>HYPERLINK("https://www.britishcycling.org.uk/points?person_id=256567&amp;year=2022&amp;type=national&amp;d=6","Results")</f>
        <v/>
      </c>
    </row>
    <row r="519">
      <c r="A519" t="inlineStr">
        <is>
          <t>518</t>
        </is>
      </c>
      <c r="B519" t="inlineStr">
        <is>
          <t>Sean Gilham</t>
        </is>
      </c>
      <c r="C519" t="inlineStr"/>
      <c r="D519" t="inlineStr">
        <is>
          <t>6</t>
        </is>
      </c>
      <c r="E519">
        <f>HYPERLINK("https://www.britishcycling.org.uk/points?person_id=1033679&amp;year=2022&amp;type=national&amp;d=6","Results")</f>
        <v/>
      </c>
    </row>
    <row r="520">
      <c r="A520" t="inlineStr">
        <is>
          <t>519</t>
        </is>
      </c>
      <c r="B520" t="inlineStr">
        <is>
          <t>Sean Gordon</t>
        </is>
      </c>
      <c r="C520" t="inlineStr">
        <is>
          <t>JG Cycles CC</t>
        </is>
      </c>
      <c r="D520" t="inlineStr">
        <is>
          <t>6</t>
        </is>
      </c>
      <c r="E520">
        <f>HYPERLINK("https://www.britishcycling.org.uk/points?person_id=128394&amp;year=2022&amp;type=national&amp;d=6","Results")</f>
        <v/>
      </c>
    </row>
    <row r="521">
      <c r="A521" t="inlineStr">
        <is>
          <t>520</t>
        </is>
      </c>
      <c r="B521" t="inlineStr">
        <is>
          <t>Lewis Holmes</t>
        </is>
      </c>
      <c r="C521" t="inlineStr">
        <is>
          <t>BCC Race Team</t>
        </is>
      </c>
      <c r="D521" t="inlineStr">
        <is>
          <t>6</t>
        </is>
      </c>
      <c r="E521">
        <f>HYPERLINK("https://www.britishcycling.org.uk/points?person_id=613017&amp;year=2022&amp;type=national&amp;d=6","Results")</f>
        <v/>
      </c>
    </row>
    <row r="522">
      <c r="A522" t="inlineStr">
        <is>
          <t>521</t>
        </is>
      </c>
      <c r="B522" t="inlineStr">
        <is>
          <t>John MacLeod</t>
        </is>
      </c>
      <c r="C522" t="inlineStr">
        <is>
          <t>Hart's Cyclery</t>
        </is>
      </c>
      <c r="D522" t="inlineStr">
        <is>
          <t>6</t>
        </is>
      </c>
      <c r="E522">
        <f>HYPERLINK("https://www.britishcycling.org.uk/points?person_id=134822&amp;year=2022&amp;type=national&amp;d=6","Results")</f>
        <v/>
      </c>
    </row>
    <row r="523">
      <c r="A523" t="inlineStr">
        <is>
          <t>522</t>
        </is>
      </c>
      <c r="B523" t="inlineStr">
        <is>
          <t>Tyrone Miller</t>
        </is>
      </c>
      <c r="C523" t="inlineStr">
        <is>
          <t>Velo Club Venta</t>
        </is>
      </c>
      <c r="D523" t="inlineStr">
        <is>
          <t>6</t>
        </is>
      </c>
      <c r="E523">
        <f>HYPERLINK("https://www.britishcycling.org.uk/points?person_id=18051&amp;year=2022&amp;type=national&amp;d=6","Results")</f>
        <v/>
      </c>
    </row>
    <row r="524">
      <c r="A524" t="inlineStr">
        <is>
          <t>523</t>
        </is>
      </c>
      <c r="B524" t="inlineStr">
        <is>
          <t>Harry Moore</t>
        </is>
      </c>
      <c r="C524" t="inlineStr">
        <is>
          <t>Cycling Club Hackney</t>
        </is>
      </c>
      <c r="D524" t="inlineStr">
        <is>
          <t>6</t>
        </is>
      </c>
      <c r="E524">
        <f>HYPERLINK("https://www.britishcycling.org.uk/points?person_id=106134&amp;year=2022&amp;type=national&amp;d=6","Results")</f>
        <v/>
      </c>
    </row>
    <row r="525">
      <c r="A525" t="inlineStr">
        <is>
          <t>524</t>
        </is>
      </c>
      <c r="B525" t="inlineStr">
        <is>
          <t>Adam Morris</t>
        </is>
      </c>
      <c r="C525" t="inlineStr">
        <is>
          <t>Fibrax Wrexham Roads Club</t>
        </is>
      </c>
      <c r="D525" t="inlineStr">
        <is>
          <t>6</t>
        </is>
      </c>
      <c r="E525">
        <f>HYPERLINK("https://www.britishcycling.org.uk/points?person_id=384145&amp;year=2022&amp;type=national&amp;d=6","Results")</f>
        <v/>
      </c>
    </row>
    <row r="526">
      <c r="A526" t="inlineStr">
        <is>
          <t>525</t>
        </is>
      </c>
      <c r="B526" t="inlineStr">
        <is>
          <t>Ian Russell</t>
        </is>
      </c>
      <c r="C526" t="inlineStr">
        <is>
          <t>Moda RT</t>
        </is>
      </c>
      <c r="D526" t="inlineStr">
        <is>
          <t>6</t>
        </is>
      </c>
      <c r="E526">
        <f>HYPERLINK("https://www.britishcycling.org.uk/points?person_id=79255&amp;year=2022&amp;type=national&amp;d=6","Results")</f>
        <v/>
      </c>
    </row>
    <row r="527">
      <c r="A527" t="inlineStr">
        <is>
          <t>526</t>
        </is>
      </c>
      <c r="B527" t="inlineStr">
        <is>
          <t>Daniel Smith</t>
        </is>
      </c>
      <c r="C527" t="inlineStr">
        <is>
          <t>Velo Bavarian Race Team</t>
        </is>
      </c>
      <c r="D527" t="inlineStr">
        <is>
          <t>6</t>
        </is>
      </c>
      <c r="E527">
        <f>HYPERLINK("https://www.britishcycling.org.uk/points?person_id=1001325&amp;year=2022&amp;type=national&amp;d=6","Results")</f>
        <v/>
      </c>
    </row>
    <row r="528">
      <c r="A528" t="inlineStr">
        <is>
          <t>527</t>
        </is>
      </c>
      <c r="B528" t="inlineStr">
        <is>
          <t>Michael Stimson</t>
        </is>
      </c>
      <c r="C528" t="inlineStr">
        <is>
          <t>Maillot Noir CC</t>
        </is>
      </c>
      <c r="D528" t="inlineStr">
        <is>
          <t>6</t>
        </is>
      </c>
      <c r="E528">
        <f>HYPERLINK("https://www.britishcycling.org.uk/points?person_id=533869&amp;year=2022&amp;type=national&amp;d=6","Results")</f>
        <v/>
      </c>
    </row>
    <row r="529">
      <c r="A529" t="inlineStr">
        <is>
          <t>528</t>
        </is>
      </c>
      <c r="B529" t="inlineStr">
        <is>
          <t>Matthew Toman</t>
        </is>
      </c>
      <c r="C529" t="inlineStr">
        <is>
          <t>Secret-Training.cc</t>
        </is>
      </c>
      <c r="D529" t="inlineStr">
        <is>
          <t>6</t>
        </is>
      </c>
      <c r="E529">
        <f>HYPERLINK("https://www.britishcycling.org.uk/points?person_id=390789&amp;year=2022&amp;type=national&amp;d=6","Results")</f>
        <v/>
      </c>
    </row>
    <row r="530">
      <c r="A530" t="inlineStr">
        <is>
          <t>529</t>
        </is>
      </c>
      <c r="B530" t="inlineStr">
        <is>
          <t>David Weir</t>
        </is>
      </c>
      <c r="C530" t="inlineStr">
        <is>
          <t>Team PB Performance</t>
        </is>
      </c>
      <c r="D530" t="inlineStr">
        <is>
          <t>6</t>
        </is>
      </c>
      <c r="E530">
        <f>HYPERLINK("https://www.britishcycling.org.uk/points?person_id=54155&amp;year=2022&amp;type=national&amp;d=6","Results")</f>
        <v/>
      </c>
    </row>
    <row r="531">
      <c r="A531" t="inlineStr">
        <is>
          <t>530</t>
        </is>
      </c>
      <c r="B531" t="inlineStr">
        <is>
          <t>Tom Wright</t>
        </is>
      </c>
      <c r="C531" t="inlineStr">
        <is>
          <t>Numplumz Mountainbikers</t>
        </is>
      </c>
      <c r="D531" t="inlineStr">
        <is>
          <t>6</t>
        </is>
      </c>
      <c r="E531">
        <f>HYPERLINK("https://www.britishcycling.org.uk/points?person_id=78222&amp;year=2022&amp;type=national&amp;d=6","Results")</f>
        <v/>
      </c>
    </row>
    <row r="532">
      <c r="A532" t="inlineStr">
        <is>
          <t>531</t>
        </is>
      </c>
      <c r="B532" t="inlineStr">
        <is>
          <t>Tim Allen</t>
        </is>
      </c>
      <c r="C532" t="inlineStr">
        <is>
          <t>Team LDN - Brother UK</t>
        </is>
      </c>
      <c r="D532" t="inlineStr">
        <is>
          <t>5</t>
        </is>
      </c>
      <c r="E532">
        <f>HYPERLINK("https://www.britishcycling.org.uk/points?person_id=55916&amp;year=2022&amp;type=national&amp;d=6","Results")</f>
        <v/>
      </c>
    </row>
    <row r="533">
      <c r="A533" t="inlineStr">
        <is>
          <t>532</t>
        </is>
      </c>
      <c r="B533" t="inlineStr">
        <is>
          <t>Jack Bacon</t>
        </is>
      </c>
      <c r="C533" t="inlineStr"/>
      <c r="D533" t="inlineStr">
        <is>
          <t>5</t>
        </is>
      </c>
      <c r="E533">
        <f>HYPERLINK("https://www.britishcycling.org.uk/points?person_id=545943&amp;year=2022&amp;type=national&amp;d=6","Results")</f>
        <v/>
      </c>
    </row>
    <row r="534">
      <c r="A534" t="inlineStr">
        <is>
          <t>533</t>
        </is>
      </c>
      <c r="B534" t="inlineStr">
        <is>
          <t>David Beachill</t>
        </is>
      </c>
      <c r="C534" t="inlineStr">
        <is>
          <t>Geared Up Apex RT</t>
        </is>
      </c>
      <c r="D534" t="inlineStr">
        <is>
          <t>5</t>
        </is>
      </c>
      <c r="E534">
        <f>HYPERLINK("https://www.britishcycling.org.uk/points?person_id=172147&amp;year=2022&amp;type=national&amp;d=6","Results")</f>
        <v/>
      </c>
    </row>
    <row r="535">
      <c r="A535" t="inlineStr">
        <is>
          <t>534</t>
        </is>
      </c>
      <c r="B535" t="inlineStr">
        <is>
          <t>Max Bolton</t>
        </is>
      </c>
      <c r="C535" t="inlineStr">
        <is>
          <t>Oxford University Cycling Club</t>
        </is>
      </c>
      <c r="D535" t="inlineStr">
        <is>
          <t>5</t>
        </is>
      </c>
      <c r="E535">
        <f>HYPERLINK("https://www.britishcycling.org.uk/points?person_id=322894&amp;year=2022&amp;type=national&amp;d=6","Results")</f>
        <v/>
      </c>
    </row>
    <row r="536">
      <c r="A536" t="inlineStr">
        <is>
          <t>535</t>
        </is>
      </c>
      <c r="B536" t="inlineStr">
        <is>
          <t>Louis Britton</t>
        </is>
      </c>
      <c r="C536" t="inlineStr">
        <is>
          <t>Severn RC</t>
        </is>
      </c>
      <c r="D536" t="inlineStr">
        <is>
          <t>5</t>
        </is>
      </c>
      <c r="E536">
        <f>HYPERLINK("https://www.britishcycling.org.uk/points?person_id=832398&amp;year=2022&amp;type=national&amp;d=6","Results")</f>
        <v/>
      </c>
    </row>
    <row r="537">
      <c r="A537" t="inlineStr">
        <is>
          <t>536</t>
        </is>
      </c>
      <c r="B537" t="inlineStr">
        <is>
          <t>Robert Donaldson</t>
        </is>
      </c>
      <c r="C537" t="inlineStr">
        <is>
          <t>Team Inspired</t>
        </is>
      </c>
      <c r="D537" t="inlineStr">
        <is>
          <t>5</t>
        </is>
      </c>
      <c r="E537">
        <f>HYPERLINK("https://www.britishcycling.org.uk/points?person_id=191795&amp;year=2022&amp;type=national&amp;d=6","Results")</f>
        <v/>
      </c>
    </row>
    <row r="538">
      <c r="A538" t="inlineStr">
        <is>
          <t>537</t>
        </is>
      </c>
      <c r="B538" t="inlineStr">
        <is>
          <t>Robert Jennings</t>
        </is>
      </c>
      <c r="C538" t="inlineStr">
        <is>
          <t>Hull Thursday RC</t>
        </is>
      </c>
      <c r="D538" t="inlineStr">
        <is>
          <t>5</t>
        </is>
      </c>
      <c r="E538">
        <f>HYPERLINK("https://www.britishcycling.org.uk/points?person_id=508634&amp;year=2022&amp;type=national&amp;d=6","Results")</f>
        <v/>
      </c>
    </row>
    <row r="539">
      <c r="A539" t="inlineStr">
        <is>
          <t>538</t>
        </is>
      </c>
      <c r="B539" t="inlineStr">
        <is>
          <t>Joe Killen</t>
        </is>
      </c>
      <c r="C539" t="inlineStr">
        <is>
          <t>Clapham Chasers Run &amp; Tri Club</t>
        </is>
      </c>
      <c r="D539" t="inlineStr">
        <is>
          <t>5</t>
        </is>
      </c>
      <c r="E539">
        <f>HYPERLINK("https://www.britishcycling.org.uk/points?person_id=994685&amp;year=2022&amp;type=national&amp;d=6","Results")</f>
        <v/>
      </c>
    </row>
    <row r="540">
      <c r="A540" t="inlineStr">
        <is>
          <t>539</t>
        </is>
      </c>
      <c r="B540" t="inlineStr">
        <is>
          <t>David Middleton</t>
        </is>
      </c>
      <c r="C540" t="inlineStr">
        <is>
          <t>Cardiff Ajax CC</t>
        </is>
      </c>
      <c r="D540" t="inlineStr">
        <is>
          <t>5</t>
        </is>
      </c>
      <c r="E540">
        <f>HYPERLINK("https://www.britishcycling.org.uk/points?person_id=262060&amp;year=2022&amp;type=national&amp;d=6","Results")</f>
        <v/>
      </c>
    </row>
    <row r="541">
      <c r="A541" t="inlineStr">
        <is>
          <t>540</t>
        </is>
      </c>
      <c r="B541" t="inlineStr">
        <is>
          <t>Calum Moir</t>
        </is>
      </c>
      <c r="C541" t="inlineStr">
        <is>
          <t>Zappi Junior Race Team</t>
        </is>
      </c>
      <c r="D541" t="inlineStr">
        <is>
          <t>5</t>
        </is>
      </c>
      <c r="E541">
        <f>HYPERLINK("https://www.britishcycling.org.uk/points?person_id=255500&amp;year=2022&amp;type=national&amp;d=6","Results")</f>
        <v/>
      </c>
    </row>
    <row r="542">
      <c r="A542" t="inlineStr">
        <is>
          <t>541</t>
        </is>
      </c>
      <c r="B542" t="inlineStr">
        <is>
          <t>Pritesh Patel</t>
        </is>
      </c>
      <c r="C542" t="inlineStr">
        <is>
          <t>San Fairy Ann CC</t>
        </is>
      </c>
      <c r="D542" t="inlineStr">
        <is>
          <t>5</t>
        </is>
      </c>
      <c r="E542">
        <f>HYPERLINK("https://www.britishcycling.org.uk/points?person_id=420485&amp;year=2022&amp;type=national&amp;d=6","Results")</f>
        <v/>
      </c>
    </row>
    <row r="543">
      <c r="A543" t="inlineStr">
        <is>
          <t>542</t>
        </is>
      </c>
      <c r="B543" t="inlineStr">
        <is>
          <t>George Sheppard</t>
        </is>
      </c>
      <c r="C543" t="inlineStr">
        <is>
          <t>The Ark Cycles</t>
        </is>
      </c>
      <c r="D543" t="inlineStr">
        <is>
          <t>5</t>
        </is>
      </c>
      <c r="E543">
        <f>HYPERLINK("https://www.britishcycling.org.uk/points?person_id=1089067&amp;year=2022&amp;type=national&amp;d=6","Results")</f>
        <v/>
      </c>
    </row>
    <row r="544">
      <c r="A544" t="inlineStr">
        <is>
          <t>543</t>
        </is>
      </c>
      <c r="B544" t="inlineStr">
        <is>
          <t>David Smith</t>
        </is>
      </c>
      <c r="C544" t="inlineStr">
        <is>
          <t>Walsall RCC</t>
        </is>
      </c>
      <c r="D544" t="inlineStr">
        <is>
          <t>5</t>
        </is>
      </c>
      <c r="E544">
        <f>HYPERLINK("https://www.britishcycling.org.uk/points?person_id=314161&amp;year=2022&amp;type=national&amp;d=6","Results")</f>
        <v/>
      </c>
    </row>
    <row r="545">
      <c r="A545" t="inlineStr">
        <is>
          <t>544</t>
        </is>
      </c>
      <c r="B545" t="inlineStr">
        <is>
          <t>Noah Smith</t>
        </is>
      </c>
      <c r="C545" t="inlineStr">
        <is>
          <t>NLTCBMBC</t>
        </is>
      </c>
      <c r="D545" t="inlineStr">
        <is>
          <t>5</t>
        </is>
      </c>
      <c r="E545">
        <f>HYPERLINK("https://www.britishcycling.org.uk/points?person_id=107481&amp;year=2022&amp;type=national&amp;d=6","Results")</f>
        <v/>
      </c>
    </row>
    <row r="546">
      <c r="A546" t="inlineStr">
        <is>
          <t>545</t>
        </is>
      </c>
      <c r="B546" t="inlineStr">
        <is>
          <t>Konstantinos Somarakis</t>
        </is>
      </c>
      <c r="C546" t="inlineStr">
        <is>
          <t>Leicester Forest CC</t>
        </is>
      </c>
      <c r="D546" t="inlineStr">
        <is>
          <t>5</t>
        </is>
      </c>
      <c r="E546">
        <f>HYPERLINK("https://www.britishcycling.org.uk/points?person_id=1020780&amp;year=2022&amp;type=national&amp;d=6","Results")</f>
        <v/>
      </c>
    </row>
    <row r="547">
      <c r="A547" t="inlineStr">
        <is>
          <t>546</t>
        </is>
      </c>
      <c r="B547" t="inlineStr">
        <is>
          <t>Caer Timothy</t>
        </is>
      </c>
      <c r="C547" t="inlineStr">
        <is>
          <t>AEL Cycling Team</t>
        </is>
      </c>
      <c r="D547" t="inlineStr">
        <is>
          <t>5</t>
        </is>
      </c>
      <c r="E547">
        <f>HYPERLINK("https://www.britishcycling.org.uk/points?person_id=818309&amp;year=2022&amp;type=national&amp;d=6","Results")</f>
        <v/>
      </c>
    </row>
    <row r="548">
      <c r="A548" t="inlineStr">
        <is>
          <t>547</t>
        </is>
      </c>
      <c r="B548" t="inlineStr">
        <is>
          <t>David Beskeen</t>
        </is>
      </c>
      <c r="C548" t="inlineStr"/>
      <c r="D548" t="inlineStr">
        <is>
          <t>4</t>
        </is>
      </c>
      <c r="E548">
        <f>HYPERLINK("https://www.britishcycling.org.uk/points?person_id=67793&amp;year=2022&amp;type=national&amp;d=6","Results")</f>
        <v/>
      </c>
    </row>
    <row r="549">
      <c r="A549" t="inlineStr">
        <is>
          <t>548</t>
        </is>
      </c>
      <c r="B549" t="inlineStr">
        <is>
          <t>Adam Brooks</t>
        </is>
      </c>
      <c r="C549" t="inlineStr">
        <is>
          <t>Manilla Cycling</t>
        </is>
      </c>
      <c r="D549" t="inlineStr">
        <is>
          <t>4</t>
        </is>
      </c>
      <c r="E549">
        <f>HYPERLINK("https://www.britishcycling.org.uk/points?person_id=104848&amp;year=2022&amp;type=national&amp;d=6","Results")</f>
        <v/>
      </c>
    </row>
    <row r="550">
      <c r="A550" t="inlineStr">
        <is>
          <t>549</t>
        </is>
      </c>
      <c r="B550" t="inlineStr">
        <is>
          <t>Jason Brooks</t>
        </is>
      </c>
      <c r="C550" t="inlineStr">
        <is>
          <t>Wilsons Wheels Race Team</t>
        </is>
      </c>
      <c r="D550" t="inlineStr">
        <is>
          <t>4</t>
        </is>
      </c>
      <c r="E550">
        <f>HYPERLINK("https://www.britishcycling.org.uk/points?person_id=751375&amp;year=2022&amp;type=national&amp;d=6","Results")</f>
        <v/>
      </c>
    </row>
    <row r="551">
      <c r="A551" t="inlineStr">
        <is>
          <t>550</t>
        </is>
      </c>
      <c r="B551" t="inlineStr">
        <is>
          <t>Thomas Colley</t>
        </is>
      </c>
      <c r="C551" t="inlineStr">
        <is>
          <t>Pro Vision</t>
        </is>
      </c>
      <c r="D551" t="inlineStr">
        <is>
          <t>4</t>
        </is>
      </c>
      <c r="E551">
        <f>HYPERLINK("https://www.britishcycling.org.uk/points?person_id=561855&amp;year=2022&amp;type=national&amp;d=6","Results")</f>
        <v/>
      </c>
    </row>
    <row r="552">
      <c r="A552" t="inlineStr">
        <is>
          <t>551</t>
        </is>
      </c>
      <c r="B552" t="inlineStr">
        <is>
          <t>Mason Durant</t>
        </is>
      </c>
      <c r="C552" t="inlineStr">
        <is>
          <t>Mid Shropshire Paramount Racing</t>
        </is>
      </c>
      <c r="D552" t="inlineStr">
        <is>
          <t>4</t>
        </is>
      </c>
      <c r="E552">
        <f>HYPERLINK("https://www.britishcycling.org.uk/points?person_id=1004688&amp;year=2022&amp;type=national&amp;d=6","Results")</f>
        <v/>
      </c>
    </row>
    <row r="553">
      <c r="A553" t="inlineStr">
        <is>
          <t>552</t>
        </is>
      </c>
      <c r="B553" t="inlineStr">
        <is>
          <t>Matthew Franklin</t>
        </is>
      </c>
      <c r="C553" t="inlineStr">
        <is>
          <t>Bristol RC</t>
        </is>
      </c>
      <c r="D553" t="inlineStr">
        <is>
          <t>4</t>
        </is>
      </c>
      <c r="E553">
        <f>HYPERLINK("https://www.britishcycling.org.uk/points?person_id=118969&amp;year=2022&amp;type=national&amp;d=6","Results")</f>
        <v/>
      </c>
    </row>
    <row r="554">
      <c r="A554" t="inlineStr">
        <is>
          <t>553</t>
        </is>
      </c>
      <c r="B554" t="inlineStr">
        <is>
          <t>Adam Gibson</t>
        </is>
      </c>
      <c r="C554" t="inlineStr">
        <is>
          <t>GreenlightPT</t>
        </is>
      </c>
      <c r="D554" t="inlineStr">
        <is>
          <t>4</t>
        </is>
      </c>
      <c r="E554">
        <f>HYPERLINK("https://www.britishcycling.org.uk/points?person_id=1020572&amp;year=2022&amp;type=national&amp;d=6","Results")</f>
        <v/>
      </c>
    </row>
    <row r="555">
      <c r="A555" t="inlineStr">
        <is>
          <t>554</t>
        </is>
      </c>
      <c r="B555" t="inlineStr">
        <is>
          <t>Luke Kingsland</t>
        </is>
      </c>
      <c r="C555" t="inlineStr">
        <is>
          <t>VC Deal</t>
        </is>
      </c>
      <c r="D555" t="inlineStr">
        <is>
          <t>4</t>
        </is>
      </c>
      <c r="E555">
        <f>HYPERLINK("https://www.britishcycling.org.uk/points?person_id=431523&amp;year=2022&amp;type=national&amp;d=6","Results")</f>
        <v/>
      </c>
    </row>
    <row r="556">
      <c r="A556" t="inlineStr">
        <is>
          <t>555</t>
        </is>
      </c>
      <c r="B556" t="inlineStr">
        <is>
          <t>Joshua Murphy</t>
        </is>
      </c>
      <c r="C556" t="inlineStr">
        <is>
          <t>Lakes RC</t>
        </is>
      </c>
      <c r="D556" t="inlineStr">
        <is>
          <t>4</t>
        </is>
      </c>
      <c r="E556">
        <f>HYPERLINK("https://www.britishcycling.org.uk/points?person_id=549501&amp;year=2022&amp;type=national&amp;d=6","Results")</f>
        <v/>
      </c>
    </row>
    <row r="557">
      <c r="A557" t="inlineStr">
        <is>
          <t>556</t>
        </is>
      </c>
      <c r="B557" t="inlineStr">
        <is>
          <t>Connor Murphy</t>
        </is>
      </c>
      <c r="C557" t="inlineStr">
        <is>
          <t>trainSharp Club</t>
        </is>
      </c>
      <c r="D557" t="inlineStr">
        <is>
          <t>4</t>
        </is>
      </c>
      <c r="E557">
        <f>HYPERLINK("https://www.britishcycling.org.uk/points?person_id=105944&amp;year=2022&amp;type=national&amp;d=6","Results")</f>
        <v/>
      </c>
    </row>
    <row r="558">
      <c r="A558" t="inlineStr">
        <is>
          <t>557</t>
        </is>
      </c>
      <c r="B558" t="inlineStr">
        <is>
          <t>David Paine</t>
        </is>
      </c>
      <c r="C558" t="inlineStr">
        <is>
          <t>Quick Release Cycling Club</t>
        </is>
      </c>
      <c r="D558" t="inlineStr">
        <is>
          <t>4</t>
        </is>
      </c>
      <c r="E558">
        <f>HYPERLINK("https://www.britishcycling.org.uk/points?person_id=522723&amp;year=2022&amp;type=national&amp;d=6","Results")</f>
        <v/>
      </c>
    </row>
    <row r="559">
      <c r="A559" t="inlineStr">
        <is>
          <t>558</t>
        </is>
      </c>
      <c r="B559" t="inlineStr">
        <is>
          <t>Ben Phillips</t>
        </is>
      </c>
      <c r="C559" t="inlineStr"/>
      <c r="D559" t="inlineStr">
        <is>
          <t>4</t>
        </is>
      </c>
      <c r="E559">
        <f>HYPERLINK("https://www.britishcycling.org.uk/points?person_id=729324&amp;year=2022&amp;type=national&amp;d=6","Results")</f>
        <v/>
      </c>
    </row>
    <row r="560">
      <c r="A560" t="inlineStr">
        <is>
          <t>559</t>
        </is>
      </c>
      <c r="B560" t="inlineStr">
        <is>
          <t>Simon Rendell</t>
        </is>
      </c>
      <c r="C560" t="inlineStr">
        <is>
          <t>Cranbrook Cycle Club</t>
        </is>
      </c>
      <c r="D560" t="inlineStr">
        <is>
          <t>4</t>
        </is>
      </c>
      <c r="E560">
        <f>HYPERLINK("https://www.britishcycling.org.uk/points?person_id=306677&amp;year=2022&amp;type=national&amp;d=6","Results")</f>
        <v/>
      </c>
    </row>
    <row r="561">
      <c r="A561" t="inlineStr">
        <is>
          <t>560</t>
        </is>
      </c>
      <c r="B561" t="inlineStr">
        <is>
          <t>John Rogers</t>
        </is>
      </c>
      <c r="C561" t="inlineStr">
        <is>
          <t>East Grinstead CC</t>
        </is>
      </c>
      <c r="D561" t="inlineStr">
        <is>
          <t>4</t>
        </is>
      </c>
      <c r="E561">
        <f>HYPERLINK("https://www.britishcycling.org.uk/points?person_id=1080908&amp;year=2022&amp;type=national&amp;d=6","Results")</f>
        <v/>
      </c>
    </row>
    <row r="562">
      <c r="A562" t="inlineStr">
        <is>
          <t>561</t>
        </is>
      </c>
      <c r="B562" t="inlineStr">
        <is>
          <t>Matt Rus</t>
        </is>
      </c>
      <c r="C562" t="inlineStr"/>
      <c r="D562" t="inlineStr">
        <is>
          <t>4</t>
        </is>
      </c>
      <c r="E562">
        <f>HYPERLINK("https://www.britishcycling.org.uk/points?person_id=509193&amp;year=2022&amp;type=national&amp;d=6","Results")</f>
        <v/>
      </c>
    </row>
    <row r="563">
      <c r="A563" t="inlineStr">
        <is>
          <t>562</t>
        </is>
      </c>
      <c r="B563" t="inlineStr">
        <is>
          <t>Isaac Russell</t>
        </is>
      </c>
      <c r="C563" t="inlineStr">
        <is>
          <t>Team PB Performance</t>
        </is>
      </c>
      <c r="D563" t="inlineStr">
        <is>
          <t>4</t>
        </is>
      </c>
      <c r="E563">
        <f>HYPERLINK("https://www.britishcycling.org.uk/points?person_id=270002&amp;year=2022&amp;type=national&amp;d=6","Results")</f>
        <v/>
      </c>
    </row>
    <row r="564">
      <c r="A564" t="inlineStr">
        <is>
          <t>563</t>
        </is>
      </c>
      <c r="B564" t="inlineStr">
        <is>
          <t>Robert Thackray</t>
        </is>
      </c>
      <c r="C564" t="inlineStr">
        <is>
          <t>Paul Milnes - Bradford Olympic RC</t>
        </is>
      </c>
      <c r="D564" t="inlineStr">
        <is>
          <t>4</t>
        </is>
      </c>
      <c r="E564">
        <f>HYPERLINK("https://www.britishcycling.org.uk/points?person_id=37688&amp;year=2022&amp;type=national&amp;d=6","Results")</f>
        <v/>
      </c>
    </row>
    <row r="565">
      <c r="A565" t="inlineStr">
        <is>
          <t>564</t>
        </is>
      </c>
      <c r="B565" t="inlineStr">
        <is>
          <t>Alan Ward</t>
        </is>
      </c>
      <c r="C565" t="inlineStr"/>
      <c r="D565" t="inlineStr">
        <is>
          <t>4</t>
        </is>
      </c>
      <c r="E565">
        <f>HYPERLINK("https://www.britishcycling.org.uk/points?person_id=474756&amp;year=2022&amp;type=national&amp;d=6","Results")</f>
        <v/>
      </c>
    </row>
    <row r="566">
      <c r="A566" t="inlineStr">
        <is>
          <t>565</t>
        </is>
      </c>
      <c r="B566" t="inlineStr">
        <is>
          <t>Matthew Whitehouse</t>
        </is>
      </c>
      <c r="C566" t="inlineStr">
        <is>
          <t>Cardiff Ajax CC</t>
        </is>
      </c>
      <c r="D566" t="inlineStr">
        <is>
          <t>4</t>
        </is>
      </c>
      <c r="E566">
        <f>HYPERLINK("https://www.britishcycling.org.uk/points?person_id=882860&amp;year=2022&amp;type=national&amp;d=6","Results")</f>
        <v/>
      </c>
    </row>
    <row r="567">
      <c r="A567" t="inlineStr">
        <is>
          <t>566</t>
        </is>
      </c>
      <c r="B567" t="inlineStr">
        <is>
          <t>Mark Ainsworth</t>
        </is>
      </c>
      <c r="C567" t="inlineStr">
        <is>
          <t>High Wycombe Cycling Club</t>
        </is>
      </c>
      <c r="D567" t="inlineStr">
        <is>
          <t>3</t>
        </is>
      </c>
      <c r="E567">
        <f>HYPERLINK("https://www.britishcycling.org.uk/points?person_id=507702&amp;year=2022&amp;type=national&amp;d=6","Results")</f>
        <v/>
      </c>
    </row>
    <row r="568">
      <c r="A568" t="inlineStr">
        <is>
          <t>567</t>
        </is>
      </c>
      <c r="B568" t="inlineStr">
        <is>
          <t>John Aston</t>
        </is>
      </c>
      <c r="C568" t="inlineStr">
        <is>
          <t>Hunt Bike Wheels</t>
        </is>
      </c>
      <c r="D568" t="inlineStr">
        <is>
          <t>3</t>
        </is>
      </c>
      <c r="E568">
        <f>HYPERLINK("https://www.britishcycling.org.uk/points?person_id=102932&amp;year=2022&amp;type=national&amp;d=6","Results")</f>
        <v/>
      </c>
    </row>
    <row r="569">
      <c r="A569" t="inlineStr">
        <is>
          <t>568</t>
        </is>
      </c>
      <c r="B569" t="inlineStr">
        <is>
          <t>Luke Bates</t>
        </is>
      </c>
      <c r="C569" t="inlineStr">
        <is>
          <t>EH Star Cycling</t>
        </is>
      </c>
      <c r="D569" t="inlineStr">
        <is>
          <t>3</t>
        </is>
      </c>
      <c r="E569">
        <f>HYPERLINK("https://www.britishcycling.org.uk/points?person_id=461622&amp;year=2022&amp;type=national&amp;d=6","Results")</f>
        <v/>
      </c>
    </row>
    <row r="570">
      <c r="A570" t="inlineStr">
        <is>
          <t>569</t>
        </is>
      </c>
      <c r="B570" t="inlineStr">
        <is>
          <t>George Bemand</t>
        </is>
      </c>
      <c r="C570" t="inlineStr">
        <is>
          <t>VCEquipe-FlixOralHygiene-Propulse</t>
        </is>
      </c>
      <c r="D570" t="inlineStr">
        <is>
          <t>3</t>
        </is>
      </c>
      <c r="E570">
        <f>HYPERLINK("https://www.britishcycling.org.uk/points?person_id=625541&amp;year=2022&amp;type=national&amp;d=6","Results")</f>
        <v/>
      </c>
    </row>
    <row r="571">
      <c r="A571" t="inlineStr">
        <is>
          <t>570</t>
        </is>
      </c>
      <c r="B571" t="inlineStr">
        <is>
          <t>Adam Bent</t>
        </is>
      </c>
      <c r="C571" t="inlineStr">
        <is>
          <t>Wheelbase CabTech Castelli</t>
        </is>
      </c>
      <c r="D571" t="inlineStr">
        <is>
          <t>3</t>
        </is>
      </c>
      <c r="E571">
        <f>HYPERLINK("https://www.britishcycling.org.uk/points?person_id=174813&amp;year=2022&amp;type=national&amp;d=6","Results")</f>
        <v/>
      </c>
    </row>
    <row r="572">
      <c r="A572" t="inlineStr">
        <is>
          <t>571</t>
        </is>
      </c>
      <c r="B572" t="inlineStr">
        <is>
          <t>Paul Campbell</t>
        </is>
      </c>
      <c r="C572" t="inlineStr">
        <is>
          <t>Wilsons Wheels Race Team</t>
        </is>
      </c>
      <c r="D572" t="inlineStr">
        <is>
          <t>3</t>
        </is>
      </c>
      <c r="E572">
        <f>HYPERLINK("https://www.britishcycling.org.uk/points?person_id=30945&amp;year=2022&amp;type=national&amp;d=6","Results")</f>
        <v/>
      </c>
    </row>
    <row r="573">
      <c r="A573" t="inlineStr">
        <is>
          <t>572</t>
        </is>
      </c>
      <c r="B573" t="inlineStr">
        <is>
          <t>Stephen Clark</t>
        </is>
      </c>
      <c r="C573" t="inlineStr"/>
      <c r="D573" t="inlineStr">
        <is>
          <t>3</t>
        </is>
      </c>
      <c r="E573">
        <f>HYPERLINK("https://www.britishcycling.org.uk/points?person_id=237791&amp;year=2022&amp;type=national&amp;d=6","Results")</f>
        <v/>
      </c>
    </row>
    <row r="574">
      <c r="A574" t="inlineStr">
        <is>
          <t>573</t>
        </is>
      </c>
      <c r="B574" t="inlineStr">
        <is>
          <t>Geoff Ewen</t>
        </is>
      </c>
      <c r="C574" t="inlineStr">
        <is>
          <t>Cycle Club Ashwell (CCA)</t>
        </is>
      </c>
      <c r="D574" t="inlineStr">
        <is>
          <t>3</t>
        </is>
      </c>
      <c r="E574">
        <f>HYPERLINK("https://www.britishcycling.org.uk/points?person_id=99972&amp;year=2022&amp;type=national&amp;d=6","Results")</f>
        <v/>
      </c>
    </row>
    <row r="575">
      <c r="A575" t="inlineStr">
        <is>
          <t>574</t>
        </is>
      </c>
      <c r="B575" t="inlineStr">
        <is>
          <t>Emil Howell</t>
        </is>
      </c>
      <c r="C575" t="inlineStr">
        <is>
          <t>Matlock CC</t>
        </is>
      </c>
      <c r="D575" t="inlineStr">
        <is>
          <t>3</t>
        </is>
      </c>
      <c r="E575">
        <f>HYPERLINK("https://www.britishcycling.org.uk/points?person_id=951329&amp;year=2022&amp;type=national&amp;d=6","Results")</f>
        <v/>
      </c>
    </row>
    <row r="576">
      <c r="A576" t="inlineStr">
        <is>
          <t>575</t>
        </is>
      </c>
      <c r="B576" t="inlineStr">
        <is>
          <t>Brian Keith</t>
        </is>
      </c>
      <c r="C576" t="inlineStr">
        <is>
          <t>Dundee Thistle RC</t>
        </is>
      </c>
      <c r="D576" t="inlineStr">
        <is>
          <t>3</t>
        </is>
      </c>
      <c r="E576">
        <f>HYPERLINK("https://www.britishcycling.org.uk/points?person_id=37014&amp;year=2022&amp;type=national&amp;d=6","Results")</f>
        <v/>
      </c>
    </row>
    <row r="577">
      <c r="A577" t="inlineStr">
        <is>
          <t>576</t>
        </is>
      </c>
      <c r="B577" t="inlineStr">
        <is>
          <t>Jimmy Kershaw</t>
        </is>
      </c>
      <c r="C577" t="inlineStr">
        <is>
          <t>Doddington Cycling Club</t>
        </is>
      </c>
      <c r="D577" t="inlineStr">
        <is>
          <t>3</t>
        </is>
      </c>
      <c r="E577">
        <f>HYPERLINK("https://www.britishcycling.org.uk/points?person_id=28263&amp;year=2022&amp;type=national&amp;d=6","Results")</f>
        <v/>
      </c>
    </row>
    <row r="578">
      <c r="A578" t="inlineStr">
        <is>
          <t>577</t>
        </is>
      </c>
      <c r="B578" t="inlineStr">
        <is>
          <t>Lee Mallen</t>
        </is>
      </c>
      <c r="C578" t="inlineStr">
        <is>
          <t>Sid Valley CC</t>
        </is>
      </c>
      <c r="D578" t="inlineStr">
        <is>
          <t>3</t>
        </is>
      </c>
      <c r="E578">
        <f>HYPERLINK("https://www.britishcycling.org.uk/points?person_id=35721&amp;year=2022&amp;type=national&amp;d=6","Results")</f>
        <v/>
      </c>
    </row>
    <row r="579">
      <c r="A579" t="inlineStr">
        <is>
          <t>578</t>
        </is>
      </c>
      <c r="B579" t="inlineStr">
        <is>
          <t>Joseph Martin</t>
        </is>
      </c>
      <c r="C579" t="inlineStr">
        <is>
          <t>Precise Performance RT</t>
        </is>
      </c>
      <c r="D579" t="inlineStr">
        <is>
          <t>3</t>
        </is>
      </c>
      <c r="E579">
        <f>HYPERLINK("https://www.britishcycling.org.uk/points?person_id=189098&amp;year=2022&amp;type=national&amp;d=6","Results")</f>
        <v/>
      </c>
    </row>
    <row r="580">
      <c r="A580" t="inlineStr">
        <is>
          <t>579</t>
        </is>
      </c>
      <c r="B580" t="inlineStr">
        <is>
          <t>Gregor Mcphaden</t>
        </is>
      </c>
      <c r="C580" t="inlineStr">
        <is>
          <t>West Lothian Clarion CC</t>
        </is>
      </c>
      <c r="D580" t="inlineStr">
        <is>
          <t>3</t>
        </is>
      </c>
      <c r="E580">
        <f>HYPERLINK("https://www.britishcycling.org.uk/points?person_id=770427&amp;year=2022&amp;type=national&amp;d=6","Results")</f>
        <v/>
      </c>
    </row>
    <row r="581">
      <c r="A581" t="inlineStr">
        <is>
          <t>580</t>
        </is>
      </c>
      <c r="B581" t="inlineStr">
        <is>
          <t>Mark Preston</t>
        </is>
      </c>
      <c r="C581" t="inlineStr">
        <is>
          <t>PainTrain Lincoln</t>
        </is>
      </c>
      <c r="D581" t="inlineStr">
        <is>
          <t>3</t>
        </is>
      </c>
      <c r="E581">
        <f>HYPERLINK("https://www.britishcycling.org.uk/points?person_id=73475&amp;year=2022&amp;type=national&amp;d=6","Results")</f>
        <v/>
      </c>
    </row>
    <row r="582">
      <c r="A582" t="inlineStr">
        <is>
          <t>581</t>
        </is>
      </c>
      <c r="B582" t="inlineStr">
        <is>
          <t>Jack Sutton</t>
        </is>
      </c>
      <c r="C582" t="inlineStr">
        <is>
          <t>Stonham Barns Park – SYRT</t>
        </is>
      </c>
      <c r="D582" t="inlineStr">
        <is>
          <t>3</t>
        </is>
      </c>
      <c r="E582">
        <f>HYPERLINK("https://www.britishcycling.org.uk/points?person_id=939075&amp;year=2022&amp;type=national&amp;d=6","Results")</f>
        <v/>
      </c>
    </row>
    <row r="583">
      <c r="A583" t="inlineStr">
        <is>
          <t>582</t>
        </is>
      </c>
      <c r="B583" t="inlineStr">
        <is>
          <t>Gareth Turner</t>
        </is>
      </c>
      <c r="C583" t="inlineStr">
        <is>
          <t>VCEquipe-FlixOralHygiene-Propulse</t>
        </is>
      </c>
      <c r="D583" t="inlineStr">
        <is>
          <t>3</t>
        </is>
      </c>
      <c r="E583">
        <f>HYPERLINK("https://www.britishcycling.org.uk/points?person_id=234637&amp;year=2022&amp;type=national&amp;d=6","Results")</f>
        <v/>
      </c>
    </row>
    <row r="584">
      <c r="A584" t="inlineStr">
        <is>
          <t>583</t>
        </is>
      </c>
      <c r="B584" t="inlineStr">
        <is>
          <t>Ruben Villalain</t>
        </is>
      </c>
      <c r="C584" t="inlineStr">
        <is>
          <t>Edinburgh RC</t>
        </is>
      </c>
      <c r="D584" t="inlineStr">
        <is>
          <t>3</t>
        </is>
      </c>
      <c r="E584">
        <f>HYPERLINK("https://www.britishcycling.org.uk/points?person_id=741651&amp;year=2022&amp;type=national&amp;d=6","Results")</f>
        <v/>
      </c>
    </row>
    <row r="585">
      <c r="A585" t="inlineStr">
        <is>
          <t>584</t>
        </is>
      </c>
      <c r="B585" t="inlineStr">
        <is>
          <t>Isaac Wright</t>
        </is>
      </c>
      <c r="C585" t="inlineStr">
        <is>
          <t>Project 51</t>
        </is>
      </c>
      <c r="D585" t="inlineStr">
        <is>
          <t>3</t>
        </is>
      </c>
      <c r="E585">
        <f>HYPERLINK("https://www.britishcycling.org.uk/points?person_id=7248&amp;year=2022&amp;type=national&amp;d=6","Results")</f>
        <v/>
      </c>
    </row>
    <row r="586">
      <c r="A586" t="inlineStr">
        <is>
          <t>585</t>
        </is>
      </c>
      <c r="B586" t="inlineStr">
        <is>
          <t>James Ambrose-Parish</t>
        </is>
      </c>
      <c r="C586" t="inlineStr">
        <is>
          <t>TAAP Cervelo</t>
        </is>
      </c>
      <c r="D586" t="inlineStr">
        <is>
          <t>2</t>
        </is>
      </c>
      <c r="E586">
        <f>HYPERLINK("https://www.britishcycling.org.uk/points?person_id=31051&amp;year=2022&amp;type=national&amp;d=6","Results")</f>
        <v/>
      </c>
    </row>
    <row r="587">
      <c r="A587" t="inlineStr">
        <is>
          <t>586</t>
        </is>
      </c>
      <c r="B587" t="inlineStr">
        <is>
          <t>Ben Barlow</t>
        </is>
      </c>
      <c r="C587" t="inlineStr"/>
      <c r="D587" t="inlineStr">
        <is>
          <t>2</t>
        </is>
      </c>
      <c r="E587">
        <f>HYPERLINK("https://www.britishcycling.org.uk/points?person_id=99391&amp;year=2022&amp;type=national&amp;d=6","Results")</f>
        <v/>
      </c>
    </row>
    <row r="588">
      <c r="A588" t="inlineStr">
        <is>
          <t>587</t>
        </is>
      </c>
      <c r="B588" t="inlineStr">
        <is>
          <t>Charlie Boddice</t>
        </is>
      </c>
      <c r="C588" t="inlineStr">
        <is>
          <t>365 Shutt Ridley</t>
        </is>
      </c>
      <c r="D588" t="inlineStr">
        <is>
          <t>2</t>
        </is>
      </c>
      <c r="E588">
        <f>HYPERLINK("https://www.britishcycling.org.uk/points?person_id=404340&amp;year=2022&amp;type=national&amp;d=6","Results")</f>
        <v/>
      </c>
    </row>
    <row r="589">
      <c r="A589" t="inlineStr">
        <is>
          <t>588</t>
        </is>
      </c>
      <c r="B589" t="inlineStr">
        <is>
          <t>Kristian Bond</t>
        </is>
      </c>
      <c r="C589" t="inlineStr">
        <is>
          <t>Ystwyth Cycling Club</t>
        </is>
      </c>
      <c r="D589" t="inlineStr">
        <is>
          <t>2</t>
        </is>
      </c>
      <c r="E589">
        <f>HYPERLINK("https://www.britishcycling.org.uk/points?person_id=200021&amp;year=2022&amp;type=national&amp;d=6","Results")</f>
        <v/>
      </c>
    </row>
    <row r="590">
      <c r="A590" t="inlineStr">
        <is>
          <t>589</t>
        </is>
      </c>
      <c r="B590" t="inlineStr">
        <is>
          <t>Maris Brugis</t>
        </is>
      </c>
      <c r="C590" t="inlineStr">
        <is>
          <t>Bristol RC</t>
        </is>
      </c>
      <c r="D590" t="inlineStr">
        <is>
          <t>2</t>
        </is>
      </c>
      <c r="E590">
        <f>HYPERLINK("https://www.britishcycling.org.uk/points?person_id=461910&amp;year=2022&amp;type=national&amp;d=6","Results")</f>
        <v/>
      </c>
    </row>
    <row r="591">
      <c r="A591" t="inlineStr">
        <is>
          <t>590</t>
        </is>
      </c>
      <c r="B591" t="inlineStr">
        <is>
          <t>Michael Burke</t>
        </is>
      </c>
      <c r="C591" t="inlineStr">
        <is>
          <t>Glasgow Ivy CC</t>
        </is>
      </c>
      <c r="D591" t="inlineStr">
        <is>
          <t>2</t>
        </is>
      </c>
      <c r="E591">
        <f>HYPERLINK("https://www.britishcycling.org.uk/points?person_id=316531&amp;year=2022&amp;type=national&amp;d=6","Results")</f>
        <v/>
      </c>
    </row>
    <row r="592">
      <c r="A592" t="inlineStr">
        <is>
          <t>591</t>
        </is>
      </c>
      <c r="B592" t="inlineStr">
        <is>
          <t>Daniel Burt</t>
        </is>
      </c>
      <c r="C592" t="inlineStr"/>
      <c r="D592" t="inlineStr">
        <is>
          <t>2</t>
        </is>
      </c>
      <c r="E592">
        <f>HYPERLINK("https://www.britishcycling.org.uk/points?person_id=885127&amp;year=2022&amp;type=national&amp;d=6","Results")</f>
        <v/>
      </c>
    </row>
    <row r="593">
      <c r="A593" t="inlineStr">
        <is>
          <t>592</t>
        </is>
      </c>
      <c r="B593" t="inlineStr">
        <is>
          <t>Ben Cooper</t>
        </is>
      </c>
      <c r="C593" t="inlineStr">
        <is>
          <t>Lancaster CC</t>
        </is>
      </c>
      <c r="D593" t="inlineStr">
        <is>
          <t>2</t>
        </is>
      </c>
      <c r="E593">
        <f>HYPERLINK("https://www.britishcycling.org.uk/points?person_id=359750&amp;year=2022&amp;type=national&amp;d=6","Results")</f>
        <v/>
      </c>
    </row>
    <row r="594">
      <c r="A594" t="inlineStr">
        <is>
          <t>593</t>
        </is>
      </c>
      <c r="B594" t="inlineStr">
        <is>
          <t>Ashley Cowley</t>
        </is>
      </c>
      <c r="C594" t="inlineStr">
        <is>
          <t>Newark Castle CC</t>
        </is>
      </c>
      <c r="D594" t="inlineStr">
        <is>
          <t>2</t>
        </is>
      </c>
      <c r="E594">
        <f>HYPERLINK("https://www.britishcycling.org.uk/points?person_id=1010096&amp;year=2022&amp;type=national&amp;d=6","Results")</f>
        <v/>
      </c>
    </row>
    <row r="595">
      <c r="A595" t="inlineStr">
        <is>
          <t>594</t>
        </is>
      </c>
      <c r="B595" t="inlineStr">
        <is>
          <t>Harry Cronin</t>
        </is>
      </c>
      <c r="C595" t="inlineStr">
        <is>
          <t>Team V-Sprint Racing</t>
        </is>
      </c>
      <c r="D595" t="inlineStr">
        <is>
          <t>2</t>
        </is>
      </c>
      <c r="E595">
        <f>HYPERLINK("https://www.britishcycling.org.uk/points?person_id=491590&amp;year=2022&amp;type=national&amp;d=6","Results")</f>
        <v/>
      </c>
    </row>
    <row r="596">
      <c r="A596" t="inlineStr">
        <is>
          <t>595</t>
        </is>
      </c>
      <c r="B596" t="inlineStr">
        <is>
          <t>Guy Drabble</t>
        </is>
      </c>
      <c r="C596" t="inlineStr">
        <is>
          <t>Ribble rechrg Race Team</t>
        </is>
      </c>
      <c r="D596" t="inlineStr">
        <is>
          <t>2</t>
        </is>
      </c>
      <c r="E596">
        <f>HYPERLINK("https://www.britishcycling.org.uk/points?person_id=270061&amp;year=2022&amp;type=national&amp;d=6","Results")</f>
        <v/>
      </c>
    </row>
    <row r="597">
      <c r="A597" t="inlineStr">
        <is>
          <t>596</t>
        </is>
      </c>
      <c r="B597" t="inlineStr">
        <is>
          <t>Jack Eastman-Nye</t>
        </is>
      </c>
      <c r="C597" t="inlineStr">
        <is>
          <t>Peterborough Cycling Club</t>
        </is>
      </c>
      <c r="D597" t="inlineStr">
        <is>
          <t>2</t>
        </is>
      </c>
      <c r="E597">
        <f>HYPERLINK("https://www.britishcycling.org.uk/points?person_id=1028350&amp;year=2022&amp;type=national&amp;d=6","Results")</f>
        <v/>
      </c>
    </row>
    <row r="598">
      <c r="A598" t="inlineStr">
        <is>
          <t>597</t>
        </is>
      </c>
      <c r="B598" t="inlineStr">
        <is>
          <t>Joseph Gillies</t>
        </is>
      </c>
      <c r="C598" t="inlineStr">
        <is>
          <t>Twickenham CC</t>
        </is>
      </c>
      <c r="D598" t="inlineStr">
        <is>
          <t>2</t>
        </is>
      </c>
      <c r="E598">
        <f>HYPERLINK("https://www.britishcycling.org.uk/points?person_id=136585&amp;year=2022&amp;type=national&amp;d=6","Results")</f>
        <v/>
      </c>
    </row>
    <row r="599">
      <c r="A599" t="inlineStr">
        <is>
          <t>598</t>
        </is>
      </c>
      <c r="B599" t="inlineStr">
        <is>
          <t>James Horton</t>
        </is>
      </c>
      <c r="C599" t="inlineStr">
        <is>
          <t>VC St Raphael</t>
        </is>
      </c>
      <c r="D599" t="inlineStr">
        <is>
          <t>2</t>
        </is>
      </c>
      <c r="E599">
        <f>HYPERLINK("https://www.britishcycling.org.uk/points?person_id=12906&amp;year=2022&amp;type=national&amp;d=6","Results")</f>
        <v/>
      </c>
    </row>
    <row r="600">
      <c r="A600" t="inlineStr">
        <is>
          <t>599</t>
        </is>
      </c>
      <c r="B600" t="inlineStr">
        <is>
          <t>Derek Hughes</t>
        </is>
      </c>
      <c r="C600" t="inlineStr">
        <is>
          <t>Glasgow Green Cycle Club</t>
        </is>
      </c>
      <c r="D600" t="inlineStr">
        <is>
          <t>2</t>
        </is>
      </c>
      <c r="E600">
        <f>HYPERLINK("https://www.britishcycling.org.uk/points?person_id=444069&amp;year=2022&amp;type=national&amp;d=6","Results")</f>
        <v/>
      </c>
    </row>
    <row r="601">
      <c r="A601" t="inlineStr">
        <is>
          <t>600</t>
        </is>
      </c>
      <c r="B601" t="inlineStr">
        <is>
          <t>Jack Lang</t>
        </is>
      </c>
      <c r="C601" t="inlineStr">
        <is>
          <t>Team Milton Keynes</t>
        </is>
      </c>
      <c r="D601" t="inlineStr">
        <is>
          <t>2</t>
        </is>
      </c>
      <c r="E601">
        <f>HYPERLINK("https://www.britishcycling.org.uk/points?person_id=967305&amp;year=2022&amp;type=national&amp;d=6","Results")</f>
        <v/>
      </c>
    </row>
    <row r="602">
      <c r="A602" t="inlineStr">
        <is>
          <t>601</t>
        </is>
      </c>
      <c r="B602" t="inlineStr">
        <is>
          <t>Ian Legg</t>
        </is>
      </c>
      <c r="C602" t="inlineStr"/>
      <c r="D602" t="inlineStr">
        <is>
          <t>2</t>
        </is>
      </c>
      <c r="E602">
        <f>HYPERLINK("https://www.britishcycling.org.uk/points?person_id=24268&amp;year=2022&amp;type=national&amp;d=6","Results")</f>
        <v/>
      </c>
    </row>
    <row r="603">
      <c r="A603" t="inlineStr">
        <is>
          <t>602</t>
        </is>
      </c>
      <c r="B603" t="inlineStr">
        <is>
          <t>Nicholas Lodge</t>
        </is>
      </c>
      <c r="C603" t="inlineStr">
        <is>
          <t>Swansea University Cycling Team</t>
        </is>
      </c>
      <c r="D603" t="inlineStr">
        <is>
          <t>2</t>
        </is>
      </c>
      <c r="E603">
        <f>HYPERLINK("https://www.britishcycling.org.uk/points?person_id=1089342&amp;year=2022&amp;type=national&amp;d=6","Results")</f>
        <v/>
      </c>
    </row>
    <row r="604">
      <c r="A604" t="inlineStr">
        <is>
          <t>603</t>
        </is>
      </c>
      <c r="B604" t="inlineStr">
        <is>
          <t>Luke Manning</t>
        </is>
      </c>
      <c r="C604" t="inlineStr">
        <is>
          <t>Stowmarket &amp; District CC</t>
        </is>
      </c>
      <c r="D604" t="inlineStr">
        <is>
          <t>2</t>
        </is>
      </c>
      <c r="E604">
        <f>HYPERLINK("https://www.britishcycling.org.uk/points?person_id=688735&amp;year=2022&amp;type=national&amp;d=6","Results")</f>
        <v/>
      </c>
    </row>
    <row r="605">
      <c r="A605" t="inlineStr">
        <is>
          <t>604</t>
        </is>
      </c>
      <c r="B605" t="inlineStr">
        <is>
          <t>Ellis McCoy</t>
        </is>
      </c>
      <c r="C605" t="inlineStr">
        <is>
          <t>GS Metro</t>
        </is>
      </c>
      <c r="D605" t="inlineStr">
        <is>
          <t>2</t>
        </is>
      </c>
      <c r="E605">
        <f>HYPERLINK("https://www.britishcycling.org.uk/points?person_id=548277&amp;year=2022&amp;type=national&amp;d=6","Results")</f>
        <v/>
      </c>
    </row>
    <row r="606">
      <c r="A606" t="inlineStr">
        <is>
          <t>605</t>
        </is>
      </c>
      <c r="B606" t="inlineStr">
        <is>
          <t>Matthew Page</t>
        </is>
      </c>
      <c r="C606" t="inlineStr">
        <is>
          <t>Clwb Seiclo Llanymddyfri</t>
        </is>
      </c>
      <c r="D606" t="inlineStr">
        <is>
          <t>2</t>
        </is>
      </c>
      <c r="E606">
        <f>HYPERLINK("https://www.britishcycling.org.uk/points?person_id=77266&amp;year=2022&amp;type=national&amp;d=6","Results")</f>
        <v/>
      </c>
    </row>
    <row r="607">
      <c r="A607" t="inlineStr">
        <is>
          <t>606</t>
        </is>
      </c>
      <c r="B607" t="inlineStr">
        <is>
          <t>Jordan Peacock</t>
        </is>
      </c>
      <c r="C607" t="inlineStr">
        <is>
          <t>Spirit BSS</t>
        </is>
      </c>
      <c r="D607" t="inlineStr">
        <is>
          <t>2</t>
        </is>
      </c>
      <c r="E607">
        <f>HYPERLINK("https://www.britishcycling.org.uk/points?person_id=42482&amp;year=2022&amp;type=national&amp;d=6","Results")</f>
        <v/>
      </c>
    </row>
    <row r="608">
      <c r="A608" t="inlineStr">
        <is>
          <t>607</t>
        </is>
      </c>
      <c r="B608" t="inlineStr">
        <is>
          <t>Toby Pullan</t>
        </is>
      </c>
      <c r="C608" t="inlineStr">
        <is>
          <t>Cambridge Junior Cycling Club</t>
        </is>
      </c>
      <c r="D608" t="inlineStr">
        <is>
          <t>2</t>
        </is>
      </c>
      <c r="E608">
        <f>HYPERLINK("https://www.britishcycling.org.uk/points?person_id=612654&amp;year=2022&amp;type=national&amp;d=6","Results")</f>
        <v/>
      </c>
    </row>
    <row r="609">
      <c r="A609" t="inlineStr">
        <is>
          <t>608</t>
        </is>
      </c>
      <c r="B609" t="inlineStr">
        <is>
          <t>Alexander Robinson</t>
        </is>
      </c>
      <c r="C609" t="inlineStr">
        <is>
          <t>Clifton CC</t>
        </is>
      </c>
      <c r="D609" t="inlineStr">
        <is>
          <t>2</t>
        </is>
      </c>
      <c r="E609">
        <f>HYPERLINK("https://www.britishcycling.org.uk/points?person_id=554229&amp;year=2022&amp;type=national&amp;d=6","Results")</f>
        <v/>
      </c>
    </row>
    <row r="610">
      <c r="A610" t="inlineStr">
        <is>
          <t>609</t>
        </is>
      </c>
      <c r="B610" t="inlineStr">
        <is>
          <t>Jacob Tipper</t>
        </is>
      </c>
      <c r="C610" t="inlineStr">
        <is>
          <t>Ribble Weldtite Pro Cycling</t>
        </is>
      </c>
      <c r="D610" t="inlineStr">
        <is>
          <t>2</t>
        </is>
      </c>
      <c r="E610">
        <f>HYPERLINK("https://www.britishcycling.org.uk/points?person_id=25390&amp;year=2022&amp;type=national&amp;d=6","Results")</f>
        <v/>
      </c>
    </row>
    <row r="611">
      <c r="A611" t="inlineStr">
        <is>
          <t>610</t>
        </is>
      </c>
      <c r="B611" t="inlineStr">
        <is>
          <t>Finlay Wright</t>
        </is>
      </c>
      <c r="C611" t="inlineStr">
        <is>
          <t>Exeter Wheelers</t>
        </is>
      </c>
      <c r="D611" t="inlineStr">
        <is>
          <t>2</t>
        </is>
      </c>
      <c r="E611">
        <f>HYPERLINK("https://www.britishcycling.org.uk/points?person_id=1003176&amp;year=2022&amp;type=national&amp;d=6","Results")</f>
        <v/>
      </c>
    </row>
    <row r="612">
      <c r="A612" t="inlineStr">
        <is>
          <t>611</t>
        </is>
      </c>
      <c r="B612" t="inlineStr">
        <is>
          <t>Sean Bradley</t>
        </is>
      </c>
      <c r="C612" t="inlineStr">
        <is>
          <t>Team Trident</t>
        </is>
      </c>
      <c r="D612" t="inlineStr">
        <is>
          <t>1</t>
        </is>
      </c>
      <c r="E612">
        <f>HYPERLINK("https://www.britishcycling.org.uk/points?person_id=123098&amp;year=2022&amp;type=national&amp;d=6","Results")</f>
        <v/>
      </c>
    </row>
    <row r="613">
      <c r="A613" t="inlineStr">
        <is>
          <t>612</t>
        </is>
      </c>
      <c r="B613" t="inlineStr">
        <is>
          <t>Ryan Brookes</t>
        </is>
      </c>
      <c r="C613" t="inlineStr">
        <is>
          <t>Halesowen A &amp; CC</t>
        </is>
      </c>
      <c r="D613" t="inlineStr">
        <is>
          <t>1</t>
        </is>
      </c>
      <c r="E613">
        <f>HYPERLINK("https://www.britishcycling.org.uk/points?person_id=198780&amp;year=2022&amp;type=national&amp;d=6","Results")</f>
        <v/>
      </c>
    </row>
    <row r="614">
      <c r="A614" t="inlineStr">
        <is>
          <t>613</t>
        </is>
      </c>
      <c r="B614" t="inlineStr">
        <is>
          <t>George Hackney</t>
        </is>
      </c>
      <c r="C614" t="inlineStr">
        <is>
          <t>PainTrain Lincoln</t>
        </is>
      </c>
      <c r="D614" t="inlineStr">
        <is>
          <t>1</t>
        </is>
      </c>
      <c r="E614">
        <f>HYPERLINK("https://www.britishcycling.org.uk/points?person_id=101905&amp;year=2022&amp;type=national&amp;d=6","Results")</f>
        <v/>
      </c>
    </row>
    <row r="615">
      <c r="A615" t="inlineStr">
        <is>
          <t>614</t>
        </is>
      </c>
      <c r="B615" t="inlineStr">
        <is>
          <t>Nathan Higgs</t>
        </is>
      </c>
      <c r="C615" t="inlineStr">
        <is>
          <t>Leicester Forest CC</t>
        </is>
      </c>
      <c r="D615" t="inlineStr">
        <is>
          <t>1</t>
        </is>
      </c>
      <c r="E615">
        <f>HYPERLINK("https://www.britishcycling.org.uk/points?person_id=361350&amp;year=2022&amp;type=national&amp;d=6","Results")</f>
        <v/>
      </c>
    </row>
    <row r="616">
      <c r="A616" t="inlineStr">
        <is>
          <t>615</t>
        </is>
      </c>
      <c r="B616" t="inlineStr">
        <is>
          <t>Paul Lacey</t>
        </is>
      </c>
      <c r="C616" t="inlineStr">
        <is>
          <t>Bradford on Avon</t>
        </is>
      </c>
      <c r="D616" t="inlineStr">
        <is>
          <t>1</t>
        </is>
      </c>
      <c r="E616">
        <f>HYPERLINK("https://www.britishcycling.org.uk/points?person_id=770464&amp;year=2022&amp;type=national&amp;d=6","Results")</f>
        <v/>
      </c>
    </row>
    <row r="617">
      <c r="A617" t="inlineStr">
        <is>
          <t>616</t>
        </is>
      </c>
      <c r="B617" t="inlineStr">
        <is>
          <t>Matthew Lebelinski</t>
        </is>
      </c>
      <c r="C617" t="inlineStr">
        <is>
          <t>Ilkeston Cycle Club</t>
        </is>
      </c>
      <c r="D617" t="inlineStr">
        <is>
          <t>1</t>
        </is>
      </c>
      <c r="E617">
        <f>HYPERLINK("https://www.britishcycling.org.uk/points?person_id=497930&amp;year=2022&amp;type=national&amp;d=6","Results")</f>
        <v/>
      </c>
    </row>
    <row r="618">
      <c r="A618" t="inlineStr">
        <is>
          <t>617</t>
        </is>
      </c>
      <c r="B618" t="inlineStr">
        <is>
          <t>John O'Sullivan</t>
        </is>
      </c>
      <c r="C618" t="inlineStr">
        <is>
          <t>Cycle Club Ashwell (CCA)</t>
        </is>
      </c>
      <c r="D618" t="inlineStr">
        <is>
          <t>1</t>
        </is>
      </c>
      <c r="E618">
        <f>HYPERLINK("https://www.britishcycling.org.uk/points?person_id=891408&amp;year=2022&amp;type=national&amp;d=6","Results")</f>
        <v/>
      </c>
    </row>
    <row r="619">
      <c r="A619" t="inlineStr">
        <is>
          <t>618</t>
        </is>
      </c>
      <c r="B619" t="inlineStr">
        <is>
          <t>Theodor Obholzer</t>
        </is>
      </c>
      <c r="C619" t="inlineStr">
        <is>
          <t>Saint Piran</t>
        </is>
      </c>
      <c r="D619" t="inlineStr">
        <is>
          <t>1</t>
        </is>
      </c>
      <c r="E619">
        <f>HYPERLINK("https://www.britishcycling.org.uk/points?person_id=770025&amp;year=2022&amp;type=national&amp;d=6","Results")</f>
        <v/>
      </c>
    </row>
    <row r="620">
      <c r="A620" t="inlineStr">
        <is>
          <t>619</t>
        </is>
      </c>
      <c r="B620" t="inlineStr">
        <is>
          <t>Frank Pilkington</t>
        </is>
      </c>
      <c r="C620" t="inlineStr"/>
      <c r="D620" t="inlineStr">
        <is>
          <t>1</t>
        </is>
      </c>
      <c r="E620">
        <f>HYPERLINK("https://www.britishcycling.org.uk/points?person_id=131544&amp;year=2022&amp;type=national&amp;d=6","Results")</f>
        <v/>
      </c>
    </row>
    <row r="621">
      <c r="A621" t="inlineStr">
        <is>
          <t>620</t>
        </is>
      </c>
      <c r="B621" t="inlineStr">
        <is>
          <t>Andy Richardson</t>
        </is>
      </c>
      <c r="C621" t="inlineStr">
        <is>
          <t>Muckle Cycle Club</t>
        </is>
      </c>
      <c r="D621" t="inlineStr">
        <is>
          <t>1</t>
        </is>
      </c>
      <c r="E621">
        <f>HYPERLINK("https://www.britishcycling.org.uk/points?person_id=753853&amp;year=2022&amp;type=national&amp;d=6","Results")</f>
        <v/>
      </c>
    </row>
    <row r="622">
      <c r="A622" t="inlineStr">
        <is>
          <t>621</t>
        </is>
      </c>
      <c r="B622" t="inlineStr">
        <is>
          <t>Matthew Saunders</t>
        </is>
      </c>
      <c r="C622" t="inlineStr">
        <is>
          <t>Beeston Cycling Club</t>
        </is>
      </c>
      <c r="D622" t="inlineStr">
        <is>
          <t>1</t>
        </is>
      </c>
      <c r="E622">
        <f>HYPERLINK("https://www.britishcycling.org.uk/points?person_id=1048958&amp;year=2022&amp;type=national&amp;d=6","Results")</f>
        <v/>
      </c>
    </row>
    <row r="623">
      <c r="A623" t="inlineStr">
        <is>
          <t>622</t>
        </is>
      </c>
      <c r="B623" t="inlineStr">
        <is>
          <t>Beau Smith</t>
        </is>
      </c>
      <c r="C623" t="inlineStr"/>
      <c r="D623" t="inlineStr">
        <is>
          <t>1</t>
        </is>
      </c>
      <c r="E623">
        <f>HYPERLINK("https://www.britishcycling.org.uk/points?person_id=33253&amp;year=2022&amp;type=national&amp;d=6","Results")</f>
        <v/>
      </c>
    </row>
    <row r="624">
      <c r="A624" t="inlineStr">
        <is>
          <t>623</t>
        </is>
      </c>
      <c r="B624" t="inlineStr">
        <is>
          <t>Harry Walshaw</t>
        </is>
      </c>
      <c r="C624" t="inlineStr">
        <is>
          <t>Shibden Cycling Club</t>
        </is>
      </c>
      <c r="D624" t="inlineStr">
        <is>
          <t>1</t>
        </is>
      </c>
      <c r="E624">
        <f>HYPERLINK("https://www.britishcycling.org.uk/points?person_id=102973&amp;year=2022&amp;type=national&amp;d=6","Results")</f>
        <v/>
      </c>
    </row>
    <row r="625">
      <c r="A625" t="inlineStr">
        <is>
          <t>624</t>
        </is>
      </c>
      <c r="B625" t="inlineStr">
        <is>
          <t>Alex Windett</t>
        </is>
      </c>
      <c r="C625" t="inlineStr">
        <is>
          <t>Dulwich Paragon CC</t>
        </is>
      </c>
      <c r="D625" t="inlineStr">
        <is>
          <t>1</t>
        </is>
      </c>
      <c r="E625">
        <f>HYPERLINK("https://www.britishcycling.org.uk/points?person_id=631828&amp;year=2022&amp;type=national&amp;d=6","Results")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Tony Fawcett</t>
        </is>
      </c>
      <c r="C2" t="inlineStr">
        <is>
          <t>SCOTT Racing</t>
        </is>
      </c>
      <c r="D2" t="inlineStr">
        <is>
          <t>554</t>
        </is>
      </c>
      <c r="E2">
        <f>HYPERLINK("https://www.britishcycling.org.uk/points?person_id=17723&amp;year=2022&amp;type=national&amp;d=6","Results")</f>
        <v/>
      </c>
    </row>
    <row r="3">
      <c r="A3" t="inlineStr">
        <is>
          <t>2</t>
        </is>
      </c>
      <c r="B3" t="inlineStr">
        <is>
          <t>Alan Gunner</t>
        </is>
      </c>
      <c r="C3" t="inlineStr">
        <is>
          <t>Verulam - reallymoving.com</t>
        </is>
      </c>
      <c r="D3" t="inlineStr">
        <is>
          <t>470</t>
        </is>
      </c>
      <c r="E3">
        <f>HYPERLINK("https://www.britishcycling.org.uk/points?person_id=875411&amp;year=2022&amp;type=national&amp;d=6","Results")</f>
        <v/>
      </c>
    </row>
    <row r="4">
      <c r="A4" t="inlineStr">
        <is>
          <t>3</t>
        </is>
      </c>
      <c r="B4" t="inlineStr">
        <is>
          <t>Paul Lloyd</t>
        </is>
      </c>
      <c r="C4" t="inlineStr"/>
      <c r="D4" t="inlineStr">
        <is>
          <t>458</t>
        </is>
      </c>
      <c r="E4">
        <f>HYPERLINK("https://www.britishcycling.org.uk/points?person_id=64633&amp;year=2022&amp;type=national&amp;d=6","Results")</f>
        <v/>
      </c>
    </row>
    <row r="5">
      <c r="A5" t="inlineStr">
        <is>
          <t>4</t>
        </is>
      </c>
      <c r="B5" t="inlineStr">
        <is>
          <t>David Earth</t>
        </is>
      </c>
      <c r="C5" t="inlineStr">
        <is>
          <t>Rose Race Team</t>
        </is>
      </c>
      <c r="D5" t="inlineStr">
        <is>
          <t>410</t>
        </is>
      </c>
      <c r="E5">
        <f>HYPERLINK("https://www.britishcycling.org.uk/points?person_id=63660&amp;year=2022&amp;type=national&amp;d=6","Results")</f>
        <v/>
      </c>
    </row>
    <row r="6">
      <c r="A6" t="inlineStr">
        <is>
          <t>5</t>
        </is>
      </c>
      <c r="B6" t="inlineStr">
        <is>
          <t>Lewys Hobbs</t>
        </is>
      </c>
      <c r="C6" t="inlineStr">
        <is>
          <t>UF Rowe &amp; King</t>
        </is>
      </c>
      <c r="D6" t="inlineStr">
        <is>
          <t>380</t>
        </is>
      </c>
      <c r="E6">
        <f>HYPERLINK("https://www.britishcycling.org.uk/points?person_id=17464&amp;year=2022&amp;type=national&amp;d=6","Results")</f>
        <v/>
      </c>
    </row>
    <row r="7">
      <c r="A7" t="inlineStr">
        <is>
          <t>6</t>
        </is>
      </c>
      <c r="B7" t="inlineStr">
        <is>
          <t>Gareth Whittall</t>
        </is>
      </c>
      <c r="C7" t="inlineStr"/>
      <c r="D7" t="inlineStr">
        <is>
          <t>373</t>
        </is>
      </c>
      <c r="E7">
        <f>HYPERLINK("https://www.britishcycling.org.uk/points?person_id=721&amp;year=2022&amp;type=national&amp;d=6","Results")</f>
        <v/>
      </c>
    </row>
    <row r="8">
      <c r="A8" t="inlineStr">
        <is>
          <t>7</t>
        </is>
      </c>
      <c r="B8" t="inlineStr">
        <is>
          <t>Stephen Gibson</t>
        </is>
      </c>
      <c r="C8" t="inlineStr">
        <is>
          <t>4T+ Cyclopark</t>
        </is>
      </c>
      <c r="D8" t="inlineStr">
        <is>
          <t>351</t>
        </is>
      </c>
      <c r="E8">
        <f>HYPERLINK("https://www.britishcycling.org.uk/points?person_id=325174&amp;year=2022&amp;type=national&amp;d=6","Results")</f>
        <v/>
      </c>
    </row>
    <row r="9">
      <c r="A9" t="inlineStr">
        <is>
          <t>8</t>
        </is>
      </c>
      <c r="B9" t="inlineStr">
        <is>
          <t>Adrian Lansley</t>
        </is>
      </c>
      <c r="C9" t="inlineStr">
        <is>
          <t>Pedalon.co.uk</t>
        </is>
      </c>
      <c r="D9" t="inlineStr">
        <is>
          <t>348</t>
        </is>
      </c>
      <c r="E9">
        <f>HYPERLINK("https://www.britishcycling.org.uk/points?person_id=29240&amp;year=2022&amp;type=national&amp;d=6","Results")</f>
        <v/>
      </c>
    </row>
    <row r="10">
      <c r="A10" t="inlineStr">
        <is>
          <t>9</t>
        </is>
      </c>
      <c r="B10" t="inlineStr">
        <is>
          <t>James Sharp</t>
        </is>
      </c>
      <c r="C10" t="inlineStr">
        <is>
          <t>Clifton CC</t>
        </is>
      </c>
      <c r="D10" t="inlineStr">
        <is>
          <t>340</t>
        </is>
      </c>
      <c r="E10">
        <f>HYPERLINK("https://www.britishcycling.org.uk/points?person_id=68389&amp;year=2022&amp;type=national&amp;d=6","Results")</f>
        <v/>
      </c>
    </row>
    <row r="11">
      <c r="A11" t="inlineStr">
        <is>
          <t>10</t>
        </is>
      </c>
      <c r="B11" t="inlineStr">
        <is>
          <t>James Allaway</t>
        </is>
      </c>
      <c r="C11" t="inlineStr">
        <is>
          <t>Pedalon.co.uk</t>
        </is>
      </c>
      <c r="D11" t="inlineStr">
        <is>
          <t>338</t>
        </is>
      </c>
      <c r="E11">
        <f>HYPERLINK("https://www.britishcycling.org.uk/points?person_id=323426&amp;year=2022&amp;type=national&amp;d=6","Results")</f>
        <v/>
      </c>
    </row>
    <row r="12">
      <c r="A12" t="inlineStr">
        <is>
          <t>11</t>
        </is>
      </c>
      <c r="B12" t="inlineStr">
        <is>
          <t>Philip Hinch</t>
        </is>
      </c>
      <c r="C12" t="inlineStr">
        <is>
          <t>Stourbridge Velo</t>
        </is>
      </c>
      <c r="D12" t="inlineStr">
        <is>
          <t>336</t>
        </is>
      </c>
      <c r="E12">
        <f>HYPERLINK("https://www.britishcycling.org.uk/points?person_id=74028&amp;year=2022&amp;type=national&amp;d=6","Results")</f>
        <v/>
      </c>
    </row>
    <row r="13">
      <c r="A13" t="inlineStr">
        <is>
          <t>12</t>
        </is>
      </c>
      <c r="B13" t="inlineStr">
        <is>
          <t>Lewis Craven</t>
        </is>
      </c>
      <c r="C13" t="inlineStr">
        <is>
          <t>Wheelbase CabTech Castelli</t>
        </is>
      </c>
      <c r="D13" t="inlineStr">
        <is>
          <t>332</t>
        </is>
      </c>
      <c r="E13">
        <f>HYPERLINK("https://www.britishcycling.org.uk/points?person_id=79292&amp;year=2022&amp;type=national&amp;d=6","Results")</f>
        <v/>
      </c>
    </row>
    <row r="14">
      <c r="A14" t="inlineStr">
        <is>
          <t>13</t>
        </is>
      </c>
      <c r="B14" t="inlineStr">
        <is>
          <t>Philip Holwell</t>
        </is>
      </c>
      <c r="C14" t="inlineStr">
        <is>
          <t>www.Zepnat.com RT - Lazer helmets</t>
        </is>
      </c>
      <c r="D14" t="inlineStr">
        <is>
          <t>330</t>
        </is>
      </c>
      <c r="E14">
        <f>HYPERLINK("https://www.britishcycling.org.uk/points?person_id=20732&amp;year=2022&amp;type=national&amp;d=6","Results")</f>
        <v/>
      </c>
    </row>
    <row r="15">
      <c r="A15" t="inlineStr">
        <is>
          <t>14</t>
        </is>
      </c>
      <c r="B15" t="inlineStr">
        <is>
          <t>Malcolm Bain</t>
        </is>
      </c>
      <c r="C15" t="inlineStr">
        <is>
          <t>Granite City RT</t>
        </is>
      </c>
      <c r="D15" t="inlineStr">
        <is>
          <t>311</t>
        </is>
      </c>
      <c r="E15">
        <f>HYPERLINK("https://www.britishcycling.org.uk/points?person_id=372693&amp;year=2022&amp;type=national&amp;d=6","Results")</f>
        <v/>
      </c>
    </row>
    <row r="16">
      <c r="A16" t="inlineStr">
        <is>
          <t>15</t>
        </is>
      </c>
      <c r="B16" t="inlineStr">
        <is>
          <t>Crispin Doyle</t>
        </is>
      </c>
      <c r="C16" t="inlineStr">
        <is>
          <t>Magspeed Racing</t>
        </is>
      </c>
      <c r="D16" t="inlineStr">
        <is>
          <t>310</t>
        </is>
      </c>
      <c r="E16">
        <f>HYPERLINK("https://www.britishcycling.org.uk/points?person_id=3157&amp;year=2022&amp;type=national&amp;d=6","Results")</f>
        <v/>
      </c>
    </row>
    <row r="17">
      <c r="A17" t="inlineStr">
        <is>
          <t>16</t>
        </is>
      </c>
      <c r="B17" t="inlineStr">
        <is>
          <t>Neil Ellison</t>
        </is>
      </c>
      <c r="C17" t="inlineStr">
        <is>
          <t>Specialized Ruislip</t>
        </is>
      </c>
      <c r="D17" t="inlineStr">
        <is>
          <t>308</t>
        </is>
      </c>
      <c r="E17">
        <f>HYPERLINK("https://www.britishcycling.org.uk/points?person_id=29789&amp;year=2022&amp;type=national&amp;d=6","Results")</f>
        <v/>
      </c>
    </row>
    <row r="18">
      <c r="A18" t="inlineStr">
        <is>
          <t>17</t>
        </is>
      </c>
      <c r="B18" t="inlineStr">
        <is>
          <t>David Lines</t>
        </is>
      </c>
      <c r="C18" t="inlineStr">
        <is>
          <t>Wheelbase CabTech Castelli</t>
        </is>
      </c>
      <c r="D18" t="inlineStr">
        <is>
          <t>299</t>
        </is>
      </c>
      <c r="E18">
        <f>HYPERLINK("https://www.britishcycling.org.uk/points?person_id=27371&amp;year=2022&amp;type=national&amp;d=6","Results")</f>
        <v/>
      </c>
    </row>
    <row r="19">
      <c r="A19" t="inlineStr">
        <is>
          <t>18</t>
        </is>
      </c>
      <c r="B19" t="inlineStr">
        <is>
          <t>Jonathan Gregory</t>
        </is>
      </c>
      <c r="C19" t="inlineStr"/>
      <c r="D19" t="inlineStr">
        <is>
          <t>296</t>
        </is>
      </c>
      <c r="E19">
        <f>HYPERLINK("https://www.britishcycling.org.uk/points?person_id=107184&amp;year=2022&amp;type=national&amp;d=6","Results")</f>
        <v/>
      </c>
    </row>
    <row r="20">
      <c r="A20" t="inlineStr">
        <is>
          <t>19</t>
        </is>
      </c>
      <c r="B20" t="inlineStr">
        <is>
          <t>Paul Oldham</t>
        </is>
      </c>
      <c r="C20" t="inlineStr">
        <is>
          <t>Hope Factory Racing</t>
        </is>
      </c>
      <c r="D20" t="inlineStr">
        <is>
          <t>296</t>
        </is>
      </c>
      <c r="E20">
        <f>HYPERLINK("https://www.britishcycling.org.uk/points?person_id=7344&amp;year=2022&amp;type=national&amp;d=6","Results")</f>
        <v/>
      </c>
    </row>
    <row r="21">
      <c r="A21" t="inlineStr">
        <is>
          <t>20</t>
        </is>
      </c>
      <c r="B21" t="inlineStr">
        <is>
          <t>Jules Birks</t>
        </is>
      </c>
      <c r="C21" t="inlineStr">
        <is>
          <t>VC Londres</t>
        </is>
      </c>
      <c r="D21" t="inlineStr">
        <is>
          <t>294</t>
        </is>
      </c>
      <c r="E21">
        <f>HYPERLINK("https://www.britishcycling.org.uk/points?person_id=7809&amp;year=2022&amp;type=national&amp;d=6","Results")</f>
        <v/>
      </c>
    </row>
    <row r="22">
      <c r="A22" t="inlineStr">
        <is>
          <t>21</t>
        </is>
      </c>
      <c r="B22" t="inlineStr">
        <is>
          <t>Andrew Wearing</t>
        </is>
      </c>
      <c r="C22" t="inlineStr">
        <is>
          <t>Mike Vaughan Cycles</t>
        </is>
      </c>
      <c r="D22" t="inlineStr">
        <is>
          <t>284</t>
        </is>
      </c>
      <c r="E22">
        <f>HYPERLINK("https://www.britishcycling.org.uk/points?person_id=9842&amp;year=2022&amp;type=national&amp;d=6","Results")</f>
        <v/>
      </c>
    </row>
    <row r="23">
      <c r="A23" t="inlineStr">
        <is>
          <t>22</t>
        </is>
      </c>
      <c r="B23" t="inlineStr">
        <is>
          <t>Matt Lawton</t>
        </is>
      </c>
      <c r="C23" t="inlineStr">
        <is>
          <t>Macclesfield Wheelers</t>
        </is>
      </c>
      <c r="D23" t="inlineStr">
        <is>
          <t>283</t>
        </is>
      </c>
      <c r="E23">
        <f>HYPERLINK("https://www.britishcycling.org.uk/points?person_id=126705&amp;year=2022&amp;type=national&amp;d=6","Results")</f>
        <v/>
      </c>
    </row>
    <row r="24">
      <c r="A24" t="inlineStr">
        <is>
          <t>23</t>
        </is>
      </c>
      <c r="B24" t="inlineStr">
        <is>
          <t>Robert Jebb</t>
        </is>
      </c>
      <c r="C24" t="inlineStr">
        <is>
          <t>Hope Factory Racing</t>
        </is>
      </c>
      <c r="D24" t="inlineStr">
        <is>
          <t>276</t>
        </is>
      </c>
      <c r="E24">
        <f>HYPERLINK("https://www.britishcycling.org.uk/points?person_id=39724&amp;year=2022&amp;type=national&amp;d=6","Results")</f>
        <v/>
      </c>
    </row>
    <row r="25">
      <c r="A25" t="inlineStr">
        <is>
          <t>24</t>
        </is>
      </c>
      <c r="B25" t="inlineStr">
        <is>
          <t>Paul Groombridge</t>
        </is>
      </c>
      <c r="C25" t="inlineStr">
        <is>
          <t>Epic Orange Race Team</t>
        </is>
      </c>
      <c r="D25" t="inlineStr">
        <is>
          <t>259</t>
        </is>
      </c>
      <c r="E25">
        <f>HYPERLINK("https://www.britishcycling.org.uk/points?person_id=251051&amp;year=2022&amp;type=national&amp;d=6","Results")</f>
        <v/>
      </c>
    </row>
    <row r="26">
      <c r="A26" t="inlineStr">
        <is>
          <t>25</t>
        </is>
      </c>
      <c r="B26" t="inlineStr">
        <is>
          <t>Tom Budden</t>
        </is>
      </c>
      <c r="C26" t="inlineStr">
        <is>
          <t>Sotonia CC</t>
        </is>
      </c>
      <c r="D26" t="inlineStr">
        <is>
          <t>256</t>
        </is>
      </c>
      <c r="E26">
        <f>HYPERLINK("https://www.britishcycling.org.uk/points?person_id=34557&amp;year=2022&amp;type=national&amp;d=6","Results")</f>
        <v/>
      </c>
    </row>
    <row r="27">
      <c r="A27" t="inlineStr">
        <is>
          <t>26</t>
        </is>
      </c>
      <c r="B27" t="inlineStr">
        <is>
          <t>James Furniss</t>
        </is>
      </c>
      <c r="C27" t="inlineStr">
        <is>
          <t>www.Zepnat.com RT - Lazer helmets</t>
        </is>
      </c>
      <c r="D27" t="inlineStr">
        <is>
          <t>252</t>
        </is>
      </c>
      <c r="E27">
        <f>HYPERLINK("https://www.britishcycling.org.uk/points?person_id=32992&amp;year=2022&amp;type=national&amp;d=6","Results")</f>
        <v/>
      </c>
    </row>
    <row r="28">
      <c r="A28" t="inlineStr">
        <is>
          <t>27</t>
        </is>
      </c>
      <c r="B28" t="inlineStr">
        <is>
          <t>Ian Crocker</t>
        </is>
      </c>
      <c r="C28" t="inlineStr"/>
      <c r="D28" t="inlineStr">
        <is>
          <t>251</t>
        </is>
      </c>
      <c r="E28">
        <f>HYPERLINK("https://www.britishcycling.org.uk/points?person_id=727816&amp;year=2022&amp;type=national&amp;d=6","Results")</f>
        <v/>
      </c>
    </row>
    <row r="29">
      <c r="A29" t="inlineStr">
        <is>
          <t>28</t>
        </is>
      </c>
      <c r="B29" t="inlineStr">
        <is>
          <t>Richard Middleton</t>
        </is>
      </c>
      <c r="C29" t="inlineStr">
        <is>
          <t>Shibden Cycling Club</t>
        </is>
      </c>
      <c r="D29" t="inlineStr">
        <is>
          <t>251</t>
        </is>
      </c>
      <c r="E29">
        <f>HYPERLINK("https://www.britishcycling.org.uk/points?person_id=315217&amp;year=2022&amp;type=national&amp;d=6","Results")</f>
        <v/>
      </c>
    </row>
    <row r="30">
      <c r="A30" t="inlineStr">
        <is>
          <t>29</t>
        </is>
      </c>
      <c r="B30" t="inlineStr">
        <is>
          <t>Dean Hitchings</t>
        </is>
      </c>
      <c r="C30" t="inlineStr">
        <is>
          <t>Cotswold Cycles RT</t>
        </is>
      </c>
      <c r="D30" t="inlineStr">
        <is>
          <t>250</t>
        </is>
      </c>
      <c r="E30">
        <f>HYPERLINK("https://www.britishcycling.org.uk/points?person_id=15620&amp;year=2022&amp;type=national&amp;d=6","Results")</f>
        <v/>
      </c>
    </row>
    <row r="31">
      <c r="A31" t="inlineStr">
        <is>
          <t>30</t>
        </is>
      </c>
      <c r="B31" t="inlineStr">
        <is>
          <t>Chris Ames</t>
        </is>
      </c>
      <c r="C31" t="inlineStr">
        <is>
          <t>Newport Phoenix CC</t>
        </is>
      </c>
      <c r="D31" t="inlineStr">
        <is>
          <t>247</t>
        </is>
      </c>
      <c r="E31">
        <f>HYPERLINK("https://www.britishcycling.org.uk/points?person_id=12397&amp;year=2022&amp;type=national&amp;d=6","Results")</f>
        <v/>
      </c>
    </row>
    <row r="32">
      <c r="A32" t="inlineStr">
        <is>
          <t>31</t>
        </is>
      </c>
      <c r="B32" t="inlineStr">
        <is>
          <t>Arwel Davies</t>
        </is>
      </c>
      <c r="C32" t="inlineStr">
        <is>
          <t>Towy Riders</t>
        </is>
      </c>
      <c r="D32" t="inlineStr">
        <is>
          <t>246</t>
        </is>
      </c>
      <c r="E32">
        <f>HYPERLINK("https://www.britishcycling.org.uk/points?person_id=26403&amp;year=2022&amp;type=national&amp;d=6","Results")</f>
        <v/>
      </c>
    </row>
    <row r="33">
      <c r="A33" t="inlineStr">
        <is>
          <t>32</t>
        </is>
      </c>
      <c r="B33" t="inlineStr">
        <is>
          <t>Glyndwr Griffiths</t>
        </is>
      </c>
      <c r="C33" t="inlineStr">
        <is>
          <t>WestSide Coaching</t>
        </is>
      </c>
      <c r="D33" t="inlineStr">
        <is>
          <t>246</t>
        </is>
      </c>
      <c r="E33">
        <f>HYPERLINK("https://www.britishcycling.org.uk/points?person_id=63645&amp;year=2022&amp;type=national&amp;d=6","Results")</f>
        <v/>
      </c>
    </row>
    <row r="34">
      <c r="A34" t="inlineStr">
        <is>
          <t>33</t>
        </is>
      </c>
      <c r="B34" t="inlineStr">
        <is>
          <t>Andrew Taylor</t>
        </is>
      </c>
      <c r="C34" t="inlineStr">
        <is>
          <t>Destination Bike RT</t>
        </is>
      </c>
      <c r="D34" t="inlineStr">
        <is>
          <t>246</t>
        </is>
      </c>
      <c r="E34">
        <f>HYPERLINK("https://www.britishcycling.org.uk/points?person_id=52929&amp;year=2022&amp;type=national&amp;d=6","Results")</f>
        <v/>
      </c>
    </row>
    <row r="35">
      <c r="A35" t="inlineStr">
        <is>
          <t>34</t>
        </is>
      </c>
      <c r="B35" t="inlineStr">
        <is>
          <t>James Dear</t>
        </is>
      </c>
      <c r="C35" t="inlineStr">
        <is>
          <t>Destination Bike RT</t>
        </is>
      </c>
      <c r="D35" t="inlineStr">
        <is>
          <t>241</t>
        </is>
      </c>
      <c r="E35">
        <f>HYPERLINK("https://www.britishcycling.org.uk/points?person_id=71029&amp;year=2022&amp;type=national&amp;d=6","Results")</f>
        <v/>
      </c>
    </row>
    <row r="36">
      <c r="A36" t="inlineStr">
        <is>
          <t>35</t>
        </is>
      </c>
      <c r="B36" t="inlineStr">
        <is>
          <t>James Moore</t>
        </is>
      </c>
      <c r="C36" t="inlineStr">
        <is>
          <t>Welland Valley CC</t>
        </is>
      </c>
      <c r="D36" t="inlineStr">
        <is>
          <t>238</t>
        </is>
      </c>
      <c r="E36">
        <f>HYPERLINK("https://www.britishcycling.org.uk/points?person_id=48778&amp;year=2022&amp;type=national&amp;d=6","Results")</f>
        <v/>
      </c>
    </row>
    <row r="37">
      <c r="A37" t="inlineStr">
        <is>
          <t>36</t>
        </is>
      </c>
      <c r="B37" t="inlineStr">
        <is>
          <t>David Ogden</t>
        </is>
      </c>
      <c r="C37" t="inlineStr">
        <is>
          <t>Deeside Thistle CC</t>
        </is>
      </c>
      <c r="D37" t="inlineStr">
        <is>
          <t>238</t>
        </is>
      </c>
      <c r="E37">
        <f>HYPERLINK("https://www.britishcycling.org.uk/points?person_id=856762&amp;year=2022&amp;type=national&amp;d=6","Results")</f>
        <v/>
      </c>
    </row>
    <row r="38">
      <c r="A38" t="inlineStr">
        <is>
          <t>37</t>
        </is>
      </c>
      <c r="B38" t="inlineStr">
        <is>
          <t>Jason Painton</t>
        </is>
      </c>
      <c r="C38" t="inlineStr">
        <is>
          <t>Cotswold Cycles RT</t>
        </is>
      </c>
      <c r="D38" t="inlineStr">
        <is>
          <t>233</t>
        </is>
      </c>
      <c r="E38">
        <f>HYPERLINK("https://www.britishcycling.org.uk/points?person_id=29009&amp;year=2022&amp;type=national&amp;d=6","Results")</f>
        <v/>
      </c>
    </row>
    <row r="39">
      <c r="A39" t="inlineStr">
        <is>
          <t>38</t>
        </is>
      </c>
      <c r="B39" t="inlineStr">
        <is>
          <t>Matt J Smith</t>
        </is>
      </c>
      <c r="C39" t="inlineStr">
        <is>
          <t>WDMBC</t>
        </is>
      </c>
      <c r="D39" t="inlineStr">
        <is>
          <t>232</t>
        </is>
      </c>
      <c r="E39">
        <f>HYPERLINK("https://www.britishcycling.org.uk/points?person_id=458925&amp;year=2022&amp;type=national&amp;d=6","Results")</f>
        <v/>
      </c>
    </row>
    <row r="40">
      <c r="A40" t="inlineStr">
        <is>
          <t>39</t>
        </is>
      </c>
      <c r="B40" t="inlineStr">
        <is>
          <t>David Beachill</t>
        </is>
      </c>
      <c r="C40" t="inlineStr">
        <is>
          <t>Geared Up Apex RT</t>
        </is>
      </c>
      <c r="D40" t="inlineStr">
        <is>
          <t>229</t>
        </is>
      </c>
      <c r="E40">
        <f>HYPERLINK("https://www.britishcycling.org.uk/points?person_id=172147&amp;year=2022&amp;type=national&amp;d=6","Results")</f>
        <v/>
      </c>
    </row>
    <row r="41">
      <c r="A41" t="inlineStr">
        <is>
          <t>40</t>
        </is>
      </c>
      <c r="B41" t="inlineStr">
        <is>
          <t>Scott Smith</t>
        </is>
      </c>
      <c r="C41" t="inlineStr"/>
      <c r="D41" t="inlineStr">
        <is>
          <t>224</t>
        </is>
      </c>
      <c r="E41">
        <f>HYPERLINK("https://www.britishcycling.org.uk/points?person_id=150658&amp;year=2022&amp;type=national&amp;d=6","Results")</f>
        <v/>
      </c>
    </row>
    <row r="42">
      <c r="A42" t="inlineStr">
        <is>
          <t>41</t>
        </is>
      </c>
      <c r="B42" t="inlineStr">
        <is>
          <t>Mark Calvert</t>
        </is>
      </c>
      <c r="C42" t="inlineStr">
        <is>
          <t>CC Luton</t>
        </is>
      </c>
      <c r="D42" t="inlineStr">
        <is>
          <t>220</t>
        </is>
      </c>
      <c r="E42">
        <f>HYPERLINK("https://www.britishcycling.org.uk/points?person_id=296682&amp;year=2022&amp;type=national&amp;d=6","Results")</f>
        <v/>
      </c>
    </row>
    <row r="43">
      <c r="A43" t="inlineStr">
        <is>
          <t>42</t>
        </is>
      </c>
      <c r="B43" t="inlineStr">
        <is>
          <t>Chris Mather</t>
        </is>
      </c>
      <c r="C43" t="inlineStr">
        <is>
          <t>Derwentside CC</t>
        </is>
      </c>
      <c r="D43" t="inlineStr">
        <is>
          <t>220</t>
        </is>
      </c>
      <c r="E43">
        <f>HYPERLINK("https://www.britishcycling.org.uk/points?person_id=26427&amp;year=2022&amp;type=national&amp;d=6","Results")</f>
        <v/>
      </c>
    </row>
    <row r="44">
      <c r="A44" t="inlineStr">
        <is>
          <t>43</t>
        </is>
      </c>
      <c r="B44" t="inlineStr">
        <is>
          <t>Richard Shephard</t>
        </is>
      </c>
      <c r="C44" t="inlineStr">
        <is>
          <t>Stratford CC</t>
        </is>
      </c>
      <c r="D44" t="inlineStr">
        <is>
          <t>220</t>
        </is>
      </c>
      <c r="E44">
        <f>HYPERLINK("https://www.britishcycling.org.uk/points?person_id=274680&amp;year=2022&amp;type=national&amp;d=6","Results")</f>
        <v/>
      </c>
    </row>
    <row r="45">
      <c r="A45" t="inlineStr">
        <is>
          <t>44</t>
        </is>
      </c>
      <c r="B45" t="inlineStr">
        <is>
          <t>Alan Nixon</t>
        </is>
      </c>
      <c r="C45" t="inlineStr">
        <is>
          <t>Fietsen Tempo</t>
        </is>
      </c>
      <c r="D45" t="inlineStr">
        <is>
          <t>218</t>
        </is>
      </c>
      <c r="E45">
        <f>HYPERLINK("https://www.britishcycling.org.uk/points?person_id=63568&amp;year=2022&amp;type=national&amp;d=6","Results")</f>
        <v/>
      </c>
    </row>
    <row r="46">
      <c r="A46" t="inlineStr">
        <is>
          <t>45</t>
        </is>
      </c>
      <c r="B46" t="inlineStr">
        <is>
          <t>Martin Kennedy</t>
        </is>
      </c>
      <c r="C46" t="inlineStr">
        <is>
          <t>Ellmore Factory Racing</t>
        </is>
      </c>
      <c r="D46" t="inlineStr">
        <is>
          <t>216</t>
        </is>
      </c>
      <c r="E46">
        <f>HYPERLINK("https://www.britishcycling.org.uk/points?person_id=48856&amp;year=2022&amp;type=national&amp;d=6","Results")</f>
        <v/>
      </c>
    </row>
    <row r="47">
      <c r="A47" t="inlineStr">
        <is>
          <t>46</t>
        </is>
      </c>
      <c r="B47" t="inlineStr">
        <is>
          <t>Chris Thomas</t>
        </is>
      </c>
      <c r="C47" t="inlineStr">
        <is>
          <t>North Cheshire Clarion</t>
        </is>
      </c>
      <c r="D47" t="inlineStr">
        <is>
          <t>216</t>
        </is>
      </c>
      <c r="E47">
        <f>HYPERLINK("https://www.britishcycling.org.uk/points?person_id=32234&amp;year=2022&amp;type=national&amp;d=6","Results")</f>
        <v/>
      </c>
    </row>
    <row r="48">
      <c r="A48" t="inlineStr">
        <is>
          <t>47</t>
        </is>
      </c>
      <c r="B48" t="inlineStr">
        <is>
          <t>Oliver Yates</t>
        </is>
      </c>
      <c r="C48" t="inlineStr">
        <is>
          <t>Southfork Racing.co.uk</t>
        </is>
      </c>
      <c r="D48" t="inlineStr">
        <is>
          <t>215</t>
        </is>
      </c>
      <c r="E48">
        <f>HYPERLINK("https://www.britishcycling.org.uk/points?person_id=132173&amp;year=2022&amp;type=national&amp;d=6","Results")</f>
        <v/>
      </c>
    </row>
    <row r="49">
      <c r="A49" t="inlineStr">
        <is>
          <t>48</t>
        </is>
      </c>
      <c r="B49" t="inlineStr">
        <is>
          <t>Keith Watson</t>
        </is>
      </c>
      <c r="C49" t="inlineStr">
        <is>
          <t>VC Deal</t>
        </is>
      </c>
      <c r="D49" t="inlineStr">
        <is>
          <t>213</t>
        </is>
      </c>
      <c r="E49">
        <f>HYPERLINK("https://www.britishcycling.org.uk/points?person_id=248933&amp;year=2022&amp;type=national&amp;d=6","Results")</f>
        <v/>
      </c>
    </row>
    <row r="50">
      <c r="A50" t="inlineStr">
        <is>
          <t>49</t>
        </is>
      </c>
      <c r="B50" t="inlineStr">
        <is>
          <t>Nick Drew</t>
        </is>
      </c>
      <c r="C50" t="inlineStr">
        <is>
          <t>Dyson Cycles</t>
        </is>
      </c>
      <c r="D50" t="inlineStr">
        <is>
          <t>209</t>
        </is>
      </c>
      <c r="E50">
        <f>HYPERLINK("https://www.britishcycling.org.uk/points?person_id=24300&amp;year=2022&amp;type=national&amp;d=6","Results")</f>
        <v/>
      </c>
    </row>
    <row r="51">
      <c r="A51" t="inlineStr">
        <is>
          <t>50</t>
        </is>
      </c>
      <c r="B51" t="inlineStr">
        <is>
          <t>Alexander Dobiecki</t>
        </is>
      </c>
      <c r="C51" t="inlineStr">
        <is>
          <t>Crawley Wheelers Race Team</t>
        </is>
      </c>
      <c r="D51" t="inlineStr">
        <is>
          <t>208</t>
        </is>
      </c>
      <c r="E51">
        <f>HYPERLINK("https://www.britishcycling.org.uk/points?person_id=457541&amp;year=2022&amp;type=national&amp;d=6","Results")</f>
        <v/>
      </c>
    </row>
    <row r="52">
      <c r="A52" t="inlineStr">
        <is>
          <t>51</t>
        </is>
      </c>
      <c r="B52" t="inlineStr">
        <is>
          <t>Glenn Davey</t>
        </is>
      </c>
      <c r="C52" t="inlineStr">
        <is>
          <t>Stowmarket &amp; District CC</t>
        </is>
      </c>
      <c r="D52" t="inlineStr">
        <is>
          <t>206</t>
        </is>
      </c>
      <c r="E52">
        <f>HYPERLINK("https://www.britishcycling.org.uk/points?person_id=370578&amp;year=2022&amp;type=national&amp;d=6","Results")</f>
        <v/>
      </c>
    </row>
    <row r="53">
      <c r="A53" t="inlineStr">
        <is>
          <t>52</t>
        </is>
      </c>
      <c r="B53" t="inlineStr">
        <is>
          <t>Simon Gibbs</t>
        </is>
      </c>
      <c r="C53" t="inlineStr">
        <is>
          <t>Reifen Racing</t>
        </is>
      </c>
      <c r="D53" t="inlineStr">
        <is>
          <t>202</t>
        </is>
      </c>
      <c r="E53">
        <f>HYPERLINK("https://www.britishcycling.org.uk/points?person_id=376605&amp;year=2022&amp;type=national&amp;d=6","Results")</f>
        <v/>
      </c>
    </row>
    <row r="54">
      <c r="A54" t="inlineStr">
        <is>
          <t>53</t>
        </is>
      </c>
      <c r="B54" t="inlineStr">
        <is>
          <t>David Morris</t>
        </is>
      </c>
      <c r="C54" t="inlineStr">
        <is>
          <t>www.cyclocrossrider.com</t>
        </is>
      </c>
      <c r="D54" t="inlineStr">
        <is>
          <t>202</t>
        </is>
      </c>
      <c r="E54">
        <f>HYPERLINK("https://www.britishcycling.org.uk/points?person_id=29364&amp;year=2022&amp;type=national&amp;d=6","Results")</f>
        <v/>
      </c>
    </row>
    <row r="55">
      <c r="A55" t="inlineStr">
        <is>
          <t>54</t>
        </is>
      </c>
      <c r="B55" t="inlineStr">
        <is>
          <t>Alexander Forrester</t>
        </is>
      </c>
      <c r="C55" t="inlineStr">
        <is>
          <t>www.Zepnat.com RT - Lazer helmets</t>
        </is>
      </c>
      <c r="D55" t="inlineStr">
        <is>
          <t>200</t>
        </is>
      </c>
      <c r="E55">
        <f>HYPERLINK("https://www.britishcycling.org.uk/points?person_id=78224&amp;year=2022&amp;type=national&amp;d=6","Results")</f>
        <v/>
      </c>
    </row>
    <row r="56">
      <c r="A56" t="inlineStr">
        <is>
          <t>55</t>
        </is>
      </c>
      <c r="B56" t="inlineStr">
        <is>
          <t>Graeme Wardale</t>
        </is>
      </c>
      <c r="C56" t="inlineStr"/>
      <c r="D56" t="inlineStr">
        <is>
          <t>200</t>
        </is>
      </c>
      <c r="E56">
        <f>HYPERLINK("https://www.britishcycling.org.uk/points?person_id=563310&amp;year=2022&amp;type=national&amp;d=6","Results")</f>
        <v/>
      </c>
    </row>
    <row r="57">
      <c r="A57" t="inlineStr">
        <is>
          <t>56</t>
        </is>
      </c>
      <c r="B57" t="inlineStr">
        <is>
          <t>Bartlomiej Kieres</t>
        </is>
      </c>
      <c r="C57" t="inlineStr">
        <is>
          <t>Bourne Whls CC</t>
        </is>
      </c>
      <c r="D57" t="inlineStr">
        <is>
          <t>199</t>
        </is>
      </c>
      <c r="E57">
        <f>HYPERLINK("https://www.britishcycling.org.uk/points?person_id=55360&amp;year=2022&amp;type=national&amp;d=6","Results")</f>
        <v/>
      </c>
    </row>
    <row r="58">
      <c r="A58" t="inlineStr">
        <is>
          <t>57</t>
        </is>
      </c>
      <c r="B58" t="inlineStr">
        <is>
          <t>Robert Moore</t>
        </is>
      </c>
      <c r="C58" t="inlineStr">
        <is>
          <t>Welland Valley CC</t>
        </is>
      </c>
      <c r="D58" t="inlineStr">
        <is>
          <t>198</t>
        </is>
      </c>
      <c r="E58">
        <f>HYPERLINK("https://www.britishcycling.org.uk/points?person_id=181012&amp;year=2022&amp;type=national&amp;d=6","Results")</f>
        <v/>
      </c>
    </row>
    <row r="59">
      <c r="A59" t="inlineStr">
        <is>
          <t>58</t>
        </is>
      </c>
      <c r="B59" t="inlineStr">
        <is>
          <t>Andrew Gardiner</t>
        </is>
      </c>
      <c r="C59" t="inlineStr">
        <is>
          <t>Sotonia CC</t>
        </is>
      </c>
      <c r="D59" t="inlineStr">
        <is>
          <t>194</t>
        </is>
      </c>
      <c r="E59">
        <f>HYPERLINK("https://www.britishcycling.org.uk/points?person_id=103693&amp;year=2022&amp;type=national&amp;d=6","Results")</f>
        <v/>
      </c>
    </row>
    <row r="60">
      <c r="A60" t="inlineStr">
        <is>
          <t>59</t>
        </is>
      </c>
      <c r="B60" t="inlineStr">
        <is>
          <t>Peter Kench</t>
        </is>
      </c>
      <c r="C60" t="inlineStr"/>
      <c r="D60" t="inlineStr">
        <is>
          <t>194</t>
        </is>
      </c>
      <c r="E60">
        <f>HYPERLINK("https://www.britishcycling.org.uk/points?person_id=73130&amp;year=2022&amp;type=national&amp;d=6","Results")</f>
        <v/>
      </c>
    </row>
    <row r="61">
      <c r="A61" t="inlineStr">
        <is>
          <t>60</t>
        </is>
      </c>
      <c r="B61" t="inlineStr">
        <is>
          <t>Matthew Lewis</t>
        </is>
      </c>
      <c r="C61" t="inlineStr">
        <is>
          <t>Pontypool RCC</t>
        </is>
      </c>
      <c r="D61" t="inlineStr">
        <is>
          <t>189</t>
        </is>
      </c>
      <c r="E61">
        <f>HYPERLINK("https://www.britishcycling.org.uk/points?person_id=13187&amp;year=2022&amp;type=national&amp;d=6","Results")</f>
        <v/>
      </c>
    </row>
    <row r="62">
      <c r="A62" t="inlineStr">
        <is>
          <t>61</t>
        </is>
      </c>
      <c r="B62" t="inlineStr">
        <is>
          <t>Dominic Rorke</t>
        </is>
      </c>
      <c r="C62" t="inlineStr">
        <is>
          <t>Peebles CC</t>
        </is>
      </c>
      <c r="D62" t="inlineStr">
        <is>
          <t>189</t>
        </is>
      </c>
      <c r="E62">
        <f>HYPERLINK("https://www.britishcycling.org.uk/points?person_id=524367&amp;year=2022&amp;type=national&amp;d=6","Results")</f>
        <v/>
      </c>
    </row>
    <row r="63">
      <c r="A63" t="inlineStr">
        <is>
          <t>62</t>
        </is>
      </c>
      <c r="B63" t="inlineStr">
        <is>
          <t>Daniel Guest</t>
        </is>
      </c>
      <c r="C63" t="inlineStr">
        <is>
          <t>Magspeed Racing</t>
        </is>
      </c>
      <c r="D63" t="inlineStr">
        <is>
          <t>188</t>
        </is>
      </c>
      <c r="E63">
        <f>HYPERLINK("https://www.britishcycling.org.uk/points?person_id=20406&amp;year=2022&amp;type=national&amp;d=6","Results")</f>
        <v/>
      </c>
    </row>
    <row r="64">
      <c r="A64" t="inlineStr">
        <is>
          <t>63</t>
        </is>
      </c>
      <c r="B64" t="inlineStr">
        <is>
          <t>Mark Perry</t>
        </is>
      </c>
      <c r="C64" t="inlineStr">
        <is>
          <t>ViCiOUS VELO</t>
        </is>
      </c>
      <c r="D64" t="inlineStr">
        <is>
          <t>188</t>
        </is>
      </c>
      <c r="E64">
        <f>HYPERLINK("https://www.britishcycling.org.uk/points?person_id=18896&amp;year=2022&amp;type=national&amp;d=6","Results")</f>
        <v/>
      </c>
    </row>
    <row r="65">
      <c r="A65" t="inlineStr">
        <is>
          <t>64</t>
        </is>
      </c>
      <c r="B65" t="inlineStr">
        <is>
          <t>Iain Robertson</t>
        </is>
      </c>
      <c r="C65" t="inlineStr">
        <is>
          <t>Epic Orange Race Team</t>
        </is>
      </c>
      <c r="D65" t="inlineStr">
        <is>
          <t>188</t>
        </is>
      </c>
      <c r="E65">
        <f>HYPERLINK("https://www.britishcycling.org.uk/points?person_id=631552&amp;year=2022&amp;type=national&amp;d=6","Results")</f>
        <v/>
      </c>
    </row>
    <row r="66">
      <c r="A66" t="inlineStr">
        <is>
          <t>65</t>
        </is>
      </c>
      <c r="B66" t="inlineStr">
        <is>
          <t>Andy Green</t>
        </is>
      </c>
      <c r="C66" t="inlineStr">
        <is>
          <t>Iceni Velo</t>
        </is>
      </c>
      <c r="D66" t="inlineStr">
        <is>
          <t>186</t>
        </is>
      </c>
      <c r="E66">
        <f>HYPERLINK("https://www.britishcycling.org.uk/points?person_id=201289&amp;year=2022&amp;type=national&amp;d=6","Results")</f>
        <v/>
      </c>
    </row>
    <row r="67">
      <c r="A67" t="inlineStr">
        <is>
          <t>66</t>
        </is>
      </c>
      <c r="B67" t="inlineStr">
        <is>
          <t>Stuart Nisbett</t>
        </is>
      </c>
      <c r="C67" t="inlineStr">
        <is>
          <t>Crawley Wheelers Race Team</t>
        </is>
      </c>
      <c r="D67" t="inlineStr">
        <is>
          <t>186</t>
        </is>
      </c>
      <c r="E67">
        <f>HYPERLINK("https://www.britishcycling.org.uk/points?person_id=55337&amp;year=2022&amp;type=national&amp;d=6","Results")</f>
        <v/>
      </c>
    </row>
    <row r="68">
      <c r="A68" t="inlineStr">
        <is>
          <t>67</t>
        </is>
      </c>
      <c r="B68" t="inlineStr">
        <is>
          <t>Phillip Glaze</t>
        </is>
      </c>
      <c r="C68" t="inlineStr"/>
      <c r="D68" t="inlineStr">
        <is>
          <t>184</t>
        </is>
      </c>
      <c r="E68">
        <f>HYPERLINK("https://www.britishcycling.org.uk/points?person_id=347498&amp;year=2022&amp;type=national&amp;d=6","Results")</f>
        <v/>
      </c>
    </row>
    <row r="69">
      <c r="A69" t="inlineStr">
        <is>
          <t>68</t>
        </is>
      </c>
      <c r="B69" t="inlineStr">
        <is>
          <t>Dave Powell</t>
        </is>
      </c>
      <c r="C69" t="inlineStr">
        <is>
          <t>Horwich CC</t>
        </is>
      </c>
      <c r="D69" t="inlineStr">
        <is>
          <t>184</t>
        </is>
      </c>
      <c r="E69">
        <f>HYPERLINK("https://www.britishcycling.org.uk/points?person_id=169425&amp;year=2022&amp;type=national&amp;d=6","Results")</f>
        <v/>
      </c>
    </row>
    <row r="70">
      <c r="A70" t="inlineStr">
        <is>
          <t>69</t>
        </is>
      </c>
      <c r="B70" t="inlineStr">
        <is>
          <t>Jonathan Pugh</t>
        </is>
      </c>
      <c r="C70" t="inlineStr">
        <is>
          <t>The Bulls</t>
        </is>
      </c>
      <c r="D70" t="inlineStr">
        <is>
          <t>182</t>
        </is>
      </c>
      <c r="E70">
        <f>HYPERLINK("https://www.britishcycling.org.uk/points?person_id=49273&amp;year=2022&amp;type=national&amp;d=6","Results")</f>
        <v/>
      </c>
    </row>
    <row r="71">
      <c r="A71" t="inlineStr">
        <is>
          <t>70</t>
        </is>
      </c>
      <c r="B71" t="inlineStr">
        <is>
          <t>Scot Easter</t>
        </is>
      </c>
      <c r="C71" t="inlineStr">
        <is>
          <t>Magspeed Racing</t>
        </is>
      </c>
      <c r="D71" t="inlineStr">
        <is>
          <t>180</t>
        </is>
      </c>
      <c r="E71">
        <f>HYPERLINK("https://www.britishcycling.org.uk/points?person_id=10213&amp;year=2022&amp;type=national&amp;d=6","Results")</f>
        <v/>
      </c>
    </row>
    <row r="72">
      <c r="A72" t="inlineStr">
        <is>
          <t>71</t>
        </is>
      </c>
      <c r="B72" t="inlineStr">
        <is>
          <t>Arjan Planting</t>
        </is>
      </c>
      <c r="C72" t="inlineStr">
        <is>
          <t>Dulwich Paragon CC</t>
        </is>
      </c>
      <c r="D72" t="inlineStr">
        <is>
          <t>180</t>
        </is>
      </c>
      <c r="E72">
        <f>HYPERLINK("https://www.britishcycling.org.uk/points?person_id=19900&amp;year=2022&amp;type=national&amp;d=6","Results")</f>
        <v/>
      </c>
    </row>
    <row r="73">
      <c r="A73" t="inlineStr">
        <is>
          <t>72</t>
        </is>
      </c>
      <c r="B73" t="inlineStr">
        <is>
          <t>Ross Tricker</t>
        </is>
      </c>
      <c r="C73" t="inlineStr">
        <is>
          <t>ViCiOUS VELO</t>
        </is>
      </c>
      <c r="D73" t="inlineStr">
        <is>
          <t>178</t>
        </is>
      </c>
      <c r="E73">
        <f>HYPERLINK("https://www.britishcycling.org.uk/points?person_id=16165&amp;year=2022&amp;type=national&amp;d=6","Results")</f>
        <v/>
      </c>
    </row>
    <row r="74">
      <c r="A74" t="inlineStr">
        <is>
          <t>73</t>
        </is>
      </c>
      <c r="B74" t="inlineStr">
        <is>
          <t>Stuart Pryce</t>
        </is>
      </c>
      <c r="C74" t="inlineStr">
        <is>
          <t>DAP Cycling Club</t>
        </is>
      </c>
      <c r="D74" t="inlineStr">
        <is>
          <t>176</t>
        </is>
      </c>
      <c r="E74">
        <f>HYPERLINK("https://www.britishcycling.org.uk/points?person_id=63785&amp;year=2022&amp;type=national&amp;d=6","Results")</f>
        <v/>
      </c>
    </row>
    <row r="75">
      <c r="A75" t="inlineStr">
        <is>
          <t>74</t>
        </is>
      </c>
      <c r="B75" t="inlineStr">
        <is>
          <t>Dave Allen</t>
        </is>
      </c>
      <c r="C75" t="inlineStr">
        <is>
          <t>Alford Wheelers</t>
        </is>
      </c>
      <c r="D75" t="inlineStr">
        <is>
          <t>174</t>
        </is>
      </c>
      <c r="E75">
        <f>HYPERLINK("https://www.britishcycling.org.uk/points?person_id=172366&amp;year=2022&amp;type=national&amp;d=6","Results")</f>
        <v/>
      </c>
    </row>
    <row r="76">
      <c r="A76" t="inlineStr">
        <is>
          <t>75</t>
        </is>
      </c>
      <c r="B76" t="inlineStr">
        <is>
          <t>Ryan Henry</t>
        </is>
      </c>
      <c r="C76" t="inlineStr">
        <is>
          <t>Numplumz Mountainbikers</t>
        </is>
      </c>
      <c r="D76" t="inlineStr">
        <is>
          <t>174</t>
        </is>
      </c>
      <c r="E76">
        <f>HYPERLINK("https://www.britishcycling.org.uk/points?person_id=24371&amp;year=2022&amp;type=national&amp;d=6","Results")</f>
        <v/>
      </c>
    </row>
    <row r="77">
      <c r="A77" t="inlineStr">
        <is>
          <t>76</t>
        </is>
      </c>
      <c r="B77" t="inlineStr">
        <is>
          <t>Darren Rutterford</t>
        </is>
      </c>
      <c r="C77" t="inlineStr">
        <is>
          <t>Aylsham Road Club</t>
        </is>
      </c>
      <c r="D77" t="inlineStr">
        <is>
          <t>174</t>
        </is>
      </c>
      <c r="E77">
        <f>HYPERLINK("https://www.britishcycling.org.uk/points?person_id=67024&amp;year=2022&amp;type=national&amp;d=6","Results")</f>
        <v/>
      </c>
    </row>
    <row r="78">
      <c r="A78" t="inlineStr">
        <is>
          <t>77</t>
        </is>
      </c>
      <c r="B78" t="inlineStr">
        <is>
          <t>Sam Chatwin</t>
        </is>
      </c>
      <c r="C78" t="inlineStr">
        <is>
          <t>Army Cycling Union</t>
        </is>
      </c>
      <c r="D78" t="inlineStr">
        <is>
          <t>173</t>
        </is>
      </c>
      <c r="E78">
        <f>HYPERLINK("https://www.britishcycling.org.uk/points?person_id=528199&amp;year=2022&amp;type=national&amp;d=6","Results")</f>
        <v/>
      </c>
    </row>
    <row r="79">
      <c r="A79" t="inlineStr">
        <is>
          <t>78</t>
        </is>
      </c>
      <c r="B79" t="inlineStr">
        <is>
          <t>Ryan Harris</t>
        </is>
      </c>
      <c r="C79" t="inlineStr">
        <is>
          <t>C and N Cycles RT</t>
        </is>
      </c>
      <c r="D79" t="inlineStr">
        <is>
          <t>171</t>
        </is>
      </c>
      <c r="E79">
        <f>HYPERLINK("https://www.britishcycling.org.uk/points?person_id=605010&amp;year=2022&amp;type=national&amp;d=6","Results")</f>
        <v/>
      </c>
    </row>
    <row r="80">
      <c r="A80" t="inlineStr">
        <is>
          <t>79</t>
        </is>
      </c>
      <c r="B80" t="inlineStr">
        <is>
          <t>David Spencer</t>
        </is>
      </c>
      <c r="C80" t="inlineStr">
        <is>
          <t>Velo Club Venta</t>
        </is>
      </c>
      <c r="D80" t="inlineStr">
        <is>
          <t>170</t>
        </is>
      </c>
      <c r="E80">
        <f>HYPERLINK("https://www.britishcycling.org.uk/points?person_id=311966&amp;year=2022&amp;type=national&amp;d=6","Results")</f>
        <v/>
      </c>
    </row>
    <row r="81">
      <c r="A81" t="inlineStr">
        <is>
          <t>80</t>
        </is>
      </c>
      <c r="B81" t="inlineStr">
        <is>
          <t>Ryan Bevis</t>
        </is>
      </c>
      <c r="C81" t="inlineStr">
        <is>
          <t>UF Rowe &amp; King</t>
        </is>
      </c>
      <c r="D81" t="inlineStr">
        <is>
          <t>168</t>
        </is>
      </c>
      <c r="E81">
        <f>HYPERLINK("https://www.britishcycling.org.uk/points?person_id=37848&amp;year=2022&amp;type=national&amp;d=6","Results")</f>
        <v/>
      </c>
    </row>
    <row r="82">
      <c r="A82" t="inlineStr">
        <is>
          <t>81</t>
        </is>
      </c>
      <c r="B82" t="inlineStr">
        <is>
          <t>Robert Thackray</t>
        </is>
      </c>
      <c r="C82" t="inlineStr">
        <is>
          <t>Paul Milnes - Bradford Olympic RC</t>
        </is>
      </c>
      <c r="D82" t="inlineStr">
        <is>
          <t>166</t>
        </is>
      </c>
      <c r="E82">
        <f>HYPERLINK("https://www.britishcycling.org.uk/points?person_id=37688&amp;year=2022&amp;type=national&amp;d=6","Results")</f>
        <v/>
      </c>
    </row>
    <row r="83">
      <c r="A83" t="inlineStr">
        <is>
          <t>82</t>
        </is>
      </c>
      <c r="B83" t="inlineStr">
        <is>
          <t>Dan Braid</t>
        </is>
      </c>
      <c r="C83" t="inlineStr">
        <is>
          <t>Vittoria Sigma Sports</t>
        </is>
      </c>
      <c r="D83" t="inlineStr">
        <is>
          <t>163</t>
        </is>
      </c>
      <c r="E83">
        <f>HYPERLINK("https://www.britishcycling.org.uk/points?person_id=124610&amp;year=2022&amp;type=national&amp;d=6","Results")</f>
        <v/>
      </c>
    </row>
    <row r="84">
      <c r="A84" t="inlineStr">
        <is>
          <t>83</t>
        </is>
      </c>
      <c r="B84" t="inlineStr">
        <is>
          <t>Mike Jackson</t>
        </is>
      </c>
      <c r="C84" t="inlineStr">
        <is>
          <t>CC Luton</t>
        </is>
      </c>
      <c r="D84" t="inlineStr">
        <is>
          <t>163</t>
        </is>
      </c>
      <c r="E84">
        <f>HYPERLINK("https://www.britishcycling.org.uk/points?person_id=61134&amp;year=2022&amp;type=national&amp;d=6","Results")</f>
        <v/>
      </c>
    </row>
    <row r="85">
      <c r="A85" t="inlineStr">
        <is>
          <t>84</t>
        </is>
      </c>
      <c r="B85" t="inlineStr">
        <is>
          <t>James Gilfillan</t>
        </is>
      </c>
      <c r="C85" t="inlineStr"/>
      <c r="D85" t="inlineStr">
        <is>
          <t>159</t>
        </is>
      </c>
      <c r="E85">
        <f>HYPERLINK("https://www.britishcycling.org.uk/points?person_id=1052663&amp;year=2022&amp;type=national&amp;d=6","Results")</f>
        <v/>
      </c>
    </row>
    <row r="86">
      <c r="A86" t="inlineStr">
        <is>
          <t>85</t>
        </is>
      </c>
      <c r="B86" t="inlineStr">
        <is>
          <t>Geoffrey Lulham</t>
        </is>
      </c>
      <c r="C86" t="inlineStr"/>
      <c r="D86" t="inlineStr">
        <is>
          <t>157</t>
        </is>
      </c>
      <c r="E86">
        <f>HYPERLINK("https://www.britishcycling.org.uk/points?person_id=14945&amp;year=2022&amp;type=national&amp;d=6","Results")</f>
        <v/>
      </c>
    </row>
    <row r="87">
      <c r="A87" t="inlineStr">
        <is>
          <t>86</t>
        </is>
      </c>
      <c r="B87" t="inlineStr">
        <is>
          <t>Mark Gallagher</t>
        </is>
      </c>
      <c r="C87" t="inlineStr">
        <is>
          <t>Dynamic Rides CC</t>
        </is>
      </c>
      <c r="D87" t="inlineStr">
        <is>
          <t>153</t>
        </is>
      </c>
      <c r="E87">
        <f>HYPERLINK("https://www.britishcycling.org.uk/points?person_id=691410&amp;year=2022&amp;type=national&amp;d=6","Results")</f>
        <v/>
      </c>
    </row>
    <row r="88">
      <c r="A88" t="inlineStr">
        <is>
          <t>87</t>
        </is>
      </c>
      <c r="B88" t="inlineStr">
        <is>
          <t>Nick Ashmore</t>
        </is>
      </c>
      <c r="C88" t="inlineStr">
        <is>
          <t>Paceline Cycles North</t>
        </is>
      </c>
      <c r="D88" t="inlineStr">
        <is>
          <t>152</t>
        </is>
      </c>
      <c r="E88">
        <f>HYPERLINK("https://www.britishcycling.org.uk/points?person_id=282151&amp;year=2022&amp;type=national&amp;d=6","Results")</f>
        <v/>
      </c>
    </row>
    <row r="89">
      <c r="A89" t="inlineStr">
        <is>
          <t>88</t>
        </is>
      </c>
      <c r="B89" t="inlineStr">
        <is>
          <t>Richard Foxton</t>
        </is>
      </c>
      <c r="C89" t="inlineStr">
        <is>
          <t>Berwick Wheelers CC</t>
        </is>
      </c>
      <c r="D89" t="inlineStr">
        <is>
          <t>151</t>
        </is>
      </c>
      <c r="E89">
        <f>HYPERLINK("https://www.britishcycling.org.uk/points?person_id=952337&amp;year=2022&amp;type=national&amp;d=6","Results")</f>
        <v/>
      </c>
    </row>
    <row r="90">
      <c r="A90" t="inlineStr">
        <is>
          <t>89</t>
        </is>
      </c>
      <c r="B90" t="inlineStr">
        <is>
          <t>Jan Grosicki</t>
        </is>
      </c>
      <c r="C90" t="inlineStr">
        <is>
          <t>Sussex Revolution Velo Club</t>
        </is>
      </c>
      <c r="D90" t="inlineStr">
        <is>
          <t>149</t>
        </is>
      </c>
      <c r="E90">
        <f>HYPERLINK("https://www.britishcycling.org.uk/points?person_id=532332&amp;year=2022&amp;type=national&amp;d=6","Results")</f>
        <v/>
      </c>
    </row>
    <row r="91">
      <c r="A91" t="inlineStr">
        <is>
          <t>90</t>
        </is>
      </c>
      <c r="B91" t="inlineStr">
        <is>
          <t>Chris Main</t>
        </is>
      </c>
      <c r="C91" t="inlineStr">
        <is>
          <t>Deeside Thistle CC</t>
        </is>
      </c>
      <c r="D91" t="inlineStr">
        <is>
          <t>142</t>
        </is>
      </c>
      <c r="E91">
        <f>HYPERLINK("https://www.britishcycling.org.uk/points?person_id=410735&amp;year=2022&amp;type=national&amp;d=6","Results")</f>
        <v/>
      </c>
    </row>
    <row r="92">
      <c r="A92" t="inlineStr">
        <is>
          <t>91</t>
        </is>
      </c>
      <c r="B92" t="inlineStr">
        <is>
          <t>Roger Prior</t>
        </is>
      </c>
      <c r="C92" t="inlineStr">
        <is>
          <t>VC Jericho</t>
        </is>
      </c>
      <c r="D92" t="inlineStr">
        <is>
          <t>136</t>
        </is>
      </c>
      <c r="E92">
        <f>HYPERLINK("https://www.britishcycling.org.uk/points?person_id=107121&amp;year=2022&amp;type=national&amp;d=6","Results")</f>
        <v/>
      </c>
    </row>
    <row r="93">
      <c r="A93" t="inlineStr">
        <is>
          <t>92</t>
        </is>
      </c>
      <c r="B93" t="inlineStr">
        <is>
          <t>Simon Burgess</t>
        </is>
      </c>
      <c r="C93" t="inlineStr">
        <is>
          <t>Bristol CX</t>
        </is>
      </c>
      <c r="D93" t="inlineStr">
        <is>
          <t>134</t>
        </is>
      </c>
      <c r="E93">
        <f>HYPERLINK("https://www.britishcycling.org.uk/points?person_id=3985&amp;year=2022&amp;type=national&amp;d=6","Results")</f>
        <v/>
      </c>
    </row>
    <row r="94">
      <c r="A94" t="inlineStr">
        <is>
          <t>93</t>
        </is>
      </c>
      <c r="B94" t="inlineStr">
        <is>
          <t>Luke Bates</t>
        </is>
      </c>
      <c r="C94" t="inlineStr">
        <is>
          <t>EH Star Cycling</t>
        </is>
      </c>
      <c r="D94" t="inlineStr">
        <is>
          <t>132</t>
        </is>
      </c>
      <c r="E94">
        <f>HYPERLINK("https://www.britishcycling.org.uk/points?person_id=461622&amp;year=2022&amp;type=national&amp;d=6","Results")</f>
        <v/>
      </c>
    </row>
    <row r="95">
      <c r="A95" t="inlineStr">
        <is>
          <t>94</t>
        </is>
      </c>
      <c r="B95" t="inlineStr">
        <is>
          <t>Paul Colling</t>
        </is>
      </c>
      <c r="C95" t="inlineStr">
        <is>
          <t>Shibden Cycling Club</t>
        </is>
      </c>
      <c r="D95" t="inlineStr">
        <is>
          <t>132</t>
        </is>
      </c>
      <c r="E95">
        <f>HYPERLINK("https://www.britishcycling.org.uk/points?person_id=232665&amp;year=2022&amp;type=national&amp;d=6","Results")</f>
        <v/>
      </c>
    </row>
    <row r="96">
      <c r="A96" t="inlineStr">
        <is>
          <t>95</t>
        </is>
      </c>
      <c r="B96" t="inlineStr">
        <is>
          <t>Colin Miller</t>
        </is>
      </c>
      <c r="C96" t="inlineStr">
        <is>
          <t>Ride Coventry</t>
        </is>
      </c>
      <c r="D96" t="inlineStr">
        <is>
          <t>132</t>
        </is>
      </c>
      <c r="E96">
        <f>HYPERLINK("https://www.britishcycling.org.uk/points?person_id=8174&amp;year=2022&amp;type=national&amp;d=6","Results")</f>
        <v/>
      </c>
    </row>
    <row r="97">
      <c r="A97" t="inlineStr">
        <is>
          <t>96</t>
        </is>
      </c>
      <c r="B97" t="inlineStr">
        <is>
          <t>Christopher Davies</t>
        </is>
      </c>
      <c r="C97" t="inlineStr"/>
      <c r="D97" t="inlineStr">
        <is>
          <t>130</t>
        </is>
      </c>
      <c r="E97">
        <f>HYPERLINK("https://www.britishcycling.org.uk/points?person_id=315170&amp;year=2022&amp;type=national&amp;d=6","Results")</f>
        <v/>
      </c>
    </row>
    <row r="98">
      <c r="A98" t="inlineStr">
        <is>
          <t>97</t>
        </is>
      </c>
      <c r="B98" t="inlineStr">
        <is>
          <t>Morgan Donnelly</t>
        </is>
      </c>
      <c r="C98" t="inlineStr">
        <is>
          <t>Kendal Cycle Club</t>
        </is>
      </c>
      <c r="D98" t="inlineStr">
        <is>
          <t>130</t>
        </is>
      </c>
      <c r="E98">
        <f>HYPERLINK("https://www.britishcycling.org.uk/points?person_id=34789&amp;year=2022&amp;type=national&amp;d=6","Results")</f>
        <v/>
      </c>
    </row>
    <row r="99">
      <c r="A99" t="inlineStr">
        <is>
          <t>98</t>
        </is>
      </c>
      <c r="B99" t="inlineStr">
        <is>
          <t>Andy Hoskins</t>
        </is>
      </c>
      <c r="C99" t="inlineStr">
        <is>
          <t>Cardiff JIF</t>
        </is>
      </c>
      <c r="D99" t="inlineStr">
        <is>
          <t>129</t>
        </is>
      </c>
      <c r="E99">
        <f>HYPERLINK("https://www.britishcycling.org.uk/points?person_id=3520&amp;year=2022&amp;type=national&amp;d=6","Results")</f>
        <v/>
      </c>
    </row>
    <row r="100">
      <c r="A100" t="inlineStr">
        <is>
          <t>99</t>
        </is>
      </c>
      <c r="B100" t="inlineStr">
        <is>
          <t>Matt Waters</t>
        </is>
      </c>
      <c r="C100" t="inlineStr">
        <is>
          <t>Army Cycling Union</t>
        </is>
      </c>
      <c r="D100" t="inlineStr">
        <is>
          <t>129</t>
        </is>
      </c>
      <c r="E100">
        <f>HYPERLINK("https://www.britishcycling.org.uk/points?person_id=217137&amp;year=2022&amp;type=national&amp;d=6","Results")</f>
        <v/>
      </c>
    </row>
    <row r="101">
      <c r="A101" t="inlineStr">
        <is>
          <t>100</t>
        </is>
      </c>
      <c r="B101" t="inlineStr">
        <is>
          <t>Adam Betts</t>
        </is>
      </c>
      <c r="C101" t="inlineStr">
        <is>
          <t>www.Zepnat.com RT - Lazer helmets</t>
        </is>
      </c>
      <c r="D101" t="inlineStr">
        <is>
          <t>128</t>
        </is>
      </c>
      <c r="E101">
        <f>HYPERLINK("https://www.britishcycling.org.uk/points?person_id=21998&amp;year=2022&amp;type=national&amp;d=6","Results")</f>
        <v/>
      </c>
    </row>
    <row r="102">
      <c r="A102" t="inlineStr">
        <is>
          <t>101</t>
        </is>
      </c>
      <c r="B102" t="inlineStr">
        <is>
          <t>James Thompson</t>
        </is>
      </c>
      <c r="C102" t="inlineStr">
        <is>
          <t>Rutland CC</t>
        </is>
      </c>
      <c r="D102" t="inlineStr">
        <is>
          <t>128</t>
        </is>
      </c>
      <c r="E102">
        <f>HYPERLINK("https://www.britishcycling.org.uk/points?person_id=14968&amp;year=2022&amp;type=national&amp;d=6","Results")</f>
        <v/>
      </c>
    </row>
    <row r="103">
      <c r="A103" t="inlineStr">
        <is>
          <t>102</t>
        </is>
      </c>
      <c r="B103" t="inlineStr">
        <is>
          <t>Stephen Couper</t>
        </is>
      </c>
      <c r="C103" t="inlineStr">
        <is>
          <t>Glasgow United CC</t>
        </is>
      </c>
      <c r="D103" t="inlineStr">
        <is>
          <t>127</t>
        </is>
      </c>
      <c r="E103">
        <f>HYPERLINK("https://www.britishcycling.org.uk/points?person_id=58024&amp;year=2022&amp;type=national&amp;d=6","Results")</f>
        <v/>
      </c>
    </row>
    <row r="104">
      <c r="A104" t="inlineStr">
        <is>
          <t>103</t>
        </is>
      </c>
      <c r="B104" t="inlineStr">
        <is>
          <t>Jason Killiner</t>
        </is>
      </c>
      <c r="C104" t="inlineStr">
        <is>
          <t>Pontypool RCC</t>
        </is>
      </c>
      <c r="D104" t="inlineStr">
        <is>
          <t>126</t>
        </is>
      </c>
      <c r="E104">
        <f>HYPERLINK("https://www.britishcycling.org.uk/points?person_id=216677&amp;year=2022&amp;type=national&amp;d=6","Results")</f>
        <v/>
      </c>
    </row>
    <row r="105">
      <c r="A105" t="inlineStr">
        <is>
          <t>104</t>
        </is>
      </c>
      <c r="B105" t="inlineStr">
        <is>
          <t>James Norris</t>
        </is>
      </c>
      <c r="C105" t="inlineStr">
        <is>
          <t>Cinnamon Cafe-Oriel Finance SDRT</t>
        </is>
      </c>
      <c r="D105" t="inlineStr">
        <is>
          <t>126</t>
        </is>
      </c>
      <c r="E105">
        <f>HYPERLINK("https://www.britishcycling.org.uk/points?person_id=20863&amp;year=2022&amp;type=national&amp;d=6","Results")</f>
        <v/>
      </c>
    </row>
    <row r="106">
      <c r="A106" t="inlineStr">
        <is>
          <t>105</t>
        </is>
      </c>
      <c r="B106" t="inlineStr">
        <is>
          <t>Andrew Shorney</t>
        </is>
      </c>
      <c r="C106" t="inlineStr">
        <is>
          <t>Derby Mercury RC</t>
        </is>
      </c>
      <c r="D106" t="inlineStr">
        <is>
          <t>126</t>
        </is>
      </c>
      <c r="E106">
        <f>HYPERLINK("https://www.britishcycling.org.uk/points?person_id=484165&amp;year=2022&amp;type=national&amp;d=6","Results")</f>
        <v/>
      </c>
    </row>
    <row r="107">
      <c r="A107" t="inlineStr">
        <is>
          <t>106</t>
        </is>
      </c>
      <c r="B107" t="inlineStr">
        <is>
          <t>Paul Upton</t>
        </is>
      </c>
      <c r="C107" t="inlineStr"/>
      <c r="D107" t="inlineStr">
        <is>
          <t>126</t>
        </is>
      </c>
      <c r="E107">
        <f>HYPERLINK("https://www.britishcycling.org.uk/points?person_id=427709&amp;year=2022&amp;type=national&amp;d=6","Results")</f>
        <v/>
      </c>
    </row>
    <row r="108">
      <c r="A108" t="inlineStr">
        <is>
          <t>107</t>
        </is>
      </c>
      <c r="B108" t="inlineStr">
        <is>
          <t>Phil Wilks</t>
        </is>
      </c>
      <c r="C108" t="inlineStr">
        <is>
          <t>Sotonia CC</t>
        </is>
      </c>
      <c r="D108" t="inlineStr">
        <is>
          <t>126</t>
        </is>
      </c>
      <c r="E108">
        <f>HYPERLINK("https://www.britishcycling.org.uk/points?person_id=243871&amp;year=2022&amp;type=national&amp;d=6","Results")</f>
        <v/>
      </c>
    </row>
    <row r="109">
      <c r="A109" t="inlineStr">
        <is>
          <t>108</t>
        </is>
      </c>
      <c r="B109" t="inlineStr">
        <is>
          <t>Steve Wood</t>
        </is>
      </c>
      <c r="C109" t="inlineStr">
        <is>
          <t>Geared Up Apex RT</t>
        </is>
      </c>
      <c r="D109" t="inlineStr">
        <is>
          <t>126</t>
        </is>
      </c>
      <c r="E109">
        <f>HYPERLINK("https://www.britishcycling.org.uk/points?person_id=121731&amp;year=2022&amp;type=national&amp;d=6","Results")</f>
        <v/>
      </c>
    </row>
    <row r="110">
      <c r="A110" t="inlineStr">
        <is>
          <t>109</t>
        </is>
      </c>
      <c r="B110" t="inlineStr">
        <is>
          <t>Wayne Barr</t>
        </is>
      </c>
      <c r="C110" t="inlineStr">
        <is>
          <t>Velocity 44 RT</t>
        </is>
      </c>
      <c r="D110" t="inlineStr">
        <is>
          <t>125</t>
        </is>
      </c>
      <c r="E110">
        <f>HYPERLINK("https://www.britishcycling.org.uk/points?person_id=133126&amp;year=2022&amp;type=national&amp;d=6","Results")</f>
        <v/>
      </c>
    </row>
    <row r="111">
      <c r="A111" t="inlineStr">
        <is>
          <t>110</t>
        </is>
      </c>
      <c r="B111" t="inlineStr">
        <is>
          <t>Mark Gower</t>
        </is>
      </c>
      <c r="C111" t="inlineStr">
        <is>
          <t>Precise Performance RT</t>
        </is>
      </c>
      <c r="D111" t="inlineStr">
        <is>
          <t>124</t>
        </is>
      </c>
      <c r="E111">
        <f>HYPERLINK("https://www.britishcycling.org.uk/points?person_id=3731&amp;year=2022&amp;type=national&amp;d=6","Results")</f>
        <v/>
      </c>
    </row>
    <row r="112">
      <c r="A112" t="inlineStr">
        <is>
          <t>111</t>
        </is>
      </c>
      <c r="B112" t="inlineStr">
        <is>
          <t>Tim Guy</t>
        </is>
      </c>
      <c r="C112" t="inlineStr">
        <is>
          <t>Norwich Racing Team</t>
        </is>
      </c>
      <c r="D112" t="inlineStr">
        <is>
          <t>122</t>
        </is>
      </c>
      <c r="E112">
        <f>HYPERLINK("https://www.britishcycling.org.uk/points?person_id=71003&amp;year=2022&amp;type=national&amp;d=6","Results")</f>
        <v/>
      </c>
    </row>
    <row r="113">
      <c r="A113" t="inlineStr">
        <is>
          <t>112</t>
        </is>
      </c>
      <c r="B113" t="inlineStr">
        <is>
          <t>Ross Litherland</t>
        </is>
      </c>
      <c r="C113" t="inlineStr">
        <is>
          <t>Horwich CC</t>
        </is>
      </c>
      <c r="D113" t="inlineStr">
        <is>
          <t>122</t>
        </is>
      </c>
      <c r="E113">
        <f>HYPERLINK("https://www.britishcycling.org.uk/points?person_id=200603&amp;year=2022&amp;type=national&amp;d=6","Results")</f>
        <v/>
      </c>
    </row>
    <row r="114">
      <c r="A114" t="inlineStr">
        <is>
          <t>113</t>
        </is>
      </c>
      <c r="B114" t="inlineStr">
        <is>
          <t>Benjamin Caine</t>
        </is>
      </c>
      <c r="C114" t="inlineStr">
        <is>
          <t>Dynamic Rides CC</t>
        </is>
      </c>
      <c r="D114" t="inlineStr">
        <is>
          <t>119</t>
        </is>
      </c>
      <c r="E114">
        <f>HYPERLINK("https://www.britishcycling.org.uk/points?person_id=101996&amp;year=2022&amp;type=national&amp;d=6","Results")</f>
        <v/>
      </c>
    </row>
    <row r="115">
      <c r="A115" t="inlineStr">
        <is>
          <t>114</t>
        </is>
      </c>
      <c r="B115" t="inlineStr">
        <is>
          <t>James Dalton</t>
        </is>
      </c>
      <c r="C115" t="inlineStr"/>
      <c r="D115" t="inlineStr">
        <is>
          <t>118</t>
        </is>
      </c>
      <c r="E115">
        <f>HYPERLINK("https://www.britishcycling.org.uk/points?person_id=62670&amp;year=2022&amp;type=national&amp;d=6","Results")</f>
        <v/>
      </c>
    </row>
    <row r="116">
      <c r="A116" t="inlineStr">
        <is>
          <t>115</t>
        </is>
      </c>
      <c r="B116" t="inlineStr">
        <is>
          <t>Neil Catling</t>
        </is>
      </c>
      <c r="C116" t="inlineStr">
        <is>
          <t>Team LCUK</t>
        </is>
      </c>
      <c r="D116" t="inlineStr">
        <is>
          <t>117</t>
        </is>
      </c>
      <c r="E116">
        <f>HYPERLINK("https://www.britishcycling.org.uk/points?person_id=167527&amp;year=2022&amp;type=national&amp;d=6","Results")</f>
        <v/>
      </c>
    </row>
    <row r="117">
      <c r="A117" t="inlineStr">
        <is>
          <t>116</t>
        </is>
      </c>
      <c r="B117" t="inlineStr">
        <is>
          <t>Simon Askham</t>
        </is>
      </c>
      <c r="C117" t="inlineStr">
        <is>
          <t>Welland Valley CC</t>
        </is>
      </c>
      <c r="D117" t="inlineStr">
        <is>
          <t>116</t>
        </is>
      </c>
      <c r="E117">
        <f>HYPERLINK("https://www.britishcycling.org.uk/points?person_id=207233&amp;year=2022&amp;type=national&amp;d=6","Results")</f>
        <v/>
      </c>
    </row>
    <row r="118">
      <c r="A118" t="inlineStr">
        <is>
          <t>117</t>
        </is>
      </c>
      <c r="B118" t="inlineStr">
        <is>
          <t>Darryl Thomas</t>
        </is>
      </c>
      <c r="C118" t="inlineStr">
        <is>
          <t>Mike Vaughan Cycles</t>
        </is>
      </c>
      <c r="D118" t="inlineStr">
        <is>
          <t>116</t>
        </is>
      </c>
      <c r="E118">
        <f>HYPERLINK("https://www.britishcycling.org.uk/points?person_id=840532&amp;year=2022&amp;type=national&amp;d=6","Results")</f>
        <v/>
      </c>
    </row>
    <row r="119">
      <c r="A119" t="inlineStr">
        <is>
          <t>118</t>
        </is>
      </c>
      <c r="B119" t="inlineStr">
        <is>
          <t>Philip Coad</t>
        </is>
      </c>
      <c r="C119" t="inlineStr"/>
      <c r="D119" t="inlineStr">
        <is>
          <t>113</t>
        </is>
      </c>
      <c r="E119">
        <f>HYPERLINK("https://www.britishcycling.org.uk/points?person_id=45039&amp;year=2022&amp;type=national&amp;d=6","Results")</f>
        <v/>
      </c>
    </row>
    <row r="120">
      <c r="A120" t="inlineStr">
        <is>
          <t>119</t>
        </is>
      </c>
      <c r="B120" t="inlineStr">
        <is>
          <t>Paul Elcock</t>
        </is>
      </c>
      <c r="C120" t="inlineStr">
        <is>
          <t>AS Test Team</t>
        </is>
      </c>
      <c r="D120" t="inlineStr">
        <is>
          <t>110</t>
        </is>
      </c>
      <c r="E120">
        <f>HYPERLINK("https://www.britishcycling.org.uk/points?person_id=37607&amp;year=2022&amp;type=national&amp;d=6","Results")</f>
        <v/>
      </c>
    </row>
    <row r="121">
      <c r="A121" t="inlineStr">
        <is>
          <t>120</t>
        </is>
      </c>
      <c r="B121" t="inlineStr">
        <is>
          <t>Roddy Fawbert</t>
        </is>
      </c>
      <c r="C121" t="inlineStr">
        <is>
          <t>Vanelli-Project Go</t>
        </is>
      </c>
      <c r="D121" t="inlineStr">
        <is>
          <t>110</t>
        </is>
      </c>
      <c r="E121">
        <f>HYPERLINK("https://www.britishcycling.org.uk/points?person_id=251583&amp;year=2022&amp;type=national&amp;d=6","Results")</f>
        <v/>
      </c>
    </row>
    <row r="122">
      <c r="A122" t="inlineStr">
        <is>
          <t>121</t>
        </is>
      </c>
      <c r="B122" t="inlineStr">
        <is>
          <t>Daniel Varley</t>
        </is>
      </c>
      <c r="C122" t="inlineStr"/>
      <c r="D122" t="inlineStr">
        <is>
          <t>109</t>
        </is>
      </c>
      <c r="E122">
        <f>HYPERLINK("https://www.britishcycling.org.uk/points?person_id=6545&amp;year=2022&amp;type=national&amp;d=6","Results")</f>
        <v/>
      </c>
    </row>
    <row r="123">
      <c r="A123" t="inlineStr">
        <is>
          <t>122</t>
        </is>
      </c>
      <c r="B123" t="inlineStr">
        <is>
          <t>Steven Whitehurst</t>
        </is>
      </c>
      <c r="C123" t="inlineStr">
        <is>
          <t>Reflex Racing</t>
        </is>
      </c>
      <c r="D123" t="inlineStr">
        <is>
          <t>109</t>
        </is>
      </c>
      <c r="E123">
        <f>HYPERLINK("https://www.britishcycling.org.uk/points?person_id=23707&amp;year=2022&amp;type=national&amp;d=6","Results")</f>
        <v/>
      </c>
    </row>
    <row r="124">
      <c r="A124" t="inlineStr">
        <is>
          <t>123</t>
        </is>
      </c>
      <c r="B124" t="inlineStr">
        <is>
          <t>Dave Wilby</t>
        </is>
      </c>
      <c r="C124" t="inlineStr">
        <is>
          <t>Ilkley Cycling Club</t>
        </is>
      </c>
      <c r="D124" t="inlineStr">
        <is>
          <t>109</t>
        </is>
      </c>
      <c r="E124">
        <f>HYPERLINK("https://www.britishcycling.org.uk/points?person_id=342331&amp;year=2022&amp;type=national&amp;d=6","Results")</f>
        <v/>
      </c>
    </row>
    <row r="125">
      <c r="A125" t="inlineStr">
        <is>
          <t>124</t>
        </is>
      </c>
      <c r="B125" t="inlineStr">
        <is>
          <t>Jamie Norfolk</t>
        </is>
      </c>
      <c r="C125" t="inlineStr">
        <is>
          <t>Pedalon.co.uk</t>
        </is>
      </c>
      <c r="D125" t="inlineStr">
        <is>
          <t>106</t>
        </is>
      </c>
      <c r="E125">
        <f>HYPERLINK("https://www.britishcycling.org.uk/points?person_id=74907&amp;year=2022&amp;type=national&amp;d=6","Results")</f>
        <v/>
      </c>
    </row>
    <row r="126">
      <c r="A126" t="inlineStr">
        <is>
          <t>125</t>
        </is>
      </c>
      <c r="B126" t="inlineStr">
        <is>
          <t>Richard Morgan</t>
        </is>
      </c>
      <c r="C126" t="inlineStr">
        <is>
          <t>Cardiff Ajax CC</t>
        </is>
      </c>
      <c r="D126" t="inlineStr">
        <is>
          <t>105</t>
        </is>
      </c>
      <c r="E126">
        <f>HYPERLINK("https://www.britishcycling.org.uk/points?person_id=107762&amp;year=2022&amp;type=national&amp;d=6","Results")</f>
        <v/>
      </c>
    </row>
    <row r="127">
      <c r="A127" t="inlineStr">
        <is>
          <t>126</t>
        </is>
      </c>
      <c r="B127" t="inlineStr">
        <is>
          <t>Benjamin Causon</t>
        </is>
      </c>
      <c r="C127" t="inlineStr">
        <is>
          <t>Plymouth Corinthian CC</t>
        </is>
      </c>
      <c r="D127" t="inlineStr">
        <is>
          <t>104</t>
        </is>
      </c>
      <c r="E127">
        <f>HYPERLINK("https://www.britishcycling.org.uk/points?person_id=586210&amp;year=2022&amp;type=national&amp;d=6","Results")</f>
        <v/>
      </c>
    </row>
    <row r="128">
      <c r="A128" t="inlineStr">
        <is>
          <t>127</t>
        </is>
      </c>
      <c r="B128" t="inlineStr">
        <is>
          <t>Bill Bell</t>
        </is>
      </c>
      <c r="C128" t="inlineStr">
        <is>
          <t>Bigfoot CC</t>
        </is>
      </c>
      <c r="D128" t="inlineStr">
        <is>
          <t>101</t>
        </is>
      </c>
      <c r="E128">
        <f>HYPERLINK("https://www.britishcycling.org.uk/points?person_id=369502&amp;year=2022&amp;type=national&amp;d=6","Results")</f>
        <v/>
      </c>
    </row>
    <row r="129">
      <c r="A129" t="inlineStr">
        <is>
          <t>128</t>
        </is>
      </c>
      <c r="B129" t="inlineStr">
        <is>
          <t>Leigh Smith</t>
        </is>
      </c>
      <c r="C129" t="inlineStr">
        <is>
          <t>Equipe Velo</t>
        </is>
      </c>
      <c r="D129" t="inlineStr">
        <is>
          <t>101</t>
        </is>
      </c>
      <c r="E129">
        <f>HYPERLINK("https://www.britishcycling.org.uk/points?person_id=38453&amp;year=2022&amp;type=national&amp;d=6","Results")</f>
        <v/>
      </c>
    </row>
    <row r="130">
      <c r="A130" t="inlineStr">
        <is>
          <t>129</t>
        </is>
      </c>
      <c r="B130" t="inlineStr">
        <is>
          <t>Nathaniel Cooke</t>
        </is>
      </c>
      <c r="C130" t="inlineStr">
        <is>
          <t>Sunday Echappée</t>
        </is>
      </c>
      <c r="D130" t="inlineStr">
        <is>
          <t>100</t>
        </is>
      </c>
      <c r="E130">
        <f>HYPERLINK("https://www.britishcycling.org.uk/points?person_id=344225&amp;year=2022&amp;type=national&amp;d=6","Results")</f>
        <v/>
      </c>
    </row>
    <row r="131">
      <c r="A131" t="inlineStr">
        <is>
          <t>130</t>
        </is>
      </c>
      <c r="B131" t="inlineStr">
        <is>
          <t>Mark Powell</t>
        </is>
      </c>
      <c r="C131" t="inlineStr">
        <is>
          <t>Stowmarket &amp; District CC</t>
        </is>
      </c>
      <c r="D131" t="inlineStr">
        <is>
          <t>100</t>
        </is>
      </c>
      <c r="E131">
        <f>HYPERLINK("https://www.britishcycling.org.uk/points?person_id=3235&amp;year=2022&amp;type=national&amp;d=6","Results")</f>
        <v/>
      </c>
    </row>
    <row r="132">
      <c r="A132" t="inlineStr">
        <is>
          <t>131</t>
        </is>
      </c>
      <c r="B132" t="inlineStr">
        <is>
          <t>Matthew Hewis</t>
        </is>
      </c>
      <c r="C132" t="inlineStr">
        <is>
          <t>North Devon Wheelers</t>
        </is>
      </c>
      <c r="D132" t="inlineStr">
        <is>
          <t>98</t>
        </is>
      </c>
      <c r="E132">
        <f>HYPERLINK("https://www.britishcycling.org.uk/points?person_id=612972&amp;year=2022&amp;type=national&amp;d=6","Results")</f>
        <v/>
      </c>
    </row>
    <row r="133">
      <c r="A133" t="inlineStr">
        <is>
          <t>132</t>
        </is>
      </c>
      <c r="B133" t="inlineStr">
        <is>
          <t>Nathan Miller</t>
        </is>
      </c>
      <c r="C133" t="inlineStr">
        <is>
          <t>Derby Mercury RC</t>
        </is>
      </c>
      <c r="D133" t="inlineStr">
        <is>
          <t>96</t>
        </is>
      </c>
      <c r="E133">
        <f>HYPERLINK("https://www.britishcycling.org.uk/points?person_id=29529&amp;year=2022&amp;type=national&amp;d=6","Results")</f>
        <v/>
      </c>
    </row>
    <row r="134">
      <c r="A134" t="inlineStr">
        <is>
          <t>133</t>
        </is>
      </c>
      <c r="B134" t="inlineStr">
        <is>
          <t>James Bovey</t>
        </is>
      </c>
      <c r="C134" t="inlineStr">
        <is>
          <t>Mid Devon CC</t>
        </is>
      </c>
      <c r="D134" t="inlineStr">
        <is>
          <t>95</t>
        </is>
      </c>
      <c r="E134">
        <f>HYPERLINK("https://www.britishcycling.org.uk/points?person_id=119807&amp;year=2022&amp;type=national&amp;d=6","Results")</f>
        <v/>
      </c>
    </row>
    <row r="135">
      <c r="A135" t="inlineStr">
        <is>
          <t>134</t>
        </is>
      </c>
      <c r="B135" t="inlineStr">
        <is>
          <t>Christopher Burns</t>
        </is>
      </c>
      <c r="C135" t="inlineStr">
        <is>
          <t>Reifen Racing</t>
        </is>
      </c>
      <c r="D135" t="inlineStr">
        <is>
          <t>95</t>
        </is>
      </c>
      <c r="E135">
        <f>HYPERLINK("https://www.britishcycling.org.uk/points?person_id=379717&amp;year=2022&amp;type=national&amp;d=6","Results")</f>
        <v/>
      </c>
    </row>
    <row r="136">
      <c r="A136" t="inlineStr">
        <is>
          <t>135</t>
        </is>
      </c>
      <c r="B136" t="inlineStr">
        <is>
          <t>Jason Brooks</t>
        </is>
      </c>
      <c r="C136" t="inlineStr">
        <is>
          <t>Wilsons Wheels Race Team</t>
        </is>
      </c>
      <c r="D136" t="inlineStr">
        <is>
          <t>94</t>
        </is>
      </c>
      <c r="E136">
        <f>HYPERLINK("https://www.britishcycling.org.uk/points?person_id=751375&amp;year=2022&amp;type=national&amp;d=6","Results")</f>
        <v/>
      </c>
    </row>
    <row r="137">
      <c r="A137" t="inlineStr">
        <is>
          <t>136</t>
        </is>
      </c>
      <c r="B137" t="inlineStr">
        <is>
          <t>Paul Campbell</t>
        </is>
      </c>
      <c r="C137" t="inlineStr">
        <is>
          <t>Wilsons Wheels Race Team</t>
        </is>
      </c>
      <c r="D137" t="inlineStr">
        <is>
          <t>94</t>
        </is>
      </c>
      <c r="E137">
        <f>HYPERLINK("https://www.britishcycling.org.uk/points?person_id=30945&amp;year=2022&amp;type=national&amp;d=6","Results")</f>
        <v/>
      </c>
    </row>
    <row r="138">
      <c r="A138" t="inlineStr">
        <is>
          <t>137</t>
        </is>
      </c>
      <c r="B138" t="inlineStr">
        <is>
          <t>Damian Robertson</t>
        </is>
      </c>
      <c r="C138" t="inlineStr">
        <is>
          <t>www.cyclocrossrider.com</t>
        </is>
      </c>
      <c r="D138" t="inlineStr">
        <is>
          <t>94</t>
        </is>
      </c>
      <c r="E138">
        <f>HYPERLINK("https://www.britishcycling.org.uk/points?person_id=258304&amp;year=2022&amp;type=national&amp;d=6","Results")</f>
        <v/>
      </c>
    </row>
    <row r="139">
      <c r="A139" t="inlineStr">
        <is>
          <t>138</t>
        </is>
      </c>
      <c r="B139" t="inlineStr">
        <is>
          <t>Matthew Loake</t>
        </is>
      </c>
      <c r="C139" t="inlineStr">
        <is>
          <t>Southfork Racing.co.uk</t>
        </is>
      </c>
      <c r="D139" t="inlineStr">
        <is>
          <t>93</t>
        </is>
      </c>
      <c r="E139">
        <f>HYPERLINK("https://www.britishcycling.org.uk/points?person_id=51080&amp;year=2022&amp;type=national&amp;d=6","Results")</f>
        <v/>
      </c>
    </row>
    <row r="140">
      <c r="A140" t="inlineStr">
        <is>
          <t>139</t>
        </is>
      </c>
      <c r="B140" t="inlineStr">
        <is>
          <t>Nigel Wood</t>
        </is>
      </c>
      <c r="C140" t="inlineStr">
        <is>
          <t>Kendal Cycle Club</t>
        </is>
      </c>
      <c r="D140" t="inlineStr">
        <is>
          <t>91</t>
        </is>
      </c>
      <c r="E140">
        <f>HYPERLINK("https://www.britishcycling.org.uk/points?person_id=471945&amp;year=2022&amp;type=national&amp;d=6","Results")</f>
        <v/>
      </c>
    </row>
    <row r="141">
      <c r="A141" t="inlineStr">
        <is>
          <t>140</t>
        </is>
      </c>
      <c r="B141" t="inlineStr">
        <is>
          <t>Mike Buntin</t>
        </is>
      </c>
      <c r="C141" t="inlineStr"/>
      <c r="D141" t="inlineStr">
        <is>
          <t>90</t>
        </is>
      </c>
      <c r="E141">
        <f>HYPERLINK("https://www.britishcycling.org.uk/points?person_id=312670&amp;year=2022&amp;type=national&amp;d=6","Results")</f>
        <v/>
      </c>
    </row>
    <row r="142">
      <c r="A142" t="inlineStr">
        <is>
          <t>141</t>
        </is>
      </c>
      <c r="B142" t="inlineStr">
        <is>
          <t>Oliver Humphreys</t>
        </is>
      </c>
      <c r="C142" t="inlineStr">
        <is>
          <t>Haus Race Team</t>
        </is>
      </c>
      <c r="D142" t="inlineStr">
        <is>
          <t>90</t>
        </is>
      </c>
      <c r="E142">
        <f>HYPERLINK("https://www.britishcycling.org.uk/points?person_id=210527&amp;year=2022&amp;type=national&amp;d=6","Results")</f>
        <v/>
      </c>
    </row>
    <row r="143">
      <c r="A143" t="inlineStr">
        <is>
          <t>142</t>
        </is>
      </c>
      <c r="B143" t="inlineStr">
        <is>
          <t>Dan Blackburn</t>
        </is>
      </c>
      <c r="C143" t="inlineStr">
        <is>
          <t>Epic Orange Race Team</t>
        </is>
      </c>
      <c r="D143" t="inlineStr">
        <is>
          <t>89</t>
        </is>
      </c>
      <c r="E143">
        <f>HYPERLINK("https://www.britishcycling.org.uk/points?person_id=507939&amp;year=2022&amp;type=national&amp;d=6","Results")</f>
        <v/>
      </c>
    </row>
    <row r="144">
      <c r="A144" t="inlineStr">
        <is>
          <t>143</t>
        </is>
      </c>
      <c r="B144" t="inlineStr">
        <is>
          <t>Gareth Scott</t>
        </is>
      </c>
      <c r="C144" t="inlineStr">
        <is>
          <t>CC Giro</t>
        </is>
      </c>
      <c r="D144" t="inlineStr">
        <is>
          <t>88</t>
        </is>
      </c>
      <c r="E144">
        <f>HYPERLINK("https://www.britishcycling.org.uk/points?person_id=49984&amp;year=2022&amp;type=national&amp;d=6","Results")</f>
        <v/>
      </c>
    </row>
    <row r="145">
      <c r="A145" t="inlineStr">
        <is>
          <t>144</t>
        </is>
      </c>
      <c r="B145" t="inlineStr">
        <is>
          <t>Richard Dorney</t>
        </is>
      </c>
      <c r="C145" t="inlineStr">
        <is>
          <t>Dynamic Rides CC</t>
        </is>
      </c>
      <c r="D145" t="inlineStr">
        <is>
          <t>87</t>
        </is>
      </c>
      <c r="E145">
        <f>HYPERLINK("https://www.britishcycling.org.uk/points?person_id=546431&amp;year=2022&amp;type=national&amp;d=6","Results")</f>
        <v/>
      </c>
    </row>
    <row r="146">
      <c r="A146" t="inlineStr">
        <is>
          <t>145</t>
        </is>
      </c>
      <c r="B146" t="inlineStr">
        <is>
          <t>Kevin Smith</t>
        </is>
      </c>
      <c r="C146" t="inlineStr">
        <is>
          <t>Shibden Cycling Club</t>
        </is>
      </c>
      <c r="D146" t="inlineStr">
        <is>
          <t>87</t>
        </is>
      </c>
      <c r="E146">
        <f>HYPERLINK("https://www.britishcycling.org.uk/points?person_id=243202&amp;year=2022&amp;type=national&amp;d=6","Results")</f>
        <v/>
      </c>
    </row>
    <row r="147">
      <c r="A147" t="inlineStr">
        <is>
          <t>146</t>
        </is>
      </c>
      <c r="B147" t="inlineStr">
        <is>
          <t>Graeme Cross</t>
        </is>
      </c>
      <c r="C147" t="inlineStr">
        <is>
          <t>SR Albannach</t>
        </is>
      </c>
      <c r="D147" t="inlineStr">
        <is>
          <t>86</t>
        </is>
      </c>
      <c r="E147">
        <f>HYPERLINK("https://www.britishcycling.org.uk/points?person_id=179039&amp;year=2022&amp;type=national&amp;d=6","Results")</f>
        <v/>
      </c>
    </row>
    <row r="148">
      <c r="A148" t="inlineStr">
        <is>
          <t>147</t>
        </is>
      </c>
      <c r="B148" t="inlineStr">
        <is>
          <t>Rob Hope</t>
        </is>
      </c>
      <c r="C148" t="inlineStr">
        <is>
          <t>Chorley Cycling Club</t>
        </is>
      </c>
      <c r="D148" t="inlineStr">
        <is>
          <t>86</t>
        </is>
      </c>
      <c r="E148">
        <f>HYPERLINK("https://www.britishcycling.org.uk/points?person_id=124720&amp;year=2022&amp;type=national&amp;d=6","Results")</f>
        <v/>
      </c>
    </row>
    <row r="149">
      <c r="A149" t="inlineStr">
        <is>
          <t>148</t>
        </is>
      </c>
      <c r="B149" t="inlineStr">
        <is>
          <t>David Mottram</t>
        </is>
      </c>
      <c r="C149" t="inlineStr">
        <is>
          <t>Fietsen Tempo</t>
        </is>
      </c>
      <c r="D149" t="inlineStr">
        <is>
          <t>86</t>
        </is>
      </c>
      <c r="E149">
        <f>HYPERLINK("https://www.britishcycling.org.uk/points?person_id=1024048&amp;year=2022&amp;type=national&amp;d=6","Results")</f>
        <v/>
      </c>
    </row>
    <row r="150">
      <c r="A150" t="inlineStr">
        <is>
          <t>149</t>
        </is>
      </c>
      <c r="B150" t="inlineStr">
        <is>
          <t>Mike Griffiths</t>
        </is>
      </c>
      <c r="C150" t="inlineStr">
        <is>
          <t>Cwmcarn Paragon Cycling Club</t>
        </is>
      </c>
      <c r="D150" t="inlineStr">
        <is>
          <t>85</t>
        </is>
      </c>
      <c r="E150">
        <f>HYPERLINK("https://www.britishcycling.org.uk/points?person_id=554144&amp;year=2022&amp;type=national&amp;d=6","Results")</f>
        <v/>
      </c>
    </row>
    <row r="151">
      <c r="A151" t="inlineStr">
        <is>
          <t>150</t>
        </is>
      </c>
      <c r="B151" t="inlineStr">
        <is>
          <t>Ben Martin</t>
        </is>
      </c>
      <c r="C151" t="inlineStr">
        <is>
          <t>Red Rose Olympic CC</t>
        </is>
      </c>
      <c r="D151" t="inlineStr">
        <is>
          <t>83</t>
        </is>
      </c>
      <c r="E151">
        <f>HYPERLINK("https://www.britishcycling.org.uk/points?person_id=739236&amp;year=2022&amp;type=national&amp;d=6","Results")</f>
        <v/>
      </c>
    </row>
    <row r="152">
      <c r="A152" t="inlineStr">
        <is>
          <t>151</t>
        </is>
      </c>
      <c r="B152" t="inlineStr">
        <is>
          <t>Phil Mowbray</t>
        </is>
      </c>
      <c r="C152" t="inlineStr"/>
      <c r="D152" t="inlineStr">
        <is>
          <t>82</t>
        </is>
      </c>
      <c r="E152">
        <f>HYPERLINK("https://www.britishcycling.org.uk/points?person_id=311424&amp;year=2022&amp;type=national&amp;d=6","Results")</f>
        <v/>
      </c>
    </row>
    <row r="153">
      <c r="A153" t="inlineStr">
        <is>
          <t>152</t>
        </is>
      </c>
      <c r="B153" t="inlineStr">
        <is>
          <t>Mark Robbins</t>
        </is>
      </c>
      <c r="C153" t="inlineStr">
        <is>
          <t>Scunthorpe Polytechnic CC</t>
        </is>
      </c>
      <c r="D153" t="inlineStr">
        <is>
          <t>82</t>
        </is>
      </c>
      <c r="E153">
        <f>HYPERLINK("https://www.britishcycling.org.uk/points?person_id=108057&amp;year=2022&amp;type=national&amp;d=6","Results")</f>
        <v/>
      </c>
    </row>
    <row r="154">
      <c r="A154" t="inlineStr">
        <is>
          <t>153</t>
        </is>
      </c>
      <c r="B154" t="inlineStr">
        <is>
          <t>Andrew Owen</t>
        </is>
      </c>
      <c r="C154" t="inlineStr">
        <is>
          <t>Kenilworth Wheelers CC</t>
        </is>
      </c>
      <c r="D154" t="inlineStr">
        <is>
          <t>80</t>
        </is>
      </c>
      <c r="E154">
        <f>HYPERLINK("https://www.britishcycling.org.uk/points?person_id=587805&amp;year=2022&amp;type=national&amp;d=6","Results")</f>
        <v/>
      </c>
    </row>
    <row r="155">
      <c r="A155" t="inlineStr">
        <is>
          <t>154</t>
        </is>
      </c>
      <c r="B155" t="inlineStr">
        <is>
          <t>Nicholas English</t>
        </is>
      </c>
      <c r="C155" t="inlineStr">
        <is>
          <t>AeroCoach</t>
        </is>
      </c>
      <c r="D155" t="inlineStr">
        <is>
          <t>79</t>
        </is>
      </c>
      <c r="E155">
        <f>HYPERLINK("https://www.britishcycling.org.uk/points?person_id=76915&amp;year=2022&amp;type=national&amp;d=6","Results")</f>
        <v/>
      </c>
    </row>
    <row r="156">
      <c r="A156" t="inlineStr">
        <is>
          <t>155</t>
        </is>
      </c>
      <c r="B156" t="inlineStr">
        <is>
          <t>Mark Field</t>
        </is>
      </c>
      <c r="C156" t="inlineStr"/>
      <c r="D156" t="inlineStr">
        <is>
          <t>78</t>
        </is>
      </c>
      <c r="E156">
        <f>HYPERLINK("https://www.britishcycling.org.uk/points?person_id=28561&amp;year=2022&amp;type=national&amp;d=6","Results")</f>
        <v/>
      </c>
    </row>
    <row r="157">
      <c r="A157" t="inlineStr">
        <is>
          <t>156</t>
        </is>
      </c>
      <c r="B157" t="inlineStr">
        <is>
          <t>Nick Taylor</t>
        </is>
      </c>
      <c r="C157" t="inlineStr">
        <is>
          <t>Shibden Cycling Club</t>
        </is>
      </c>
      <c r="D157" t="inlineStr">
        <is>
          <t>78</t>
        </is>
      </c>
      <c r="E157">
        <f>HYPERLINK("https://www.britishcycling.org.uk/points?person_id=172648&amp;year=2022&amp;type=national&amp;d=6","Results")</f>
        <v/>
      </c>
    </row>
    <row r="158">
      <c r="A158" t="inlineStr">
        <is>
          <t>157</t>
        </is>
      </c>
      <c r="B158" t="inlineStr">
        <is>
          <t>Richard Edge</t>
        </is>
      </c>
      <c r="C158" t="inlineStr">
        <is>
          <t>Laatste Ronde! Coaching</t>
        </is>
      </c>
      <c r="D158" t="inlineStr">
        <is>
          <t>75</t>
        </is>
      </c>
      <c r="E158">
        <f>HYPERLINK("https://www.britishcycling.org.uk/points?person_id=14859&amp;year=2022&amp;type=national&amp;d=6","Results")</f>
        <v/>
      </c>
    </row>
    <row r="159">
      <c r="A159" t="inlineStr">
        <is>
          <t>158</t>
        </is>
      </c>
      <c r="B159" t="inlineStr">
        <is>
          <t>David Pugh</t>
        </is>
      </c>
      <c r="C159" t="inlineStr"/>
      <c r="D159" t="inlineStr">
        <is>
          <t>75</t>
        </is>
      </c>
      <c r="E159">
        <f>HYPERLINK("https://www.britishcycling.org.uk/points?person_id=378650&amp;year=2022&amp;type=national&amp;d=6","Results")</f>
        <v/>
      </c>
    </row>
    <row r="160">
      <c r="A160" t="inlineStr">
        <is>
          <t>159</t>
        </is>
      </c>
      <c r="B160" t="inlineStr">
        <is>
          <t>Chris Metcalfe</t>
        </is>
      </c>
      <c r="C160" t="inlineStr">
        <is>
          <t>Derby Mercury RC</t>
        </is>
      </c>
      <c r="D160" t="inlineStr">
        <is>
          <t>74</t>
        </is>
      </c>
      <c r="E160">
        <f>HYPERLINK("https://www.britishcycling.org.uk/points?person_id=13333&amp;year=2022&amp;type=national&amp;d=6","Results")</f>
        <v/>
      </c>
    </row>
    <row r="161">
      <c r="A161" t="inlineStr">
        <is>
          <t>160</t>
        </is>
      </c>
      <c r="B161" t="inlineStr">
        <is>
          <t>Ed Moseley</t>
        </is>
      </c>
      <c r="C161" t="inlineStr">
        <is>
          <t>Malvern Cycle Sport</t>
        </is>
      </c>
      <c r="D161" t="inlineStr">
        <is>
          <t>74</t>
        </is>
      </c>
      <c r="E161">
        <f>HYPERLINK("https://www.britishcycling.org.uk/points?person_id=76157&amp;year=2022&amp;type=national&amp;d=6","Results")</f>
        <v/>
      </c>
    </row>
    <row r="162">
      <c r="A162" t="inlineStr">
        <is>
          <t>161</t>
        </is>
      </c>
      <c r="B162" t="inlineStr">
        <is>
          <t>Mark Wood</t>
        </is>
      </c>
      <c r="C162" t="inlineStr">
        <is>
          <t>Barrow Central Wheelers</t>
        </is>
      </c>
      <c r="D162" t="inlineStr">
        <is>
          <t>74</t>
        </is>
      </c>
      <c r="E162">
        <f>HYPERLINK("https://www.britishcycling.org.uk/points?person_id=856756&amp;year=2022&amp;type=national&amp;d=6","Results")</f>
        <v/>
      </c>
    </row>
    <row r="163">
      <c r="A163" t="inlineStr">
        <is>
          <t>162</t>
        </is>
      </c>
      <c r="B163" t="inlineStr">
        <is>
          <t>Robert Ditcham</t>
        </is>
      </c>
      <c r="C163" t="inlineStr">
        <is>
          <t>Handsling Racing</t>
        </is>
      </c>
      <c r="D163" t="inlineStr">
        <is>
          <t>73</t>
        </is>
      </c>
      <c r="E163">
        <f>HYPERLINK("https://www.britishcycling.org.uk/points?person_id=815796&amp;year=2022&amp;type=national&amp;d=6","Results")</f>
        <v/>
      </c>
    </row>
    <row r="164">
      <c r="A164" t="inlineStr">
        <is>
          <t>163</t>
        </is>
      </c>
      <c r="B164" t="inlineStr">
        <is>
          <t>Joe Loader</t>
        </is>
      </c>
      <c r="C164" t="inlineStr">
        <is>
          <t>Reflex Racing</t>
        </is>
      </c>
      <c r="D164" t="inlineStr">
        <is>
          <t>73</t>
        </is>
      </c>
      <c r="E164">
        <f>HYPERLINK("https://www.britishcycling.org.uk/points?person_id=233678&amp;year=2022&amp;type=national&amp;d=6","Results")</f>
        <v/>
      </c>
    </row>
    <row r="165">
      <c r="A165" t="inlineStr">
        <is>
          <t>164</t>
        </is>
      </c>
      <c r="B165" t="inlineStr">
        <is>
          <t>Richard Lloyd</t>
        </is>
      </c>
      <c r="C165" t="inlineStr">
        <is>
          <t>Pontypool RCC</t>
        </is>
      </c>
      <c r="D165" t="inlineStr">
        <is>
          <t>72</t>
        </is>
      </c>
      <c r="E165">
        <f>HYPERLINK("https://www.britishcycling.org.uk/points?person_id=520222&amp;year=2022&amp;type=national&amp;d=6","Results")</f>
        <v/>
      </c>
    </row>
    <row r="166">
      <c r="A166" t="inlineStr">
        <is>
          <t>165</t>
        </is>
      </c>
      <c r="B166" t="inlineStr">
        <is>
          <t>Ben Vaughan</t>
        </is>
      </c>
      <c r="C166" t="inlineStr">
        <is>
          <t>Velo Club Lincoln</t>
        </is>
      </c>
      <c r="D166" t="inlineStr">
        <is>
          <t>71</t>
        </is>
      </c>
      <c r="E166">
        <f>HYPERLINK("https://www.britishcycling.org.uk/points?person_id=121254&amp;year=2022&amp;type=national&amp;d=6","Results")</f>
        <v/>
      </c>
    </row>
    <row r="167">
      <c r="A167" t="inlineStr">
        <is>
          <t>166</t>
        </is>
      </c>
      <c r="B167" t="inlineStr">
        <is>
          <t>Andrew Snowball</t>
        </is>
      </c>
      <c r="C167" t="inlineStr"/>
      <c r="D167" t="inlineStr">
        <is>
          <t>70</t>
        </is>
      </c>
      <c r="E167">
        <f>HYPERLINK("https://www.britishcycling.org.uk/points?person_id=46369&amp;year=2022&amp;type=national&amp;d=6","Results")</f>
        <v/>
      </c>
    </row>
    <row r="168">
      <c r="A168" t="inlineStr">
        <is>
          <t>167</t>
        </is>
      </c>
      <c r="B168" t="inlineStr">
        <is>
          <t>Chris Clayton</t>
        </is>
      </c>
      <c r="C168" t="inlineStr">
        <is>
          <t>Dyson Cycles</t>
        </is>
      </c>
      <c r="D168" t="inlineStr">
        <is>
          <t>69</t>
        </is>
      </c>
      <c r="E168">
        <f>HYPERLINK("https://www.britishcycling.org.uk/points?person_id=124898&amp;year=2022&amp;type=national&amp;d=6","Results")</f>
        <v/>
      </c>
    </row>
    <row r="169">
      <c r="A169" t="inlineStr">
        <is>
          <t>168</t>
        </is>
      </c>
      <c r="B169" t="inlineStr">
        <is>
          <t>Christopher Morrison</t>
        </is>
      </c>
      <c r="C169" t="inlineStr">
        <is>
          <t>CHAINGANG Racing Team</t>
        </is>
      </c>
      <c r="D169" t="inlineStr">
        <is>
          <t>69</t>
        </is>
      </c>
      <c r="E169">
        <f>HYPERLINK("https://www.britishcycling.org.uk/points?person_id=136881&amp;year=2022&amp;type=national&amp;d=6","Results")</f>
        <v/>
      </c>
    </row>
    <row r="170">
      <c r="A170" t="inlineStr">
        <is>
          <t>169</t>
        </is>
      </c>
      <c r="B170" t="inlineStr">
        <is>
          <t>Edward Addis</t>
        </is>
      </c>
      <c r="C170" t="inlineStr">
        <is>
          <t>RT23</t>
        </is>
      </c>
      <c r="D170" t="inlineStr">
        <is>
          <t>68</t>
        </is>
      </c>
      <c r="E170">
        <f>HYPERLINK("https://www.britishcycling.org.uk/points?person_id=79356&amp;year=2022&amp;type=national&amp;d=6","Results")</f>
        <v/>
      </c>
    </row>
    <row r="171">
      <c r="A171" t="inlineStr">
        <is>
          <t>170</t>
        </is>
      </c>
      <c r="B171" t="inlineStr">
        <is>
          <t>Benjamin Lewis</t>
        </is>
      </c>
      <c r="C171" t="inlineStr">
        <is>
          <t>Forest Side Riders</t>
        </is>
      </c>
      <c r="D171" t="inlineStr">
        <is>
          <t>68</t>
        </is>
      </c>
      <c r="E171">
        <f>HYPERLINK("https://www.britishcycling.org.uk/points?person_id=72548&amp;year=2022&amp;type=national&amp;d=6","Results")</f>
        <v/>
      </c>
    </row>
    <row r="172">
      <c r="A172" t="inlineStr">
        <is>
          <t>171</t>
        </is>
      </c>
      <c r="B172" t="inlineStr">
        <is>
          <t>Chris Stewart</t>
        </is>
      </c>
      <c r="C172" t="inlineStr"/>
      <c r="D172" t="inlineStr">
        <is>
          <t>68</t>
        </is>
      </c>
      <c r="E172">
        <f>HYPERLINK("https://www.britishcycling.org.uk/points?person_id=133561&amp;year=2022&amp;type=national&amp;d=6","Results")</f>
        <v/>
      </c>
    </row>
    <row r="173">
      <c r="A173" t="inlineStr">
        <is>
          <t>172</t>
        </is>
      </c>
      <c r="B173" t="inlineStr">
        <is>
          <t>Darren Binks</t>
        </is>
      </c>
      <c r="C173" t="inlineStr">
        <is>
          <t>Sowerby Sunday Club</t>
        </is>
      </c>
      <c r="D173" t="inlineStr">
        <is>
          <t>67</t>
        </is>
      </c>
      <c r="E173">
        <f>HYPERLINK("https://www.britishcycling.org.uk/points?person_id=23434&amp;year=2022&amp;type=national&amp;d=6","Results")</f>
        <v/>
      </c>
    </row>
    <row r="174">
      <c r="A174" t="inlineStr">
        <is>
          <t>173</t>
        </is>
      </c>
      <c r="B174" t="inlineStr">
        <is>
          <t>Lee Campbell</t>
        </is>
      </c>
      <c r="C174" t="inlineStr">
        <is>
          <t>Glasgow Nightingale CC</t>
        </is>
      </c>
      <c r="D174" t="inlineStr">
        <is>
          <t>66</t>
        </is>
      </c>
      <c r="E174">
        <f>HYPERLINK("https://www.britishcycling.org.uk/points?person_id=541301&amp;year=2022&amp;type=national&amp;d=6","Results")</f>
        <v/>
      </c>
    </row>
    <row r="175">
      <c r="A175" t="inlineStr">
        <is>
          <t>174</t>
        </is>
      </c>
      <c r="B175" t="inlineStr">
        <is>
          <t>Benjamin Hallam</t>
        </is>
      </c>
      <c r="C175" t="inlineStr"/>
      <c r="D175" t="inlineStr">
        <is>
          <t>66</t>
        </is>
      </c>
      <c r="E175">
        <f>HYPERLINK("https://www.britishcycling.org.uk/points?person_id=38343&amp;year=2022&amp;type=national&amp;d=6","Results")</f>
        <v/>
      </c>
    </row>
    <row r="176">
      <c r="A176" t="inlineStr">
        <is>
          <t>175</t>
        </is>
      </c>
      <c r="B176" t="inlineStr">
        <is>
          <t>Edward Burkitt</t>
        </is>
      </c>
      <c r="C176" t="inlineStr">
        <is>
          <t>Lincoln Wheelers CC</t>
        </is>
      </c>
      <c r="D176" t="inlineStr">
        <is>
          <t>64</t>
        </is>
      </c>
      <c r="E176">
        <f>HYPERLINK("https://www.britishcycling.org.uk/points?person_id=468865&amp;year=2022&amp;type=national&amp;d=6","Results")</f>
        <v/>
      </c>
    </row>
    <row r="177">
      <c r="A177" t="inlineStr">
        <is>
          <t>176</t>
        </is>
      </c>
      <c r="B177" t="inlineStr">
        <is>
          <t>Mervyn Dempsey</t>
        </is>
      </c>
      <c r="C177" t="inlineStr">
        <is>
          <t>Mercedes AMG PETRONAS</t>
        </is>
      </c>
      <c r="D177" t="inlineStr">
        <is>
          <t>64</t>
        </is>
      </c>
      <c r="E177">
        <f>HYPERLINK("https://www.britishcycling.org.uk/points?person_id=420336&amp;year=2022&amp;type=national&amp;d=6","Results")</f>
        <v/>
      </c>
    </row>
    <row r="178">
      <c r="A178" t="inlineStr">
        <is>
          <t>177</t>
        </is>
      </c>
      <c r="B178" t="inlineStr">
        <is>
          <t>John MacDonald</t>
        </is>
      </c>
      <c r="C178" t="inlineStr">
        <is>
          <t>Chorlton Velo</t>
        </is>
      </c>
      <c r="D178" t="inlineStr">
        <is>
          <t>64</t>
        </is>
      </c>
      <c r="E178">
        <f>HYPERLINK("https://www.britishcycling.org.uk/points?person_id=290678&amp;year=2022&amp;type=national&amp;d=6","Results")</f>
        <v/>
      </c>
    </row>
    <row r="179">
      <c r="A179" t="inlineStr">
        <is>
          <t>178</t>
        </is>
      </c>
      <c r="B179" t="inlineStr">
        <is>
          <t>Simon Snowden</t>
        </is>
      </c>
      <c r="C179" t="inlineStr">
        <is>
          <t>WestSide Coaching</t>
        </is>
      </c>
      <c r="D179" t="inlineStr">
        <is>
          <t>62</t>
        </is>
      </c>
      <c r="E179">
        <f>HYPERLINK("https://www.britishcycling.org.uk/points?person_id=51615&amp;year=2022&amp;type=national&amp;d=6","Results")</f>
        <v/>
      </c>
    </row>
    <row r="180">
      <c r="A180" t="inlineStr">
        <is>
          <t>179</t>
        </is>
      </c>
      <c r="B180" t="inlineStr">
        <is>
          <t>Duncan Putman</t>
        </is>
      </c>
      <c r="C180" t="inlineStr">
        <is>
          <t>Derby Mercury RC</t>
        </is>
      </c>
      <c r="D180" t="inlineStr">
        <is>
          <t>61</t>
        </is>
      </c>
      <c r="E180">
        <f>HYPERLINK("https://www.britishcycling.org.uk/points?person_id=8731&amp;year=2022&amp;type=national&amp;d=6","Results")</f>
        <v/>
      </c>
    </row>
    <row r="181">
      <c r="A181" t="inlineStr">
        <is>
          <t>180</t>
        </is>
      </c>
      <c r="B181" t="inlineStr">
        <is>
          <t>Dan Rowley</t>
        </is>
      </c>
      <c r="C181" t="inlineStr">
        <is>
          <t>Bristol CX</t>
        </is>
      </c>
      <c r="D181" t="inlineStr">
        <is>
          <t>61</t>
        </is>
      </c>
      <c r="E181">
        <f>HYPERLINK("https://www.britishcycling.org.uk/points?person_id=1042989&amp;year=2022&amp;type=national&amp;d=6","Results")</f>
        <v/>
      </c>
    </row>
    <row r="182">
      <c r="A182" t="inlineStr">
        <is>
          <t>181</t>
        </is>
      </c>
      <c r="B182" t="inlineStr">
        <is>
          <t>Tim Kershaw</t>
        </is>
      </c>
      <c r="C182" t="inlineStr"/>
      <c r="D182" t="inlineStr">
        <is>
          <t>60</t>
        </is>
      </c>
      <c r="E182">
        <f>HYPERLINK("https://www.britishcycling.org.uk/points?person_id=117610&amp;year=2022&amp;type=national&amp;d=6","Results")</f>
        <v/>
      </c>
    </row>
    <row r="183">
      <c r="A183" t="inlineStr">
        <is>
          <t>182</t>
        </is>
      </c>
      <c r="B183" t="inlineStr">
        <is>
          <t>Andrew Mosley</t>
        </is>
      </c>
      <c r="C183" t="inlineStr">
        <is>
          <t>Lincoln Wheelers CC</t>
        </is>
      </c>
      <c r="D183" t="inlineStr">
        <is>
          <t>60</t>
        </is>
      </c>
      <c r="E183">
        <f>HYPERLINK("https://www.britishcycling.org.uk/points?person_id=60116&amp;year=2022&amp;type=national&amp;d=6","Results")</f>
        <v/>
      </c>
    </row>
    <row r="184">
      <c r="A184" t="inlineStr">
        <is>
          <t>183</t>
        </is>
      </c>
      <c r="B184" t="inlineStr">
        <is>
          <t>Kevin Newlyn</t>
        </is>
      </c>
      <c r="C184" t="inlineStr">
        <is>
          <t>Sussex Revolution Velo Club</t>
        </is>
      </c>
      <c r="D184" t="inlineStr">
        <is>
          <t>60</t>
        </is>
      </c>
      <c r="E184">
        <f>HYPERLINK("https://www.britishcycling.org.uk/points?person_id=987958&amp;year=2022&amp;type=national&amp;d=6","Results")</f>
        <v/>
      </c>
    </row>
    <row r="185">
      <c r="A185" t="inlineStr">
        <is>
          <t>184</t>
        </is>
      </c>
      <c r="B185" t="inlineStr">
        <is>
          <t>Phil Cook</t>
        </is>
      </c>
      <c r="C185" t="inlineStr">
        <is>
          <t>Velo Culture</t>
        </is>
      </c>
      <c r="D185" t="inlineStr">
        <is>
          <t>59</t>
        </is>
      </c>
      <c r="E185">
        <f>HYPERLINK("https://www.britishcycling.org.uk/points?person_id=300318&amp;year=2022&amp;type=national&amp;d=6","Results")</f>
        <v/>
      </c>
    </row>
    <row r="186">
      <c r="A186" t="inlineStr">
        <is>
          <t>185</t>
        </is>
      </c>
      <c r="B186" t="inlineStr">
        <is>
          <t>Richard Bowen</t>
        </is>
      </c>
      <c r="C186" t="inlineStr">
        <is>
          <t>Gateway Racing</t>
        </is>
      </c>
      <c r="D186" t="inlineStr">
        <is>
          <t>58</t>
        </is>
      </c>
      <c r="E186">
        <f>HYPERLINK("https://www.britishcycling.org.uk/points?person_id=67975&amp;year=2022&amp;type=national&amp;d=6","Results")</f>
        <v/>
      </c>
    </row>
    <row r="187">
      <c r="A187" t="inlineStr">
        <is>
          <t>186</t>
        </is>
      </c>
      <c r="B187" t="inlineStr">
        <is>
          <t>Ryan Machin</t>
        </is>
      </c>
      <c r="C187" t="inlineStr">
        <is>
          <t>Crawley Wheelers Race Team</t>
        </is>
      </c>
      <c r="D187" t="inlineStr">
        <is>
          <t>58</t>
        </is>
      </c>
      <c r="E187">
        <f>HYPERLINK("https://www.britishcycling.org.uk/points?person_id=315652&amp;year=2022&amp;type=national&amp;d=6","Results")</f>
        <v/>
      </c>
    </row>
    <row r="188">
      <c r="A188" t="inlineStr">
        <is>
          <t>187</t>
        </is>
      </c>
      <c r="B188" t="inlineStr">
        <is>
          <t>Jamie Murray</t>
        </is>
      </c>
      <c r="C188" t="inlineStr">
        <is>
          <t>Peterborough Cycling Club</t>
        </is>
      </c>
      <c r="D188" t="inlineStr">
        <is>
          <t>58</t>
        </is>
      </c>
      <c r="E188">
        <f>HYPERLINK("https://www.britishcycling.org.uk/points?person_id=666591&amp;year=2022&amp;type=national&amp;d=6","Results")</f>
        <v/>
      </c>
    </row>
    <row r="189">
      <c r="A189" t="inlineStr">
        <is>
          <t>188</t>
        </is>
      </c>
      <c r="B189" t="inlineStr">
        <is>
          <t>Benedict Wallis</t>
        </is>
      </c>
      <c r="C189" t="inlineStr">
        <is>
          <t>Bristol RC</t>
        </is>
      </c>
      <c r="D189" t="inlineStr">
        <is>
          <t>58</t>
        </is>
      </c>
      <c r="E189">
        <f>HYPERLINK("https://www.britishcycling.org.uk/points?person_id=770033&amp;year=2022&amp;type=national&amp;d=6","Results")</f>
        <v/>
      </c>
    </row>
    <row r="190">
      <c r="A190" t="inlineStr">
        <is>
          <t>189</t>
        </is>
      </c>
      <c r="B190" t="inlineStr">
        <is>
          <t>Daniel Atkins</t>
        </is>
      </c>
      <c r="C190" t="inlineStr">
        <is>
          <t>Didcot Phoenix CC</t>
        </is>
      </c>
      <c r="D190" t="inlineStr">
        <is>
          <t>57</t>
        </is>
      </c>
      <c r="E190">
        <f>HYPERLINK("https://www.britishcycling.org.uk/points?person_id=238402&amp;year=2022&amp;type=national&amp;d=6","Results")</f>
        <v/>
      </c>
    </row>
    <row r="191">
      <c r="A191" t="inlineStr">
        <is>
          <t>190</t>
        </is>
      </c>
      <c r="B191" t="inlineStr">
        <is>
          <t>Stuart Baldwin</t>
        </is>
      </c>
      <c r="C191" t="inlineStr">
        <is>
          <t>CX Cartel</t>
        </is>
      </c>
      <c r="D191" t="inlineStr">
        <is>
          <t>57</t>
        </is>
      </c>
      <c r="E191">
        <f>HYPERLINK("https://www.britishcycling.org.uk/points?person_id=6766&amp;year=2022&amp;type=national&amp;d=6","Results")</f>
        <v/>
      </c>
    </row>
    <row r="192">
      <c r="A192" t="inlineStr">
        <is>
          <t>191</t>
        </is>
      </c>
      <c r="B192" t="inlineStr">
        <is>
          <t>Daniel Baines</t>
        </is>
      </c>
      <c r="C192" t="inlineStr">
        <is>
          <t>C and N Cycles RT</t>
        </is>
      </c>
      <c r="D192" t="inlineStr">
        <is>
          <t>56</t>
        </is>
      </c>
      <c r="E192">
        <f>HYPERLINK("https://www.britishcycling.org.uk/points?person_id=103378&amp;year=2022&amp;type=national&amp;d=6","Results")</f>
        <v/>
      </c>
    </row>
    <row r="193">
      <c r="A193" t="inlineStr">
        <is>
          <t>192</t>
        </is>
      </c>
      <c r="B193" t="inlineStr">
        <is>
          <t>Ben Clarke</t>
        </is>
      </c>
      <c r="C193" t="inlineStr">
        <is>
          <t>Team Tor 2000 Kalas</t>
        </is>
      </c>
      <c r="D193" t="inlineStr">
        <is>
          <t>56</t>
        </is>
      </c>
      <c r="E193">
        <f>HYPERLINK("https://www.britishcycling.org.uk/points?person_id=843749&amp;year=2022&amp;type=national&amp;d=6","Results")</f>
        <v/>
      </c>
    </row>
    <row r="194">
      <c r="A194" t="inlineStr">
        <is>
          <t>193</t>
        </is>
      </c>
      <c r="B194" t="inlineStr">
        <is>
          <t>Kevin Fearnshaw</t>
        </is>
      </c>
      <c r="C194" t="inlineStr">
        <is>
          <t>Ilkeston Cycle Club</t>
        </is>
      </c>
      <c r="D194" t="inlineStr">
        <is>
          <t>56</t>
        </is>
      </c>
      <c r="E194">
        <f>HYPERLINK("https://www.britishcycling.org.uk/points?person_id=64342&amp;year=2022&amp;type=national&amp;d=6","Results")</f>
        <v/>
      </c>
    </row>
    <row r="195">
      <c r="A195" t="inlineStr">
        <is>
          <t>194</t>
        </is>
      </c>
      <c r="B195" t="inlineStr">
        <is>
          <t>Craig Gunnell</t>
        </is>
      </c>
      <c r="C195" t="inlineStr"/>
      <c r="D195" t="inlineStr">
        <is>
          <t>56</t>
        </is>
      </c>
      <c r="E195">
        <f>HYPERLINK("https://www.britishcycling.org.uk/points?person_id=188171&amp;year=2022&amp;type=national&amp;d=6","Results")</f>
        <v/>
      </c>
    </row>
    <row r="196">
      <c r="A196" t="inlineStr">
        <is>
          <t>195</t>
        </is>
      </c>
      <c r="B196" t="inlineStr">
        <is>
          <t>Paul Bennett</t>
        </is>
      </c>
      <c r="C196" t="inlineStr"/>
      <c r="D196" t="inlineStr">
        <is>
          <t>55</t>
        </is>
      </c>
      <c r="E196">
        <f>HYPERLINK("https://www.britishcycling.org.uk/points?person_id=70324&amp;year=2022&amp;type=national&amp;d=6","Results")</f>
        <v/>
      </c>
    </row>
    <row r="197">
      <c r="A197" t="inlineStr">
        <is>
          <t>196</t>
        </is>
      </c>
      <c r="B197" t="inlineStr">
        <is>
          <t>Robert Purcell</t>
        </is>
      </c>
      <c r="C197" t="inlineStr"/>
      <c r="D197" t="inlineStr">
        <is>
          <t>55</t>
        </is>
      </c>
      <c r="E197">
        <f>HYPERLINK("https://www.britishcycling.org.uk/points?person_id=57072&amp;year=2022&amp;type=national&amp;d=6","Results")</f>
        <v/>
      </c>
    </row>
    <row r="198">
      <c r="A198" t="inlineStr">
        <is>
          <t>197</t>
        </is>
      </c>
      <c r="B198" t="inlineStr">
        <is>
          <t>James Britton</t>
        </is>
      </c>
      <c r="C198" t="inlineStr">
        <is>
          <t>Bristol CX</t>
        </is>
      </c>
      <c r="D198" t="inlineStr">
        <is>
          <t>54</t>
        </is>
      </c>
      <c r="E198">
        <f>HYPERLINK("https://www.britishcycling.org.uk/points?person_id=49266&amp;year=2022&amp;type=national&amp;d=6","Results")</f>
        <v/>
      </c>
    </row>
    <row r="199">
      <c r="A199" t="inlineStr">
        <is>
          <t>198</t>
        </is>
      </c>
      <c r="B199" t="inlineStr">
        <is>
          <t>Lee Sanderson</t>
        </is>
      </c>
      <c r="C199" t="inlineStr">
        <is>
          <t>VC Azzurri</t>
        </is>
      </c>
      <c r="D199" t="inlineStr">
        <is>
          <t>54</t>
        </is>
      </c>
      <c r="E199">
        <f>HYPERLINK("https://www.britishcycling.org.uk/points?person_id=68898&amp;year=2022&amp;type=national&amp;d=6","Results")</f>
        <v/>
      </c>
    </row>
    <row r="200">
      <c r="A200" t="inlineStr">
        <is>
          <t>199</t>
        </is>
      </c>
      <c r="B200" t="inlineStr">
        <is>
          <t>Philip Wilkinson</t>
        </is>
      </c>
      <c r="C200" t="inlineStr">
        <is>
          <t>Rockingham Forest Whls</t>
        </is>
      </c>
      <c r="D200" t="inlineStr">
        <is>
          <t>54</t>
        </is>
      </c>
      <c r="E200">
        <f>HYPERLINK("https://www.britishcycling.org.uk/points?person_id=46642&amp;year=2022&amp;type=national&amp;d=6","Results")</f>
        <v/>
      </c>
    </row>
    <row r="201">
      <c r="A201" t="inlineStr">
        <is>
          <t>200</t>
        </is>
      </c>
      <c r="B201" t="inlineStr">
        <is>
          <t>Magnus Wills</t>
        </is>
      </c>
      <c r="C201" t="inlineStr">
        <is>
          <t>Dulwich Paragon CC</t>
        </is>
      </c>
      <c r="D201" t="inlineStr">
        <is>
          <t>54</t>
        </is>
      </c>
      <c r="E201">
        <f>HYPERLINK("https://www.britishcycling.org.uk/points?person_id=308074&amp;year=2022&amp;type=national&amp;d=6","Results")</f>
        <v/>
      </c>
    </row>
    <row r="202">
      <c r="A202" t="inlineStr">
        <is>
          <t>201</t>
        </is>
      </c>
      <c r="B202" t="inlineStr">
        <is>
          <t>Oliver McCall</t>
        </is>
      </c>
      <c r="C202" t="inlineStr"/>
      <c r="D202" t="inlineStr">
        <is>
          <t>53</t>
        </is>
      </c>
      <c r="E202">
        <f>HYPERLINK("https://www.britishcycling.org.uk/points?person_id=821561&amp;year=2022&amp;type=national&amp;d=6","Results")</f>
        <v/>
      </c>
    </row>
    <row r="203">
      <c r="A203" t="inlineStr">
        <is>
          <t>202</t>
        </is>
      </c>
      <c r="B203" t="inlineStr">
        <is>
          <t>Dean Camier</t>
        </is>
      </c>
      <c r="C203" t="inlineStr"/>
      <c r="D203" t="inlineStr">
        <is>
          <t>52</t>
        </is>
      </c>
      <c r="E203">
        <f>HYPERLINK("https://www.britishcycling.org.uk/points?person_id=318926&amp;year=2022&amp;type=national&amp;d=6","Results")</f>
        <v/>
      </c>
    </row>
    <row r="204">
      <c r="A204" t="inlineStr">
        <is>
          <t>203</t>
        </is>
      </c>
      <c r="B204" t="inlineStr">
        <is>
          <t>Gavin Fowler</t>
        </is>
      </c>
      <c r="C204" t="inlineStr">
        <is>
          <t>Team Trident</t>
        </is>
      </c>
      <c r="D204" t="inlineStr">
        <is>
          <t>52</t>
        </is>
      </c>
      <c r="E204">
        <f>HYPERLINK("https://www.britishcycling.org.uk/points?person_id=617933&amp;year=2022&amp;type=national&amp;d=6","Results")</f>
        <v/>
      </c>
    </row>
    <row r="205">
      <c r="A205" t="inlineStr">
        <is>
          <t>204</t>
        </is>
      </c>
      <c r="B205" t="inlineStr">
        <is>
          <t>Pete Boustred</t>
        </is>
      </c>
      <c r="C205" t="inlineStr">
        <is>
          <t>DHC (DistrictsofHamwicCyclesport)</t>
        </is>
      </c>
      <c r="D205" t="inlineStr">
        <is>
          <t>51</t>
        </is>
      </c>
      <c r="E205">
        <f>HYPERLINK("https://www.britishcycling.org.uk/points?person_id=689998&amp;year=2022&amp;type=national&amp;d=6","Results")</f>
        <v/>
      </c>
    </row>
    <row r="206">
      <c r="A206" t="inlineStr">
        <is>
          <t>205</t>
        </is>
      </c>
      <c r="B206" t="inlineStr">
        <is>
          <t>Jesse Baines</t>
        </is>
      </c>
      <c r="C206" t="inlineStr"/>
      <c r="D206" t="inlineStr">
        <is>
          <t>50</t>
        </is>
      </c>
      <c r="E206">
        <f>HYPERLINK("https://www.britishcycling.org.uk/points?person_id=117604&amp;year=2022&amp;type=national&amp;d=6","Results")</f>
        <v/>
      </c>
    </row>
    <row r="207">
      <c r="A207" t="inlineStr">
        <is>
          <t>206</t>
        </is>
      </c>
      <c r="B207" t="inlineStr">
        <is>
          <t>Leon Goodwin</t>
        </is>
      </c>
      <c r="C207" t="inlineStr">
        <is>
          <t>Louth Cycle Centre RT</t>
        </is>
      </c>
      <c r="D207" t="inlineStr">
        <is>
          <t>50</t>
        </is>
      </c>
      <c r="E207">
        <f>HYPERLINK("https://www.britishcycling.org.uk/points?person_id=423782&amp;year=2022&amp;type=national&amp;d=6","Results")</f>
        <v/>
      </c>
    </row>
    <row r="208">
      <c r="A208" t="inlineStr">
        <is>
          <t>207</t>
        </is>
      </c>
      <c r="B208" t="inlineStr">
        <is>
          <t>Gavin Howell</t>
        </is>
      </c>
      <c r="C208" t="inlineStr">
        <is>
          <t>Ride Revolution Coaching</t>
        </is>
      </c>
      <c r="D208" t="inlineStr">
        <is>
          <t>50</t>
        </is>
      </c>
      <c r="E208">
        <f>HYPERLINK("https://www.britishcycling.org.uk/points?person_id=53099&amp;year=2022&amp;type=national&amp;d=6","Results")</f>
        <v/>
      </c>
    </row>
    <row r="209">
      <c r="A209" t="inlineStr">
        <is>
          <t>208</t>
        </is>
      </c>
      <c r="B209" t="inlineStr">
        <is>
          <t>Richard Lewis</t>
        </is>
      </c>
      <c r="C209" t="inlineStr">
        <is>
          <t>Cycle Club Basingstoke</t>
        </is>
      </c>
      <c r="D209" t="inlineStr">
        <is>
          <t>50</t>
        </is>
      </c>
      <c r="E209">
        <f>HYPERLINK("https://www.britishcycling.org.uk/points?person_id=8136&amp;year=2022&amp;type=national&amp;d=6","Results")</f>
        <v/>
      </c>
    </row>
    <row r="210">
      <c r="A210" t="inlineStr">
        <is>
          <t>209</t>
        </is>
      </c>
      <c r="B210" t="inlineStr">
        <is>
          <t>David Tomb</t>
        </is>
      </c>
      <c r="C210" t="inlineStr">
        <is>
          <t>VC Glasgow South</t>
        </is>
      </c>
      <c r="D210" t="inlineStr">
        <is>
          <t>50</t>
        </is>
      </c>
      <c r="E210">
        <f>HYPERLINK("https://www.britishcycling.org.uk/points?person_id=1013055&amp;year=2022&amp;type=national&amp;d=6","Results")</f>
        <v/>
      </c>
    </row>
    <row r="211">
      <c r="A211" t="inlineStr">
        <is>
          <t>210</t>
        </is>
      </c>
      <c r="B211" t="inlineStr">
        <is>
          <t>Richard Bowditch</t>
        </is>
      </c>
      <c r="C211" t="inlineStr">
        <is>
          <t>Congleton CC</t>
        </is>
      </c>
      <c r="D211" t="inlineStr">
        <is>
          <t>49</t>
        </is>
      </c>
      <c r="E211">
        <f>HYPERLINK("https://www.britishcycling.org.uk/points?person_id=33372&amp;year=2022&amp;type=national&amp;d=6","Results")</f>
        <v/>
      </c>
    </row>
    <row r="212">
      <c r="A212" t="inlineStr">
        <is>
          <t>211</t>
        </is>
      </c>
      <c r="B212" t="inlineStr">
        <is>
          <t>James Waddington</t>
        </is>
      </c>
      <c r="C212" t="inlineStr"/>
      <c r="D212" t="inlineStr">
        <is>
          <t>48</t>
        </is>
      </c>
      <c r="E212">
        <f>HYPERLINK("https://www.britishcycling.org.uk/points?person_id=64631&amp;year=2022&amp;type=national&amp;d=6","Results")</f>
        <v/>
      </c>
    </row>
    <row r="213">
      <c r="A213" t="inlineStr">
        <is>
          <t>212</t>
        </is>
      </c>
      <c r="B213" t="inlineStr">
        <is>
          <t>Mark Higham</t>
        </is>
      </c>
      <c r="C213" t="inlineStr">
        <is>
          <t>Clifton CC</t>
        </is>
      </c>
      <c r="D213" t="inlineStr">
        <is>
          <t>47</t>
        </is>
      </c>
      <c r="E213">
        <f>HYPERLINK("https://www.britishcycling.org.uk/points?person_id=402952&amp;year=2022&amp;type=national&amp;d=6","Results")</f>
        <v/>
      </c>
    </row>
    <row r="214">
      <c r="A214" t="inlineStr">
        <is>
          <t>213</t>
        </is>
      </c>
      <c r="B214" t="inlineStr">
        <is>
          <t>Darren Jones</t>
        </is>
      </c>
      <c r="C214" t="inlineStr"/>
      <c r="D214" t="inlineStr">
        <is>
          <t>46</t>
        </is>
      </c>
      <c r="E214">
        <f>HYPERLINK("https://www.britishcycling.org.uk/points?person_id=297405&amp;year=2022&amp;type=national&amp;d=6","Results")</f>
        <v/>
      </c>
    </row>
    <row r="215">
      <c r="A215" t="inlineStr">
        <is>
          <t>214</t>
        </is>
      </c>
      <c r="B215" t="inlineStr">
        <is>
          <t>Christopher Clark</t>
        </is>
      </c>
      <c r="C215" t="inlineStr">
        <is>
          <t>Clifton CC</t>
        </is>
      </c>
      <c r="D215" t="inlineStr">
        <is>
          <t>45</t>
        </is>
      </c>
      <c r="E215">
        <f>HYPERLINK("https://www.britishcycling.org.uk/points?person_id=39887&amp;year=2022&amp;type=national&amp;d=6","Results")</f>
        <v/>
      </c>
    </row>
    <row r="216">
      <c r="A216" t="inlineStr">
        <is>
          <t>215</t>
        </is>
      </c>
      <c r="B216" t="inlineStr">
        <is>
          <t>Dan Hurst</t>
        </is>
      </c>
      <c r="C216" t="inlineStr">
        <is>
          <t>Ruthin Cycling Club</t>
        </is>
      </c>
      <c r="D216" t="inlineStr">
        <is>
          <t>45</t>
        </is>
      </c>
      <c r="E216">
        <f>HYPERLINK("https://www.britishcycling.org.uk/points?person_id=233526&amp;year=2022&amp;type=national&amp;d=6","Results")</f>
        <v/>
      </c>
    </row>
    <row r="217">
      <c r="A217" t="inlineStr">
        <is>
          <t>216</t>
        </is>
      </c>
      <c r="B217" t="inlineStr">
        <is>
          <t>Simon Patterson</t>
        </is>
      </c>
      <c r="C217" t="inlineStr"/>
      <c r="D217" t="inlineStr">
        <is>
          <t>45</t>
        </is>
      </c>
      <c r="E217">
        <f>HYPERLINK("https://www.britishcycling.org.uk/points?person_id=957470&amp;year=2022&amp;type=national&amp;d=6","Results")</f>
        <v/>
      </c>
    </row>
    <row r="218">
      <c r="A218" t="inlineStr">
        <is>
          <t>217</t>
        </is>
      </c>
      <c r="B218" t="inlineStr">
        <is>
          <t>Matthew George</t>
        </is>
      </c>
      <c r="C218" t="inlineStr">
        <is>
          <t>Twickenham CC</t>
        </is>
      </c>
      <c r="D218" t="inlineStr">
        <is>
          <t>44</t>
        </is>
      </c>
      <c r="E218">
        <f>HYPERLINK("https://www.britishcycling.org.uk/points?person_id=566334&amp;year=2022&amp;type=national&amp;d=6","Results")</f>
        <v/>
      </c>
    </row>
    <row r="219">
      <c r="A219" t="inlineStr">
        <is>
          <t>218</t>
        </is>
      </c>
      <c r="B219" t="inlineStr">
        <is>
          <t>Richard Morgan</t>
        </is>
      </c>
      <c r="C219" t="inlineStr">
        <is>
          <t>Barrow Central Wheelers</t>
        </is>
      </c>
      <c r="D219" t="inlineStr">
        <is>
          <t>44</t>
        </is>
      </c>
      <c r="E219">
        <f>HYPERLINK("https://www.britishcycling.org.uk/points?person_id=741520&amp;year=2022&amp;type=national&amp;d=6","Results")</f>
        <v/>
      </c>
    </row>
    <row r="220">
      <c r="A220" t="inlineStr">
        <is>
          <t>219</t>
        </is>
      </c>
      <c r="B220" t="inlineStr">
        <is>
          <t>James Taylor</t>
        </is>
      </c>
      <c r="C220" t="inlineStr">
        <is>
          <t>www.Zepnat.com RT - Lazer helmets</t>
        </is>
      </c>
      <c r="D220" t="inlineStr">
        <is>
          <t>43</t>
        </is>
      </c>
      <c r="E220">
        <f>HYPERLINK("https://www.britishcycling.org.uk/points?person_id=1001696&amp;year=2022&amp;type=national&amp;d=6","Results")</f>
        <v/>
      </c>
    </row>
    <row r="221">
      <c r="A221" t="inlineStr">
        <is>
          <t>220</t>
        </is>
      </c>
      <c r="B221" t="inlineStr">
        <is>
          <t>Tony Vickers</t>
        </is>
      </c>
      <c r="C221" t="inlineStr">
        <is>
          <t>Velo 1860</t>
        </is>
      </c>
      <c r="D221" t="inlineStr">
        <is>
          <t>43</t>
        </is>
      </c>
      <c r="E221">
        <f>HYPERLINK("https://www.britishcycling.org.uk/points?person_id=137129&amp;year=2022&amp;type=national&amp;d=6","Results")</f>
        <v/>
      </c>
    </row>
    <row r="222">
      <c r="A222" t="inlineStr">
        <is>
          <t>221</t>
        </is>
      </c>
      <c r="B222" t="inlineStr">
        <is>
          <t>Andrew Baum</t>
        </is>
      </c>
      <c r="C222" t="inlineStr">
        <is>
          <t>Pontypool RCC</t>
        </is>
      </c>
      <c r="D222" t="inlineStr">
        <is>
          <t>42</t>
        </is>
      </c>
      <c r="E222">
        <f>HYPERLINK("https://www.britishcycling.org.uk/points?person_id=61742&amp;year=2022&amp;type=national&amp;d=6","Results")</f>
        <v/>
      </c>
    </row>
    <row r="223">
      <c r="A223" t="inlineStr">
        <is>
          <t>222</t>
        </is>
      </c>
      <c r="B223" t="inlineStr">
        <is>
          <t>Kieran Holdstock</t>
        </is>
      </c>
      <c r="C223" t="inlineStr">
        <is>
          <t>Worcester St Johns CC</t>
        </is>
      </c>
      <c r="D223" t="inlineStr">
        <is>
          <t>42</t>
        </is>
      </c>
      <c r="E223">
        <f>HYPERLINK("https://www.britishcycling.org.uk/points?person_id=174171&amp;year=2022&amp;type=national&amp;d=6","Results")</f>
        <v/>
      </c>
    </row>
    <row r="224">
      <c r="A224" t="inlineStr">
        <is>
          <t>223</t>
        </is>
      </c>
      <c r="B224" t="inlineStr">
        <is>
          <t>Vince Potter</t>
        </is>
      </c>
      <c r="C224" t="inlineStr">
        <is>
          <t>Cleveland Wheelers CC</t>
        </is>
      </c>
      <c r="D224" t="inlineStr">
        <is>
          <t>42</t>
        </is>
      </c>
      <c r="E224">
        <f>HYPERLINK("https://www.britishcycling.org.uk/points?person_id=57948&amp;year=2022&amp;type=national&amp;d=6","Results")</f>
        <v/>
      </c>
    </row>
    <row r="225">
      <c r="A225" t="inlineStr">
        <is>
          <t>224</t>
        </is>
      </c>
      <c r="B225" t="inlineStr">
        <is>
          <t>Laurie Bone</t>
        </is>
      </c>
      <c r="C225" t="inlineStr">
        <is>
          <t>The Bike Loft</t>
        </is>
      </c>
      <c r="D225" t="inlineStr">
        <is>
          <t>41</t>
        </is>
      </c>
      <c r="E225">
        <f>HYPERLINK("https://www.britishcycling.org.uk/points?person_id=63549&amp;year=2022&amp;type=national&amp;d=6","Results")</f>
        <v/>
      </c>
    </row>
    <row r="226">
      <c r="A226" t="inlineStr">
        <is>
          <t>225</t>
        </is>
      </c>
      <c r="B226" t="inlineStr">
        <is>
          <t>Chris Buchan</t>
        </is>
      </c>
      <c r="C226" t="inlineStr">
        <is>
          <t>Pentland Racers</t>
        </is>
      </c>
      <c r="D226" t="inlineStr">
        <is>
          <t>40</t>
        </is>
      </c>
      <c r="E226">
        <f>HYPERLINK("https://www.britishcycling.org.uk/points?person_id=187577&amp;year=2022&amp;type=national&amp;d=6","Results")</f>
        <v/>
      </c>
    </row>
    <row r="227">
      <c r="A227" t="inlineStr">
        <is>
          <t>226</t>
        </is>
      </c>
      <c r="B227" t="inlineStr">
        <is>
          <t>Ewan Elliott</t>
        </is>
      </c>
      <c r="C227" t="inlineStr">
        <is>
          <t>Welwyn Wheelers CC</t>
        </is>
      </c>
      <c r="D227" t="inlineStr">
        <is>
          <t>40</t>
        </is>
      </c>
      <c r="E227">
        <f>HYPERLINK("https://www.britishcycling.org.uk/points?person_id=549158&amp;year=2022&amp;type=national&amp;d=6","Results")</f>
        <v/>
      </c>
    </row>
    <row r="228">
      <c r="A228" t="inlineStr">
        <is>
          <t>227</t>
        </is>
      </c>
      <c r="B228" t="inlineStr">
        <is>
          <t>Daniel Sharp</t>
        </is>
      </c>
      <c r="C228" t="inlineStr">
        <is>
          <t>Ilkley Cycling Club</t>
        </is>
      </c>
      <c r="D228" t="inlineStr">
        <is>
          <t>40</t>
        </is>
      </c>
      <c r="E228">
        <f>HYPERLINK("https://www.britishcycling.org.uk/points?person_id=615223&amp;year=2022&amp;type=national&amp;d=6","Results")</f>
        <v/>
      </c>
    </row>
    <row r="229">
      <c r="A229" t="inlineStr">
        <is>
          <t>228</t>
        </is>
      </c>
      <c r="B229" t="inlineStr">
        <is>
          <t>Daniel Ladle</t>
        </is>
      </c>
      <c r="C229" t="inlineStr"/>
      <c r="D229" t="inlineStr">
        <is>
          <t>39</t>
        </is>
      </c>
      <c r="E229">
        <f>HYPERLINK("https://www.britishcycling.org.uk/points?person_id=175298&amp;year=2022&amp;type=national&amp;d=6","Results")</f>
        <v/>
      </c>
    </row>
    <row r="230">
      <c r="A230" t="inlineStr">
        <is>
          <t>229</t>
        </is>
      </c>
      <c r="B230" t="inlineStr">
        <is>
          <t>Craig Preece</t>
        </is>
      </c>
      <c r="C230" t="inlineStr">
        <is>
          <t>Army Cycling Union</t>
        </is>
      </c>
      <c r="D230" t="inlineStr">
        <is>
          <t>39</t>
        </is>
      </c>
      <c r="E230">
        <f>HYPERLINK("https://www.britishcycling.org.uk/points?person_id=240503&amp;year=2022&amp;type=national&amp;d=6","Results")</f>
        <v/>
      </c>
    </row>
    <row r="231">
      <c r="A231" t="inlineStr">
        <is>
          <t>230</t>
        </is>
      </c>
      <c r="B231" t="inlineStr">
        <is>
          <t>Mark Shepherd</t>
        </is>
      </c>
      <c r="C231" t="inlineStr">
        <is>
          <t>Fruit 4 London</t>
        </is>
      </c>
      <c r="D231" t="inlineStr">
        <is>
          <t>39</t>
        </is>
      </c>
      <c r="E231">
        <f>HYPERLINK("https://www.britishcycling.org.uk/points?person_id=54672&amp;year=2022&amp;type=national&amp;d=6","Results")</f>
        <v/>
      </c>
    </row>
    <row r="232">
      <c r="A232" t="inlineStr">
        <is>
          <t>231</t>
        </is>
      </c>
      <c r="B232" t="inlineStr">
        <is>
          <t>Mark Reed</t>
        </is>
      </c>
      <c r="C232" t="inlineStr">
        <is>
          <t>Tyneside Vagabonds CC</t>
        </is>
      </c>
      <c r="D232" t="inlineStr">
        <is>
          <t>37</t>
        </is>
      </c>
      <c r="E232">
        <f>HYPERLINK("https://www.britishcycling.org.uk/points?person_id=106848&amp;year=2022&amp;type=national&amp;d=6","Results")</f>
        <v/>
      </c>
    </row>
    <row r="233">
      <c r="A233" t="inlineStr">
        <is>
          <t>232</t>
        </is>
      </c>
      <c r="B233" t="inlineStr">
        <is>
          <t>Alex Benfield</t>
        </is>
      </c>
      <c r="C233" t="inlineStr"/>
      <c r="D233" t="inlineStr">
        <is>
          <t>36</t>
        </is>
      </c>
      <c r="E233">
        <f>HYPERLINK("https://www.britishcycling.org.uk/points?person_id=1088991&amp;year=2022&amp;type=national&amp;d=6","Results")</f>
        <v/>
      </c>
    </row>
    <row r="234">
      <c r="A234" t="inlineStr">
        <is>
          <t>233</t>
        </is>
      </c>
      <c r="B234" t="inlineStr">
        <is>
          <t>Philip Deacon</t>
        </is>
      </c>
      <c r="C234" t="inlineStr">
        <is>
          <t>Bradford on Avon</t>
        </is>
      </c>
      <c r="D234" t="inlineStr">
        <is>
          <t>36</t>
        </is>
      </c>
      <c r="E234">
        <f>HYPERLINK("https://www.britishcycling.org.uk/points?person_id=132347&amp;year=2022&amp;type=national&amp;d=6","Results")</f>
        <v/>
      </c>
    </row>
    <row r="235">
      <c r="A235" t="inlineStr">
        <is>
          <t>234</t>
        </is>
      </c>
      <c r="B235" t="inlineStr">
        <is>
          <t>Jon Hare</t>
        </is>
      </c>
      <c r="C235" t="inlineStr">
        <is>
          <t>Exeter Wheelers</t>
        </is>
      </c>
      <c r="D235" t="inlineStr">
        <is>
          <t>36</t>
        </is>
      </c>
      <c r="E235">
        <f>HYPERLINK("https://www.britishcycling.org.uk/points?person_id=264703&amp;year=2022&amp;type=national&amp;d=6","Results")</f>
        <v/>
      </c>
    </row>
    <row r="236">
      <c r="A236" t="inlineStr">
        <is>
          <t>235</t>
        </is>
      </c>
      <c r="B236" t="inlineStr">
        <is>
          <t>Gordon Mackenzie</t>
        </is>
      </c>
      <c r="C236" t="inlineStr">
        <is>
          <t>RT23</t>
        </is>
      </c>
      <c r="D236" t="inlineStr">
        <is>
          <t>36</t>
        </is>
      </c>
      <c r="E236">
        <f>HYPERLINK("https://www.britishcycling.org.uk/points?person_id=50431&amp;year=2022&amp;type=national&amp;d=6","Results")</f>
        <v/>
      </c>
    </row>
    <row r="237">
      <c r="A237" t="inlineStr">
        <is>
          <t>236</t>
        </is>
      </c>
      <c r="B237" t="inlineStr">
        <is>
          <t>Benedict Spurrier</t>
        </is>
      </c>
      <c r="C237" t="inlineStr">
        <is>
          <t>ViCiOUS VELO</t>
        </is>
      </c>
      <c r="D237" t="inlineStr">
        <is>
          <t>36</t>
        </is>
      </c>
      <c r="E237">
        <f>HYPERLINK("https://www.britishcycling.org.uk/points?person_id=76470&amp;year=2022&amp;type=national&amp;d=6","Results")</f>
        <v/>
      </c>
    </row>
    <row r="238">
      <c r="A238" t="inlineStr">
        <is>
          <t>237</t>
        </is>
      </c>
      <c r="B238" t="inlineStr">
        <is>
          <t>Michael Glynn</t>
        </is>
      </c>
      <c r="C238" t="inlineStr">
        <is>
          <t>SKCC</t>
        </is>
      </c>
      <c r="D238" t="inlineStr">
        <is>
          <t>35</t>
        </is>
      </c>
      <c r="E238">
        <f>HYPERLINK("https://www.britishcycling.org.uk/points?person_id=60289&amp;year=2022&amp;type=national&amp;d=6","Results")</f>
        <v/>
      </c>
    </row>
    <row r="239">
      <c r="A239" t="inlineStr">
        <is>
          <t>238</t>
        </is>
      </c>
      <c r="B239" t="inlineStr">
        <is>
          <t>David Lynes</t>
        </is>
      </c>
      <c r="C239" t="inlineStr">
        <is>
          <t>Redditch Road &amp; Path CC</t>
        </is>
      </c>
      <c r="D239" t="inlineStr">
        <is>
          <t>35</t>
        </is>
      </c>
      <c r="E239">
        <f>HYPERLINK("https://www.britishcycling.org.uk/points?person_id=1008387&amp;year=2022&amp;type=national&amp;d=6","Results")</f>
        <v/>
      </c>
    </row>
    <row r="240">
      <c r="A240" t="inlineStr">
        <is>
          <t>239</t>
        </is>
      </c>
      <c r="B240" t="inlineStr">
        <is>
          <t>Matthew Webber</t>
        </is>
      </c>
      <c r="C240" t="inlineStr">
        <is>
          <t>Forest Side Riders</t>
        </is>
      </c>
      <c r="D240" t="inlineStr">
        <is>
          <t>34</t>
        </is>
      </c>
      <c r="E240">
        <f>HYPERLINK("https://www.britishcycling.org.uk/points?person_id=25714&amp;year=2022&amp;type=national&amp;d=6","Results")</f>
        <v/>
      </c>
    </row>
    <row r="241">
      <c r="A241" t="inlineStr">
        <is>
          <t>240</t>
        </is>
      </c>
      <c r="B241" t="inlineStr">
        <is>
          <t>Stuart Spies</t>
        </is>
      </c>
      <c r="C241" t="inlineStr">
        <is>
          <t>CHAINGANG Racing Team</t>
        </is>
      </c>
      <c r="D241" t="inlineStr">
        <is>
          <t>33</t>
        </is>
      </c>
      <c r="E241">
        <f>HYPERLINK("https://www.britishcycling.org.uk/points?person_id=14850&amp;year=2022&amp;type=national&amp;d=6","Results")</f>
        <v/>
      </c>
    </row>
    <row r="242">
      <c r="A242" t="inlineStr">
        <is>
          <t>241</t>
        </is>
      </c>
      <c r="B242" t="inlineStr">
        <is>
          <t>Andrew Hall</t>
        </is>
      </c>
      <c r="C242" t="inlineStr">
        <is>
          <t>GS Metro</t>
        </is>
      </c>
      <c r="D242" t="inlineStr">
        <is>
          <t>32</t>
        </is>
      </c>
      <c r="E242">
        <f>HYPERLINK("https://www.britishcycling.org.uk/points?person_id=223224&amp;year=2022&amp;type=national&amp;d=6","Results")</f>
        <v/>
      </c>
    </row>
    <row r="243">
      <c r="A243" t="inlineStr">
        <is>
          <t>242</t>
        </is>
      </c>
      <c r="B243" t="inlineStr">
        <is>
          <t>Darren Matthews</t>
        </is>
      </c>
      <c r="C243" t="inlineStr">
        <is>
          <t>Tri UK</t>
        </is>
      </c>
      <c r="D243" t="inlineStr">
        <is>
          <t>31</t>
        </is>
      </c>
      <c r="E243">
        <f>HYPERLINK("https://www.britishcycling.org.uk/points?person_id=411787&amp;year=2022&amp;type=national&amp;d=6","Results")</f>
        <v/>
      </c>
    </row>
    <row r="244">
      <c r="A244" t="inlineStr">
        <is>
          <t>243</t>
        </is>
      </c>
      <c r="B244" t="inlineStr">
        <is>
          <t>Mike Moss</t>
        </is>
      </c>
      <c r="C244" t="inlineStr">
        <is>
          <t>Clifton CC</t>
        </is>
      </c>
      <c r="D244" t="inlineStr">
        <is>
          <t>30</t>
        </is>
      </c>
      <c r="E244">
        <f>HYPERLINK("https://www.britishcycling.org.uk/points?person_id=6318&amp;year=2022&amp;type=national&amp;d=6","Results")</f>
        <v/>
      </c>
    </row>
    <row r="245">
      <c r="A245" t="inlineStr">
        <is>
          <t>244</t>
        </is>
      </c>
      <c r="B245" t="inlineStr">
        <is>
          <t>Chris Smith</t>
        </is>
      </c>
      <c r="C245" t="inlineStr">
        <is>
          <t>Reifen Racing</t>
        </is>
      </c>
      <c r="D245" t="inlineStr">
        <is>
          <t>30</t>
        </is>
      </c>
      <c r="E245">
        <f>HYPERLINK("https://www.britishcycling.org.uk/points?person_id=731664&amp;year=2022&amp;type=national&amp;d=6","Results")</f>
        <v/>
      </c>
    </row>
    <row r="246">
      <c r="A246" t="inlineStr">
        <is>
          <t>245</t>
        </is>
      </c>
      <c r="B246" t="inlineStr">
        <is>
          <t>Christopher Garner</t>
        </is>
      </c>
      <c r="C246" t="inlineStr">
        <is>
          <t>Coalville Wheelers CC</t>
        </is>
      </c>
      <c r="D246" t="inlineStr">
        <is>
          <t>29</t>
        </is>
      </c>
      <c r="E246">
        <f>HYPERLINK("https://www.britishcycling.org.uk/points?person_id=70238&amp;year=2022&amp;type=national&amp;d=6","Results")</f>
        <v/>
      </c>
    </row>
    <row r="247">
      <c r="A247" t="inlineStr">
        <is>
          <t>246</t>
        </is>
      </c>
      <c r="B247" t="inlineStr">
        <is>
          <t>Will Hutchins</t>
        </is>
      </c>
      <c r="C247" t="inlineStr">
        <is>
          <t>WarVena Racing Team</t>
        </is>
      </c>
      <c r="D247" t="inlineStr">
        <is>
          <t>29</t>
        </is>
      </c>
      <c r="E247">
        <f>HYPERLINK("https://www.britishcycling.org.uk/points?person_id=320784&amp;year=2022&amp;type=national&amp;d=6","Results")</f>
        <v/>
      </c>
    </row>
    <row r="248">
      <c r="A248" t="inlineStr">
        <is>
          <t>247</t>
        </is>
      </c>
      <c r="B248" t="inlineStr">
        <is>
          <t>Kieren Jarratt</t>
        </is>
      </c>
      <c r="C248" t="inlineStr">
        <is>
          <t>Royal Air Force CA</t>
        </is>
      </c>
      <c r="D248" t="inlineStr">
        <is>
          <t>29</t>
        </is>
      </c>
      <c r="E248">
        <f>HYPERLINK("https://www.britishcycling.org.uk/points?person_id=62883&amp;year=2022&amp;type=national&amp;d=6","Results")</f>
        <v/>
      </c>
    </row>
    <row r="249">
      <c r="A249" t="inlineStr">
        <is>
          <t>248</t>
        </is>
      </c>
      <c r="B249" t="inlineStr">
        <is>
          <t>Russell Short</t>
        </is>
      </c>
      <c r="C249" t="inlineStr">
        <is>
          <t>CHAINGANG Racing Team</t>
        </is>
      </c>
      <c r="D249" t="inlineStr">
        <is>
          <t>29</t>
        </is>
      </c>
      <c r="E249">
        <f>HYPERLINK("https://www.britishcycling.org.uk/points?person_id=14983&amp;year=2022&amp;type=national&amp;d=6","Results")</f>
        <v/>
      </c>
    </row>
    <row r="250">
      <c r="A250" t="inlineStr">
        <is>
          <t>249</t>
        </is>
      </c>
      <c r="B250" t="inlineStr">
        <is>
          <t>Jeremy Addis</t>
        </is>
      </c>
      <c r="C250" t="inlineStr">
        <is>
          <t>Magspeed Racing</t>
        </is>
      </c>
      <c r="D250" t="inlineStr">
        <is>
          <t>28</t>
        </is>
      </c>
      <c r="E250">
        <f>HYPERLINK("https://www.britishcycling.org.uk/points?person_id=2947&amp;year=2022&amp;type=national&amp;d=6","Results")</f>
        <v/>
      </c>
    </row>
    <row r="251">
      <c r="A251" t="inlineStr">
        <is>
          <t>250</t>
        </is>
      </c>
      <c r="B251" t="inlineStr">
        <is>
          <t>Paul Daniels</t>
        </is>
      </c>
      <c r="C251" t="inlineStr">
        <is>
          <t>Royal Leamington Spa CC (RLSCC)</t>
        </is>
      </c>
      <c r="D251" t="inlineStr">
        <is>
          <t>28</t>
        </is>
      </c>
      <c r="E251">
        <f>HYPERLINK("https://www.britishcycling.org.uk/points?person_id=654668&amp;year=2022&amp;type=national&amp;d=6","Results")</f>
        <v/>
      </c>
    </row>
    <row r="252">
      <c r="A252" t="inlineStr">
        <is>
          <t>251</t>
        </is>
      </c>
      <c r="B252" t="inlineStr">
        <is>
          <t>Keith Froude</t>
        </is>
      </c>
      <c r="C252" t="inlineStr">
        <is>
          <t>Edinburgh RC</t>
        </is>
      </c>
      <c r="D252" t="inlineStr">
        <is>
          <t>28</t>
        </is>
      </c>
      <c r="E252">
        <f>HYPERLINK("https://www.britishcycling.org.uk/points?person_id=407248&amp;year=2022&amp;type=national&amp;d=6","Results")</f>
        <v/>
      </c>
    </row>
    <row r="253">
      <c r="A253" t="inlineStr">
        <is>
          <t>252</t>
        </is>
      </c>
      <c r="B253" t="inlineStr">
        <is>
          <t>Darren Shaw</t>
        </is>
      </c>
      <c r="C253" t="inlineStr">
        <is>
          <t>Stourbridge Velo</t>
        </is>
      </c>
      <c r="D253" t="inlineStr">
        <is>
          <t>28</t>
        </is>
      </c>
      <c r="E253">
        <f>HYPERLINK("https://www.britishcycling.org.uk/points?person_id=40868&amp;year=2022&amp;type=national&amp;d=6","Results")</f>
        <v/>
      </c>
    </row>
    <row r="254">
      <c r="A254" t="inlineStr">
        <is>
          <t>253</t>
        </is>
      </c>
      <c r="B254" t="inlineStr">
        <is>
          <t>Simon Tabiner</t>
        </is>
      </c>
      <c r="C254" t="inlineStr">
        <is>
          <t>Aylsham Road Club</t>
        </is>
      </c>
      <c r="D254" t="inlineStr">
        <is>
          <t>28</t>
        </is>
      </c>
      <c r="E254">
        <f>HYPERLINK("https://www.britishcycling.org.uk/points?person_id=196165&amp;year=2022&amp;type=national&amp;d=6","Results")</f>
        <v/>
      </c>
    </row>
    <row r="255">
      <c r="A255" t="inlineStr">
        <is>
          <t>254</t>
        </is>
      </c>
      <c r="B255" t="inlineStr">
        <is>
          <t>Robert Ford</t>
        </is>
      </c>
      <c r="C255" t="inlineStr">
        <is>
          <t>Portsmouth North End CC</t>
        </is>
      </c>
      <c r="D255" t="inlineStr">
        <is>
          <t>27</t>
        </is>
      </c>
      <c r="E255">
        <f>HYPERLINK("https://www.britishcycling.org.uk/points?person_id=168963&amp;year=2022&amp;type=national&amp;d=6","Results")</f>
        <v/>
      </c>
    </row>
    <row r="256">
      <c r="A256" t="inlineStr">
        <is>
          <t>255</t>
        </is>
      </c>
      <c r="B256" t="inlineStr">
        <is>
          <t>Graham Hollidge</t>
        </is>
      </c>
      <c r="C256" t="inlineStr">
        <is>
          <t>Fareham Wheelers Cycling Club</t>
        </is>
      </c>
      <c r="D256" t="inlineStr">
        <is>
          <t>27</t>
        </is>
      </c>
      <c r="E256">
        <f>HYPERLINK("https://www.britishcycling.org.uk/points?person_id=201002&amp;year=2022&amp;type=national&amp;d=6","Results")</f>
        <v/>
      </c>
    </row>
    <row r="257">
      <c r="A257" t="inlineStr">
        <is>
          <t>256</t>
        </is>
      </c>
      <c r="B257" t="inlineStr">
        <is>
          <t>Callum Sharp</t>
        </is>
      </c>
      <c r="C257" t="inlineStr">
        <is>
          <t>Veloclub Edinburgh</t>
        </is>
      </c>
      <c r="D257" t="inlineStr">
        <is>
          <t>27</t>
        </is>
      </c>
      <c r="E257">
        <f>HYPERLINK("https://www.britishcycling.org.uk/points?person_id=249218&amp;year=2022&amp;type=national&amp;d=6","Results")</f>
        <v/>
      </c>
    </row>
    <row r="258">
      <c r="A258" t="inlineStr">
        <is>
          <t>257</t>
        </is>
      </c>
      <c r="B258" t="inlineStr">
        <is>
          <t>Marcus Shields</t>
        </is>
      </c>
      <c r="C258" t="inlineStr">
        <is>
          <t>Ayr Roads Cycling Club</t>
        </is>
      </c>
      <c r="D258" t="inlineStr">
        <is>
          <t>27</t>
        </is>
      </c>
      <c r="E258">
        <f>HYPERLINK("https://www.britishcycling.org.uk/points?person_id=245012&amp;year=2022&amp;type=national&amp;d=6","Results")</f>
        <v/>
      </c>
    </row>
    <row r="259">
      <c r="A259" t="inlineStr">
        <is>
          <t>258</t>
        </is>
      </c>
      <c r="B259" t="inlineStr">
        <is>
          <t>Paul Beattie</t>
        </is>
      </c>
      <c r="C259" t="inlineStr">
        <is>
          <t>Royal Air Force CA</t>
        </is>
      </c>
      <c r="D259" t="inlineStr">
        <is>
          <t>26</t>
        </is>
      </c>
      <c r="E259">
        <f>HYPERLINK("https://www.britishcycling.org.uk/points?person_id=211642&amp;year=2022&amp;type=national&amp;d=6","Results")</f>
        <v/>
      </c>
    </row>
    <row r="260">
      <c r="A260" t="inlineStr">
        <is>
          <t>259</t>
        </is>
      </c>
      <c r="B260" t="inlineStr">
        <is>
          <t>Graham Carrick</t>
        </is>
      </c>
      <c r="C260" t="inlineStr">
        <is>
          <t>Barrow Central Wheelers</t>
        </is>
      </c>
      <c r="D260" t="inlineStr">
        <is>
          <t>26</t>
        </is>
      </c>
      <c r="E260">
        <f>HYPERLINK("https://www.britishcycling.org.uk/points?person_id=284048&amp;year=2022&amp;type=national&amp;d=6","Results")</f>
        <v/>
      </c>
    </row>
    <row r="261">
      <c r="A261" t="inlineStr">
        <is>
          <t>260</t>
        </is>
      </c>
      <c r="B261" t="inlineStr">
        <is>
          <t>Leon Gierat</t>
        </is>
      </c>
      <c r="C261" t="inlineStr">
        <is>
          <t>Bristol CX</t>
        </is>
      </c>
      <c r="D261" t="inlineStr">
        <is>
          <t>26</t>
        </is>
      </c>
      <c r="E261">
        <f>HYPERLINK("https://www.britishcycling.org.uk/points?person_id=75740&amp;year=2022&amp;type=national&amp;d=6","Results")</f>
        <v/>
      </c>
    </row>
    <row r="262">
      <c r="A262" t="inlineStr">
        <is>
          <t>261</t>
        </is>
      </c>
      <c r="B262" t="inlineStr">
        <is>
          <t>Fraser Johnson</t>
        </is>
      </c>
      <c r="C262" t="inlineStr">
        <is>
          <t>Hemel Hempstead CC</t>
        </is>
      </c>
      <c r="D262" t="inlineStr">
        <is>
          <t>26</t>
        </is>
      </c>
      <c r="E262">
        <f>HYPERLINK("https://www.britishcycling.org.uk/points?person_id=577968&amp;year=2022&amp;type=national&amp;d=6","Results")</f>
        <v/>
      </c>
    </row>
    <row r="263">
      <c r="A263" t="inlineStr">
        <is>
          <t>262</t>
        </is>
      </c>
      <c r="B263" t="inlineStr">
        <is>
          <t>Tim Berry</t>
        </is>
      </c>
      <c r="C263" t="inlineStr">
        <is>
          <t>Team Empella Cyclo-Cross.Com</t>
        </is>
      </c>
      <c r="D263" t="inlineStr">
        <is>
          <t>25</t>
        </is>
      </c>
      <c r="E263">
        <f>HYPERLINK("https://www.britishcycling.org.uk/points?person_id=30533&amp;year=2022&amp;type=national&amp;d=6","Results")</f>
        <v/>
      </c>
    </row>
    <row r="264">
      <c r="A264" t="inlineStr">
        <is>
          <t>263</t>
        </is>
      </c>
      <c r="B264" t="inlineStr">
        <is>
          <t>Steven Williams</t>
        </is>
      </c>
      <c r="C264" t="inlineStr">
        <is>
          <t>Army Cycling Union</t>
        </is>
      </c>
      <c r="D264" t="inlineStr">
        <is>
          <t>25</t>
        </is>
      </c>
      <c r="E264">
        <f>HYPERLINK("https://www.britishcycling.org.uk/points?person_id=318023&amp;year=2022&amp;type=national&amp;d=6","Results")</f>
        <v/>
      </c>
    </row>
    <row r="265">
      <c r="A265" t="inlineStr">
        <is>
          <t>264</t>
        </is>
      </c>
      <c r="B265" t="inlineStr">
        <is>
          <t>Ian Braybrook</t>
        </is>
      </c>
      <c r="C265" t="inlineStr">
        <is>
          <t>Basildon CC</t>
        </is>
      </c>
      <c r="D265" t="inlineStr">
        <is>
          <t>24</t>
        </is>
      </c>
      <c r="E265">
        <f>HYPERLINK("https://www.britishcycling.org.uk/points?person_id=309465&amp;year=2022&amp;type=national&amp;d=6","Results")</f>
        <v/>
      </c>
    </row>
    <row r="266">
      <c r="A266" t="inlineStr">
        <is>
          <t>265</t>
        </is>
      </c>
      <c r="B266" t="inlineStr">
        <is>
          <t>Gary Fendick</t>
        </is>
      </c>
      <c r="C266" t="inlineStr">
        <is>
          <t>Velouse Flyers</t>
        </is>
      </c>
      <c r="D266" t="inlineStr">
        <is>
          <t>24</t>
        </is>
      </c>
      <c r="E266">
        <f>HYPERLINK("https://www.britishcycling.org.uk/points?person_id=1025045&amp;year=2022&amp;type=national&amp;d=6","Results")</f>
        <v/>
      </c>
    </row>
    <row r="267">
      <c r="A267" t="inlineStr">
        <is>
          <t>266</t>
        </is>
      </c>
      <c r="B267" t="inlineStr">
        <is>
          <t>Paul Hendy</t>
        </is>
      </c>
      <c r="C267" t="inlineStr">
        <is>
          <t>Team HUP</t>
        </is>
      </c>
      <c r="D267" t="inlineStr">
        <is>
          <t>24</t>
        </is>
      </c>
      <c r="E267">
        <f>HYPERLINK("https://www.britishcycling.org.uk/points?person_id=745769&amp;year=2022&amp;type=national&amp;d=6","Results")</f>
        <v/>
      </c>
    </row>
    <row r="268">
      <c r="A268" t="inlineStr">
        <is>
          <t>267</t>
        </is>
      </c>
      <c r="B268" t="inlineStr">
        <is>
          <t>Richard Butler</t>
        </is>
      </c>
      <c r="C268" t="inlineStr">
        <is>
          <t>Giant Kendal-Sidas Uk</t>
        </is>
      </c>
      <c r="D268" t="inlineStr">
        <is>
          <t>23</t>
        </is>
      </c>
      <c r="E268">
        <f>HYPERLINK("https://www.britishcycling.org.uk/points?person_id=446366&amp;year=2022&amp;type=national&amp;d=6","Results")</f>
        <v/>
      </c>
    </row>
    <row r="269">
      <c r="A269" t="inlineStr">
        <is>
          <t>268</t>
        </is>
      </c>
      <c r="B269" t="inlineStr">
        <is>
          <t>Oliver Cox</t>
        </is>
      </c>
      <c r="C269" t="inlineStr"/>
      <c r="D269" t="inlineStr">
        <is>
          <t>23</t>
        </is>
      </c>
      <c r="E269">
        <f>HYPERLINK("https://www.britishcycling.org.uk/points?person_id=44331&amp;year=2022&amp;type=national&amp;d=6","Results")</f>
        <v/>
      </c>
    </row>
    <row r="270">
      <c r="A270" t="inlineStr">
        <is>
          <t>269</t>
        </is>
      </c>
      <c r="B270" t="inlineStr">
        <is>
          <t>Jonathan Male</t>
        </is>
      </c>
      <c r="C270" t="inlineStr">
        <is>
          <t>Pedal Power Loughborough</t>
        </is>
      </c>
      <c r="D270" t="inlineStr">
        <is>
          <t>23</t>
        </is>
      </c>
      <c r="E270">
        <f>HYPERLINK("https://www.britishcycling.org.uk/points?person_id=31064&amp;year=2022&amp;type=national&amp;d=6","Results")</f>
        <v/>
      </c>
    </row>
    <row r="271">
      <c r="A271" t="inlineStr">
        <is>
          <t>270</t>
        </is>
      </c>
      <c r="B271" t="inlineStr">
        <is>
          <t>Paul Pardoe</t>
        </is>
      </c>
      <c r="C271" t="inlineStr">
        <is>
          <t>Peterborough Cycling Club</t>
        </is>
      </c>
      <c r="D271" t="inlineStr">
        <is>
          <t>23</t>
        </is>
      </c>
      <c r="E271">
        <f>HYPERLINK("https://www.britishcycling.org.uk/points?person_id=341514&amp;year=2022&amp;type=national&amp;d=6","Results")</f>
        <v/>
      </c>
    </row>
    <row r="272">
      <c r="A272" t="inlineStr">
        <is>
          <t>271</t>
        </is>
      </c>
      <c r="B272" t="inlineStr">
        <is>
          <t>Stephen Vanes</t>
        </is>
      </c>
      <c r="C272" t="inlineStr">
        <is>
          <t>365 Shutt Ridley</t>
        </is>
      </c>
      <c r="D272" t="inlineStr">
        <is>
          <t>23</t>
        </is>
      </c>
      <c r="E272">
        <f>HYPERLINK("https://www.britishcycling.org.uk/points?person_id=124619&amp;year=2022&amp;type=national&amp;d=6","Results")</f>
        <v/>
      </c>
    </row>
    <row r="273">
      <c r="A273" t="inlineStr">
        <is>
          <t>272</t>
        </is>
      </c>
      <c r="B273" t="inlineStr">
        <is>
          <t>James Verrill</t>
        </is>
      </c>
      <c r="C273" t="inlineStr">
        <is>
          <t>Whitby Wheelers CC</t>
        </is>
      </c>
      <c r="D273" t="inlineStr">
        <is>
          <t>23</t>
        </is>
      </c>
      <c r="E273">
        <f>HYPERLINK("https://www.britishcycling.org.uk/points?person_id=58679&amp;year=2022&amp;type=national&amp;d=6","Results")</f>
        <v/>
      </c>
    </row>
    <row r="274">
      <c r="A274" t="inlineStr">
        <is>
          <t>273</t>
        </is>
      </c>
      <c r="B274" t="inlineStr">
        <is>
          <t>Marcus Nainby</t>
        </is>
      </c>
      <c r="C274" t="inlineStr">
        <is>
          <t>WNT Development Team</t>
        </is>
      </c>
      <c r="D274" t="inlineStr">
        <is>
          <t>22</t>
        </is>
      </c>
      <c r="E274">
        <f>HYPERLINK("https://www.britishcycling.org.uk/points?person_id=15581&amp;year=2022&amp;type=national&amp;d=6","Results")</f>
        <v/>
      </c>
    </row>
    <row r="275">
      <c r="A275" t="inlineStr">
        <is>
          <t>274</t>
        </is>
      </c>
      <c r="B275" t="inlineStr">
        <is>
          <t>Glen Turnbull</t>
        </is>
      </c>
      <c r="C275" t="inlineStr">
        <is>
          <t>VC Briganti</t>
        </is>
      </c>
      <c r="D275" t="inlineStr">
        <is>
          <t>22</t>
        </is>
      </c>
      <c r="E275">
        <f>HYPERLINK("https://www.britishcycling.org.uk/points?person_id=23763&amp;year=2022&amp;type=national&amp;d=6","Results")</f>
        <v/>
      </c>
    </row>
    <row r="276">
      <c r="A276" t="inlineStr">
        <is>
          <t>275</t>
        </is>
      </c>
      <c r="B276" t="inlineStr">
        <is>
          <t>John Aston</t>
        </is>
      </c>
      <c r="C276" t="inlineStr">
        <is>
          <t>Hunt Bike Wheels</t>
        </is>
      </c>
      <c r="D276" t="inlineStr">
        <is>
          <t>21</t>
        </is>
      </c>
      <c r="E276">
        <f>HYPERLINK("https://www.britishcycling.org.uk/points?person_id=102932&amp;year=2022&amp;type=national&amp;d=6","Results")</f>
        <v/>
      </c>
    </row>
    <row r="277">
      <c r="A277" t="inlineStr">
        <is>
          <t>276</t>
        </is>
      </c>
      <c r="B277" t="inlineStr">
        <is>
          <t>James Malone</t>
        </is>
      </c>
      <c r="C277" t="inlineStr">
        <is>
          <t>Dulwich Paragon CC</t>
        </is>
      </c>
      <c r="D277" t="inlineStr">
        <is>
          <t>21</t>
        </is>
      </c>
      <c r="E277">
        <f>HYPERLINK("https://www.britishcycling.org.uk/points?person_id=361576&amp;year=2022&amp;type=national&amp;d=6","Results")</f>
        <v/>
      </c>
    </row>
    <row r="278">
      <c r="A278" t="inlineStr">
        <is>
          <t>277</t>
        </is>
      </c>
      <c r="B278" t="inlineStr">
        <is>
          <t>Duncan Rimmer</t>
        </is>
      </c>
      <c r="C278" t="inlineStr">
        <is>
          <t>Morden Cycle Racing Club</t>
        </is>
      </c>
      <c r="D278" t="inlineStr">
        <is>
          <t>21</t>
        </is>
      </c>
      <c r="E278">
        <f>HYPERLINK("https://www.britishcycling.org.uk/points?person_id=45766&amp;year=2022&amp;type=national&amp;d=6","Results")</f>
        <v/>
      </c>
    </row>
    <row r="279">
      <c r="A279" t="inlineStr">
        <is>
          <t>278</t>
        </is>
      </c>
      <c r="B279" t="inlineStr">
        <is>
          <t>Antony Ryder</t>
        </is>
      </c>
      <c r="C279" t="inlineStr">
        <is>
          <t>Velo Bavarian Race Team</t>
        </is>
      </c>
      <c r="D279" t="inlineStr">
        <is>
          <t>21</t>
        </is>
      </c>
      <c r="E279">
        <f>HYPERLINK("https://www.britishcycling.org.uk/points?person_id=521007&amp;year=2022&amp;type=national&amp;d=6","Results")</f>
        <v/>
      </c>
    </row>
    <row r="280">
      <c r="A280" t="inlineStr">
        <is>
          <t>279</t>
        </is>
      </c>
      <c r="B280" t="inlineStr">
        <is>
          <t>James Tugwell</t>
        </is>
      </c>
      <c r="C280" t="inlineStr">
        <is>
          <t>Maindy Flyers CC</t>
        </is>
      </c>
      <c r="D280" t="inlineStr">
        <is>
          <t>21</t>
        </is>
      </c>
      <c r="E280">
        <f>HYPERLINK("https://www.britishcycling.org.uk/points?person_id=316350&amp;year=2022&amp;type=national&amp;d=6","Results")</f>
        <v/>
      </c>
    </row>
    <row r="281">
      <c r="A281" t="inlineStr">
        <is>
          <t>280</t>
        </is>
      </c>
      <c r="B281" t="inlineStr">
        <is>
          <t>Simon Arnot</t>
        </is>
      </c>
      <c r="C281" t="inlineStr">
        <is>
          <t>Team Andrew Allan Architecture</t>
        </is>
      </c>
      <c r="D281" t="inlineStr">
        <is>
          <t>20</t>
        </is>
      </c>
      <c r="E281">
        <f>HYPERLINK("https://www.britishcycling.org.uk/points?person_id=380283&amp;year=2022&amp;type=national&amp;d=6","Results")</f>
        <v/>
      </c>
    </row>
    <row r="282">
      <c r="A282" t="inlineStr">
        <is>
          <t>281</t>
        </is>
      </c>
      <c r="B282" t="inlineStr">
        <is>
          <t>Neil Buckley</t>
        </is>
      </c>
      <c r="C282" t="inlineStr">
        <is>
          <t>OVB</t>
        </is>
      </c>
      <c r="D282" t="inlineStr">
        <is>
          <t>20</t>
        </is>
      </c>
      <c r="E282">
        <f>HYPERLINK("https://www.britishcycling.org.uk/points?person_id=219002&amp;year=2022&amp;type=national&amp;d=6","Results")</f>
        <v/>
      </c>
    </row>
    <row r="283">
      <c r="A283" t="inlineStr">
        <is>
          <t>282</t>
        </is>
      </c>
      <c r="B283" t="inlineStr">
        <is>
          <t>Christopher Lewis</t>
        </is>
      </c>
      <c r="C283" t="inlineStr"/>
      <c r="D283" t="inlineStr">
        <is>
          <t>20</t>
        </is>
      </c>
      <c r="E283">
        <f>HYPERLINK("https://www.britishcycling.org.uk/points?person_id=53240&amp;year=2022&amp;type=national&amp;d=6","Results")</f>
        <v/>
      </c>
    </row>
    <row r="284">
      <c r="A284" t="inlineStr">
        <is>
          <t>283</t>
        </is>
      </c>
      <c r="B284" t="inlineStr">
        <is>
          <t>Dennis Randell</t>
        </is>
      </c>
      <c r="C284" t="inlineStr">
        <is>
          <t>PDQ Cycle Coaching</t>
        </is>
      </c>
      <c r="D284" t="inlineStr">
        <is>
          <t>20</t>
        </is>
      </c>
      <c r="E284">
        <f>HYPERLINK("https://www.britishcycling.org.uk/points?person_id=766305&amp;year=2022&amp;type=national&amp;d=6","Results")</f>
        <v/>
      </c>
    </row>
    <row r="285">
      <c r="A285" t="inlineStr">
        <is>
          <t>284</t>
        </is>
      </c>
      <c r="B285" t="inlineStr">
        <is>
          <t>Marcus Sutcliffe</t>
        </is>
      </c>
      <c r="C285" t="inlineStr"/>
      <c r="D285" t="inlineStr">
        <is>
          <t>20</t>
        </is>
      </c>
      <c r="E285">
        <f>HYPERLINK("https://www.britishcycling.org.uk/points?person_id=66652&amp;year=2022&amp;type=national&amp;d=6","Results")</f>
        <v/>
      </c>
    </row>
    <row r="286">
      <c r="A286" t="inlineStr">
        <is>
          <t>285</t>
        </is>
      </c>
      <c r="B286" t="inlineStr">
        <is>
          <t>Michael Brownsword</t>
        </is>
      </c>
      <c r="C286" t="inlineStr">
        <is>
          <t>Solihull CC</t>
        </is>
      </c>
      <c r="D286" t="inlineStr">
        <is>
          <t>19</t>
        </is>
      </c>
      <c r="E286">
        <f>HYPERLINK("https://www.britishcycling.org.uk/points?person_id=191653&amp;year=2022&amp;type=national&amp;d=6","Results")</f>
        <v/>
      </c>
    </row>
    <row r="287">
      <c r="A287" t="inlineStr">
        <is>
          <t>286</t>
        </is>
      </c>
      <c r="B287" t="inlineStr">
        <is>
          <t>Simon Bull</t>
        </is>
      </c>
      <c r="C287" t="inlineStr">
        <is>
          <t>Banbury Star CC</t>
        </is>
      </c>
      <c r="D287" t="inlineStr">
        <is>
          <t>19</t>
        </is>
      </c>
      <c r="E287">
        <f>HYPERLINK("https://www.britishcycling.org.uk/points?person_id=756183&amp;year=2022&amp;type=national&amp;d=6","Results")</f>
        <v/>
      </c>
    </row>
    <row r="288">
      <c r="A288" t="inlineStr">
        <is>
          <t>287</t>
        </is>
      </c>
      <c r="B288" t="inlineStr">
        <is>
          <t>Nathan Thomas</t>
        </is>
      </c>
      <c r="C288" t="inlineStr">
        <is>
          <t>Velobants.cc</t>
        </is>
      </c>
      <c r="D288" t="inlineStr">
        <is>
          <t>19</t>
        </is>
      </c>
      <c r="E288">
        <f>HYPERLINK("https://www.britishcycling.org.uk/points?person_id=179767&amp;year=2022&amp;type=national&amp;d=6","Results")</f>
        <v/>
      </c>
    </row>
    <row r="289">
      <c r="A289" t="inlineStr">
        <is>
          <t>288</t>
        </is>
      </c>
      <c r="B289" t="inlineStr">
        <is>
          <t>Daniel Bell</t>
        </is>
      </c>
      <c r="C289" t="inlineStr">
        <is>
          <t>Ellmore Factory Racing</t>
        </is>
      </c>
      <c r="D289" t="inlineStr">
        <is>
          <t>18</t>
        </is>
      </c>
      <c r="E289">
        <f>HYPERLINK("https://www.britishcycling.org.uk/points?person_id=14041&amp;year=2022&amp;type=national&amp;d=6","Results")</f>
        <v/>
      </c>
    </row>
    <row r="290">
      <c r="A290" t="inlineStr">
        <is>
          <t>289</t>
        </is>
      </c>
      <c r="B290" t="inlineStr">
        <is>
          <t>Dave Saunders</t>
        </is>
      </c>
      <c r="C290" t="inlineStr">
        <is>
          <t>Mid Shropshire Wheelers</t>
        </is>
      </c>
      <c r="D290" t="inlineStr">
        <is>
          <t>18</t>
        </is>
      </c>
      <c r="E290">
        <f>HYPERLINK("https://www.britishcycling.org.uk/points?person_id=106107&amp;year=2022&amp;type=national&amp;d=6","Results")</f>
        <v/>
      </c>
    </row>
    <row r="291">
      <c r="A291" t="inlineStr">
        <is>
          <t>290</t>
        </is>
      </c>
      <c r="B291" t="inlineStr">
        <is>
          <t>Bob McGlue</t>
        </is>
      </c>
      <c r="C291" t="inlineStr">
        <is>
          <t>High Wycombe Cycling Club</t>
        </is>
      </c>
      <c r="D291" t="inlineStr">
        <is>
          <t>17</t>
        </is>
      </c>
      <c r="E291">
        <f>HYPERLINK("https://www.britishcycling.org.uk/points?person_id=404032&amp;year=2022&amp;type=national&amp;d=6","Results")</f>
        <v/>
      </c>
    </row>
    <row r="292">
      <c r="A292" t="inlineStr">
        <is>
          <t>291</t>
        </is>
      </c>
      <c r="B292" t="inlineStr">
        <is>
          <t>Clive Upton</t>
        </is>
      </c>
      <c r="C292" t="inlineStr">
        <is>
          <t>Hambleton RC</t>
        </is>
      </c>
      <c r="D292" t="inlineStr">
        <is>
          <t>17</t>
        </is>
      </c>
      <c r="E292">
        <f>HYPERLINK("https://www.britishcycling.org.uk/points?person_id=116220&amp;year=2022&amp;type=national&amp;d=6","Results")</f>
        <v/>
      </c>
    </row>
    <row r="293">
      <c r="A293" t="inlineStr">
        <is>
          <t>292</t>
        </is>
      </c>
      <c r="B293" t="inlineStr">
        <is>
          <t>Matthew Bottrill</t>
        </is>
      </c>
      <c r="C293" t="inlineStr">
        <is>
          <t>Team Bottrill</t>
        </is>
      </c>
      <c r="D293" t="inlineStr">
        <is>
          <t>16</t>
        </is>
      </c>
      <c r="E293">
        <f>HYPERLINK("https://www.britishcycling.org.uk/points?person_id=15619&amp;year=2022&amp;type=national&amp;d=6","Results")</f>
        <v/>
      </c>
    </row>
    <row r="294">
      <c r="A294" t="inlineStr">
        <is>
          <t>293</t>
        </is>
      </c>
      <c r="B294" t="inlineStr">
        <is>
          <t>Mike Brunsdon</t>
        </is>
      </c>
      <c r="C294" t="inlineStr">
        <is>
          <t>Magspeed Racing</t>
        </is>
      </c>
      <c r="D294" t="inlineStr">
        <is>
          <t>16</t>
        </is>
      </c>
      <c r="E294">
        <f>HYPERLINK("https://www.britishcycling.org.uk/points?person_id=77260&amp;year=2022&amp;type=national&amp;d=6","Results")</f>
        <v/>
      </c>
    </row>
    <row r="295">
      <c r="A295" t="inlineStr">
        <is>
          <t>294</t>
        </is>
      </c>
      <c r="B295" t="inlineStr">
        <is>
          <t>Andy Edwards</t>
        </is>
      </c>
      <c r="C295" t="inlineStr">
        <is>
          <t>FTP-Fulfil The Potential-Racing</t>
        </is>
      </c>
      <c r="D295" t="inlineStr">
        <is>
          <t>16</t>
        </is>
      </c>
      <c r="E295">
        <f>HYPERLINK("https://www.britishcycling.org.uk/points?person_id=8165&amp;year=2022&amp;type=national&amp;d=6","Results")</f>
        <v/>
      </c>
    </row>
    <row r="296">
      <c r="A296" t="inlineStr">
        <is>
          <t>295</t>
        </is>
      </c>
      <c r="B296" t="inlineStr">
        <is>
          <t>Duncan Godfrey</t>
        </is>
      </c>
      <c r="C296" t="inlineStr">
        <is>
          <t>Team Trident</t>
        </is>
      </c>
      <c r="D296" t="inlineStr">
        <is>
          <t>16</t>
        </is>
      </c>
      <c r="E296">
        <f>HYPERLINK("https://www.britishcycling.org.uk/points?person_id=383911&amp;year=2022&amp;type=national&amp;d=6","Results")</f>
        <v/>
      </c>
    </row>
    <row r="297">
      <c r="A297" t="inlineStr">
        <is>
          <t>296</t>
        </is>
      </c>
      <c r="B297" t="inlineStr">
        <is>
          <t>Steve Hambling</t>
        </is>
      </c>
      <c r="C297" t="inlineStr"/>
      <c r="D297" t="inlineStr">
        <is>
          <t>16</t>
        </is>
      </c>
      <c r="E297">
        <f>HYPERLINK("https://www.britishcycling.org.uk/points?person_id=79257&amp;year=2022&amp;type=national&amp;d=6","Results")</f>
        <v/>
      </c>
    </row>
    <row r="298">
      <c r="A298" t="inlineStr">
        <is>
          <t>297</t>
        </is>
      </c>
      <c r="B298" t="inlineStr">
        <is>
          <t>Steve Hodgson</t>
        </is>
      </c>
      <c r="C298" t="inlineStr"/>
      <c r="D298" t="inlineStr">
        <is>
          <t>16</t>
        </is>
      </c>
      <c r="E298">
        <f>HYPERLINK("https://www.britishcycling.org.uk/points?person_id=178620&amp;year=2022&amp;type=national&amp;d=6","Results")</f>
        <v/>
      </c>
    </row>
    <row r="299">
      <c r="A299" t="inlineStr">
        <is>
          <t>298</t>
        </is>
      </c>
      <c r="B299" t="inlineStr">
        <is>
          <t>Neil Lauder</t>
        </is>
      </c>
      <c r="C299" t="inlineStr">
        <is>
          <t>Arctic Aircon RT</t>
        </is>
      </c>
      <c r="D299" t="inlineStr">
        <is>
          <t>16</t>
        </is>
      </c>
      <c r="E299">
        <f>HYPERLINK("https://www.britishcycling.org.uk/points?person_id=309762&amp;year=2022&amp;type=national&amp;d=6","Results")</f>
        <v/>
      </c>
    </row>
    <row r="300">
      <c r="A300" t="inlineStr">
        <is>
          <t>299</t>
        </is>
      </c>
      <c r="B300" t="inlineStr">
        <is>
          <t>Simon Moss</t>
        </is>
      </c>
      <c r="C300" t="inlineStr">
        <is>
          <t>Team Corley Cycles</t>
        </is>
      </c>
      <c r="D300" t="inlineStr">
        <is>
          <t>16</t>
        </is>
      </c>
      <c r="E300">
        <f>HYPERLINK("https://www.britishcycling.org.uk/points?person_id=74871&amp;year=2022&amp;type=national&amp;d=6","Results")</f>
        <v/>
      </c>
    </row>
    <row r="301">
      <c r="A301" t="inlineStr">
        <is>
          <t>300</t>
        </is>
      </c>
      <c r="B301" t="inlineStr">
        <is>
          <t>Alex Tebbs</t>
        </is>
      </c>
      <c r="C301" t="inlineStr"/>
      <c r="D301" t="inlineStr">
        <is>
          <t>16</t>
        </is>
      </c>
      <c r="E301">
        <f>HYPERLINK("https://www.britishcycling.org.uk/points?person_id=1000999&amp;year=2022&amp;type=national&amp;d=6","Results")</f>
        <v/>
      </c>
    </row>
    <row r="302">
      <c r="A302" t="inlineStr">
        <is>
          <t>301</t>
        </is>
      </c>
      <c r="B302" t="inlineStr">
        <is>
          <t>Steven Ward</t>
        </is>
      </c>
      <c r="C302" t="inlineStr">
        <is>
          <t>Velo Culture</t>
        </is>
      </c>
      <c r="D302" t="inlineStr">
        <is>
          <t>16</t>
        </is>
      </c>
      <c r="E302">
        <f>HYPERLINK("https://www.britishcycling.org.uk/points?person_id=49215&amp;year=2022&amp;type=national&amp;d=6","Results")</f>
        <v/>
      </c>
    </row>
    <row r="303">
      <c r="A303" t="inlineStr">
        <is>
          <t>302</t>
        </is>
      </c>
      <c r="B303" t="inlineStr">
        <is>
          <t>James Bramma</t>
        </is>
      </c>
      <c r="C303" t="inlineStr">
        <is>
          <t>Spalding Cycling Club</t>
        </is>
      </c>
      <c r="D303" t="inlineStr">
        <is>
          <t>15</t>
        </is>
      </c>
      <c r="E303">
        <f>HYPERLINK("https://www.britishcycling.org.uk/points?person_id=772888&amp;year=2022&amp;type=national&amp;d=6","Results")</f>
        <v/>
      </c>
    </row>
    <row r="304">
      <c r="A304" t="inlineStr">
        <is>
          <t>303</t>
        </is>
      </c>
      <c r="B304" t="inlineStr">
        <is>
          <t>Ross Duffield</t>
        </is>
      </c>
      <c r="C304" t="inlineStr">
        <is>
          <t>Cwmcarn Paragon Cycling Club</t>
        </is>
      </c>
      <c r="D304" t="inlineStr">
        <is>
          <t>15</t>
        </is>
      </c>
      <c r="E304">
        <f>HYPERLINK("https://www.britishcycling.org.uk/points?person_id=602993&amp;year=2022&amp;type=national&amp;d=6","Results")</f>
        <v/>
      </c>
    </row>
    <row r="305">
      <c r="A305" t="inlineStr">
        <is>
          <t>304</t>
        </is>
      </c>
      <c r="B305" t="inlineStr">
        <is>
          <t>Guy Pattison</t>
        </is>
      </c>
      <c r="C305" t="inlineStr"/>
      <c r="D305" t="inlineStr">
        <is>
          <t>15</t>
        </is>
      </c>
      <c r="E305">
        <f>HYPERLINK("https://www.britishcycling.org.uk/points?person_id=314641&amp;year=2022&amp;type=national&amp;d=6","Results")</f>
        <v/>
      </c>
    </row>
    <row r="306">
      <c r="A306" t="inlineStr">
        <is>
          <t>305</t>
        </is>
      </c>
      <c r="B306" t="inlineStr">
        <is>
          <t>Mark Prinsloo</t>
        </is>
      </c>
      <c r="C306" t="inlineStr">
        <is>
          <t>Rugby Velo</t>
        </is>
      </c>
      <c r="D306" t="inlineStr">
        <is>
          <t>15</t>
        </is>
      </c>
      <c r="E306">
        <f>HYPERLINK("https://www.britishcycling.org.uk/points?person_id=326384&amp;year=2022&amp;type=national&amp;d=6","Results")</f>
        <v/>
      </c>
    </row>
    <row r="307">
      <c r="A307" t="inlineStr">
        <is>
          <t>306</t>
        </is>
      </c>
      <c r="B307" t="inlineStr">
        <is>
          <t>Austin Smith</t>
        </is>
      </c>
      <c r="C307" t="inlineStr">
        <is>
          <t>Welland Valley CC</t>
        </is>
      </c>
      <c r="D307" t="inlineStr">
        <is>
          <t>15</t>
        </is>
      </c>
      <c r="E307">
        <f>HYPERLINK("https://www.britishcycling.org.uk/points?person_id=400203&amp;year=2022&amp;type=national&amp;d=6","Results")</f>
        <v/>
      </c>
    </row>
    <row r="308">
      <c r="A308" t="inlineStr">
        <is>
          <t>307</t>
        </is>
      </c>
      <c r="B308" t="inlineStr">
        <is>
          <t>Ashley Strowger</t>
        </is>
      </c>
      <c r="C308" t="inlineStr">
        <is>
          <t>VC Norwich</t>
        </is>
      </c>
      <c r="D308" t="inlineStr">
        <is>
          <t>15</t>
        </is>
      </c>
      <c r="E308">
        <f>HYPERLINK("https://www.britishcycling.org.uk/points?person_id=678519&amp;year=2022&amp;type=national&amp;d=6","Results")</f>
        <v/>
      </c>
    </row>
    <row r="309">
      <c r="A309" t="inlineStr">
        <is>
          <t>308</t>
        </is>
      </c>
      <c r="B309" t="inlineStr">
        <is>
          <t>Miles Thomas</t>
        </is>
      </c>
      <c r="C309" t="inlineStr">
        <is>
          <t>Hart Evolution Racing Team</t>
        </is>
      </c>
      <c r="D309" t="inlineStr">
        <is>
          <t>15</t>
        </is>
      </c>
      <c r="E309">
        <f>HYPERLINK("https://www.britishcycling.org.uk/points?person_id=425670&amp;year=2022&amp;type=national&amp;d=6","Results")</f>
        <v/>
      </c>
    </row>
    <row r="310">
      <c r="A310" t="inlineStr">
        <is>
          <t>309</t>
        </is>
      </c>
      <c r="B310" t="inlineStr">
        <is>
          <t>Paul Bird</t>
        </is>
      </c>
      <c r="C310" t="inlineStr">
        <is>
          <t>Stowmarket &amp; District CC</t>
        </is>
      </c>
      <c r="D310" t="inlineStr">
        <is>
          <t>14</t>
        </is>
      </c>
      <c r="E310">
        <f>HYPERLINK("https://www.britishcycling.org.uk/points?person_id=246919&amp;year=2022&amp;type=national&amp;d=6","Results")</f>
        <v/>
      </c>
    </row>
    <row r="311">
      <c r="A311" t="inlineStr">
        <is>
          <t>310</t>
        </is>
      </c>
      <c r="B311" t="inlineStr">
        <is>
          <t>Michael Bromwich</t>
        </is>
      </c>
      <c r="C311" t="inlineStr">
        <is>
          <t>Wylde Green Wheelers</t>
        </is>
      </c>
      <c r="D311" t="inlineStr">
        <is>
          <t>14</t>
        </is>
      </c>
      <c r="E311">
        <f>HYPERLINK("https://www.britishcycling.org.uk/points?person_id=315677&amp;year=2022&amp;type=national&amp;d=6","Results")</f>
        <v/>
      </c>
    </row>
    <row r="312">
      <c r="A312" t="inlineStr">
        <is>
          <t>311</t>
        </is>
      </c>
      <c r="B312" t="inlineStr">
        <is>
          <t>Michael Greaney</t>
        </is>
      </c>
      <c r="C312" t="inlineStr">
        <is>
          <t>Stockport Clarion CC</t>
        </is>
      </c>
      <c r="D312" t="inlineStr">
        <is>
          <t>14</t>
        </is>
      </c>
      <c r="E312">
        <f>HYPERLINK("https://www.britishcycling.org.uk/points?person_id=349886&amp;year=2022&amp;type=national&amp;d=6","Results")</f>
        <v/>
      </c>
    </row>
    <row r="313">
      <c r="A313" t="inlineStr">
        <is>
          <t>312</t>
        </is>
      </c>
      <c r="B313" t="inlineStr">
        <is>
          <t>David Kift</t>
        </is>
      </c>
      <c r="C313" t="inlineStr">
        <is>
          <t>BW Cycling</t>
        </is>
      </c>
      <c r="D313" t="inlineStr">
        <is>
          <t>14</t>
        </is>
      </c>
      <c r="E313">
        <f>HYPERLINK("https://www.britishcycling.org.uk/points?person_id=602369&amp;year=2022&amp;type=national&amp;d=6","Results")</f>
        <v/>
      </c>
    </row>
    <row r="314">
      <c r="A314" t="inlineStr">
        <is>
          <t>313</t>
        </is>
      </c>
      <c r="B314" t="inlineStr">
        <is>
          <t>Chris Panayiotou</t>
        </is>
      </c>
      <c r="C314" t="inlineStr"/>
      <c r="D314" t="inlineStr">
        <is>
          <t>14</t>
        </is>
      </c>
      <c r="E314">
        <f>HYPERLINK("https://www.britishcycling.org.uk/points?person_id=26013&amp;year=2022&amp;type=national&amp;d=6","Results")</f>
        <v/>
      </c>
    </row>
    <row r="315">
      <c r="A315" t="inlineStr">
        <is>
          <t>314</t>
        </is>
      </c>
      <c r="B315" t="inlineStr">
        <is>
          <t>Gary Sharp</t>
        </is>
      </c>
      <c r="C315" t="inlineStr">
        <is>
          <t>Sherwood Pines Cycles Forme</t>
        </is>
      </c>
      <c r="D315" t="inlineStr">
        <is>
          <t>14</t>
        </is>
      </c>
      <c r="E315">
        <f>HYPERLINK("https://www.britishcycling.org.uk/points?person_id=411932&amp;year=2022&amp;type=national&amp;d=6","Results")</f>
        <v/>
      </c>
    </row>
    <row r="316">
      <c r="A316" t="inlineStr">
        <is>
          <t>315</t>
        </is>
      </c>
      <c r="B316" t="inlineStr">
        <is>
          <t>Lee Shunburne</t>
        </is>
      </c>
      <c r="C316" t="inlineStr"/>
      <c r="D316" t="inlineStr">
        <is>
          <t>14</t>
        </is>
      </c>
      <c r="E316">
        <f>HYPERLINK("https://www.britishcycling.org.uk/points?person_id=3489&amp;year=2022&amp;type=national&amp;d=6","Results")</f>
        <v/>
      </c>
    </row>
    <row r="317">
      <c r="A317" t="inlineStr">
        <is>
          <t>316</t>
        </is>
      </c>
      <c r="B317" t="inlineStr">
        <is>
          <t>Daniel Street</t>
        </is>
      </c>
      <c r="C317" t="inlineStr">
        <is>
          <t>Lewes Wanderers CC</t>
        </is>
      </c>
      <c r="D317" t="inlineStr">
        <is>
          <t>14</t>
        </is>
      </c>
      <c r="E317">
        <f>HYPERLINK("https://www.britishcycling.org.uk/points?person_id=191492&amp;year=2022&amp;type=national&amp;d=6","Results")</f>
        <v/>
      </c>
    </row>
    <row r="318">
      <c r="A318" t="inlineStr">
        <is>
          <t>317</t>
        </is>
      </c>
      <c r="B318" t="inlineStr">
        <is>
          <t>Simon Barclay</t>
        </is>
      </c>
      <c r="C318" t="inlineStr">
        <is>
          <t>South Shields Velo Cycling Club</t>
        </is>
      </c>
      <c r="D318" t="inlineStr">
        <is>
          <t>13</t>
        </is>
      </c>
      <c r="E318">
        <f>HYPERLINK("https://www.britishcycling.org.uk/points?person_id=715873&amp;year=2022&amp;type=national&amp;d=6","Results")</f>
        <v/>
      </c>
    </row>
    <row r="319">
      <c r="A319" t="inlineStr">
        <is>
          <t>318</t>
        </is>
      </c>
      <c r="B319" t="inlineStr">
        <is>
          <t>Daniel Brazier</t>
        </is>
      </c>
      <c r="C319" t="inlineStr">
        <is>
          <t>Orkney Cycling Club</t>
        </is>
      </c>
      <c r="D319" t="inlineStr">
        <is>
          <t>13</t>
        </is>
      </c>
      <c r="E319">
        <f>HYPERLINK("https://www.britishcycling.org.uk/points?person_id=760546&amp;year=2022&amp;type=national&amp;d=6","Results")</f>
        <v/>
      </c>
    </row>
    <row r="320">
      <c r="A320" t="inlineStr">
        <is>
          <t>319</t>
        </is>
      </c>
      <c r="B320" t="inlineStr">
        <is>
          <t>William Davis</t>
        </is>
      </c>
      <c r="C320" t="inlineStr">
        <is>
          <t>Brighton Excelsior CC</t>
        </is>
      </c>
      <c r="D320" t="inlineStr">
        <is>
          <t>12</t>
        </is>
      </c>
      <c r="E320">
        <f>HYPERLINK("https://www.britishcycling.org.uk/points?person_id=71510&amp;year=2022&amp;type=national&amp;d=6","Results")</f>
        <v/>
      </c>
    </row>
    <row r="321">
      <c r="A321" t="inlineStr">
        <is>
          <t>320</t>
        </is>
      </c>
      <c r="B321" t="inlineStr">
        <is>
          <t>Christopher Hill</t>
        </is>
      </c>
      <c r="C321" t="inlineStr">
        <is>
          <t>A403 Rogue</t>
        </is>
      </c>
      <c r="D321" t="inlineStr">
        <is>
          <t>12</t>
        </is>
      </c>
      <c r="E321">
        <f>HYPERLINK("https://www.britishcycling.org.uk/points?person_id=254197&amp;year=2022&amp;type=national&amp;d=6","Results")</f>
        <v/>
      </c>
    </row>
    <row r="322">
      <c r="A322" t="inlineStr">
        <is>
          <t>321</t>
        </is>
      </c>
      <c r="B322" t="inlineStr">
        <is>
          <t>Alex Mead</t>
        </is>
      </c>
      <c r="C322" t="inlineStr"/>
      <c r="D322" t="inlineStr">
        <is>
          <t>12</t>
        </is>
      </c>
      <c r="E322">
        <f>HYPERLINK("https://www.britishcycling.org.uk/points?person_id=831976&amp;year=2022&amp;type=national&amp;d=6","Results")</f>
        <v/>
      </c>
    </row>
    <row r="323">
      <c r="A323" t="inlineStr">
        <is>
          <t>322</t>
        </is>
      </c>
      <c r="B323" t="inlineStr">
        <is>
          <t>Matt Steel</t>
        </is>
      </c>
      <c r="C323" t="inlineStr">
        <is>
          <t>Pronto Bikes</t>
        </is>
      </c>
      <c r="D323" t="inlineStr">
        <is>
          <t>12</t>
        </is>
      </c>
      <c r="E323">
        <f>HYPERLINK("https://www.britishcycling.org.uk/points?person_id=701683&amp;year=2022&amp;type=national&amp;d=6","Results")</f>
        <v/>
      </c>
    </row>
    <row r="324">
      <c r="A324" t="inlineStr">
        <is>
          <t>323</t>
        </is>
      </c>
      <c r="B324" t="inlineStr">
        <is>
          <t>James Ward</t>
        </is>
      </c>
      <c r="C324" t="inlineStr">
        <is>
          <t>Cambridge CC</t>
        </is>
      </c>
      <c r="D324" t="inlineStr">
        <is>
          <t>12</t>
        </is>
      </c>
      <c r="E324">
        <f>HYPERLINK("https://www.britishcycling.org.uk/points?person_id=72883&amp;year=2022&amp;type=national&amp;d=6","Results")</f>
        <v/>
      </c>
    </row>
    <row r="325">
      <c r="A325" t="inlineStr">
        <is>
          <t>324</t>
        </is>
      </c>
      <c r="B325" t="inlineStr">
        <is>
          <t>David Worthington</t>
        </is>
      </c>
      <c r="C325" t="inlineStr">
        <is>
          <t>Dulwich Paragon CC</t>
        </is>
      </c>
      <c r="D325" t="inlineStr">
        <is>
          <t>12</t>
        </is>
      </c>
      <c r="E325">
        <f>HYPERLINK("https://www.britishcycling.org.uk/points?person_id=56999&amp;year=2022&amp;type=national&amp;d=6","Results")</f>
        <v/>
      </c>
    </row>
    <row r="326">
      <c r="A326" t="inlineStr">
        <is>
          <t>325</t>
        </is>
      </c>
      <c r="B326" t="inlineStr">
        <is>
          <t>Paul Bailey</t>
        </is>
      </c>
      <c r="C326" t="inlineStr">
        <is>
          <t>Cheshire Ghostriders BMX</t>
        </is>
      </c>
      <c r="D326" t="inlineStr">
        <is>
          <t>11</t>
        </is>
      </c>
      <c r="E326">
        <f>HYPERLINK("https://www.britishcycling.org.uk/points?person_id=17164&amp;year=2022&amp;type=national&amp;d=6","Results")</f>
        <v/>
      </c>
    </row>
    <row r="327">
      <c r="A327" t="inlineStr">
        <is>
          <t>326</t>
        </is>
      </c>
      <c r="B327" t="inlineStr">
        <is>
          <t>Hamish Campbell</t>
        </is>
      </c>
      <c r="C327" t="inlineStr">
        <is>
          <t>Nova Raiders Cycling Club</t>
        </is>
      </c>
      <c r="D327" t="inlineStr">
        <is>
          <t>11</t>
        </is>
      </c>
      <c r="E327">
        <f>HYPERLINK("https://www.britishcycling.org.uk/points?person_id=1021358&amp;year=2022&amp;type=national&amp;d=6","Results")</f>
        <v/>
      </c>
    </row>
    <row r="328">
      <c r="A328" t="inlineStr">
        <is>
          <t>327</t>
        </is>
      </c>
      <c r="B328" t="inlineStr">
        <is>
          <t>Stephen Carr</t>
        </is>
      </c>
      <c r="C328" t="inlineStr">
        <is>
          <t>Cestria CC</t>
        </is>
      </c>
      <c r="D328" t="inlineStr">
        <is>
          <t>11</t>
        </is>
      </c>
      <c r="E328">
        <f>HYPERLINK("https://www.britishcycling.org.uk/points?person_id=935718&amp;year=2022&amp;type=national&amp;d=6","Results")</f>
        <v/>
      </c>
    </row>
    <row r="329">
      <c r="A329" t="inlineStr">
        <is>
          <t>328</t>
        </is>
      </c>
      <c r="B329" t="inlineStr">
        <is>
          <t>Jonathan Carter</t>
        </is>
      </c>
      <c r="C329" t="inlineStr">
        <is>
          <t>Louth Cycle Centre RT</t>
        </is>
      </c>
      <c r="D329" t="inlineStr">
        <is>
          <t>11</t>
        </is>
      </c>
      <c r="E329">
        <f>HYPERLINK("https://www.britishcycling.org.uk/points?person_id=438950&amp;year=2022&amp;type=national&amp;d=6","Results")</f>
        <v/>
      </c>
    </row>
    <row r="330">
      <c r="A330" t="inlineStr">
        <is>
          <t>329</t>
        </is>
      </c>
      <c r="B330" t="inlineStr">
        <is>
          <t>Paul Kinsella</t>
        </is>
      </c>
      <c r="C330" t="inlineStr"/>
      <c r="D330" t="inlineStr">
        <is>
          <t>11</t>
        </is>
      </c>
      <c r="E330">
        <f>HYPERLINK("https://www.britishcycling.org.uk/points?person_id=1025227&amp;year=2022&amp;type=national&amp;d=6","Results")</f>
        <v/>
      </c>
    </row>
    <row r="331">
      <c r="A331" t="inlineStr">
        <is>
          <t>330</t>
        </is>
      </c>
      <c r="B331" t="inlineStr">
        <is>
          <t>Alastair Murray</t>
        </is>
      </c>
      <c r="C331" t="inlineStr">
        <is>
          <t>Horwich CC</t>
        </is>
      </c>
      <c r="D331" t="inlineStr">
        <is>
          <t>11</t>
        </is>
      </c>
      <c r="E331">
        <f>HYPERLINK("https://www.britishcycling.org.uk/points?person_id=950022&amp;year=2022&amp;type=national&amp;d=6","Results")</f>
        <v/>
      </c>
    </row>
    <row r="332">
      <c r="A332" t="inlineStr">
        <is>
          <t>331</t>
        </is>
      </c>
      <c r="B332" t="inlineStr">
        <is>
          <t>Karl Schumacher</t>
        </is>
      </c>
      <c r="C332" t="inlineStr">
        <is>
          <t>ROTOR Race Team</t>
        </is>
      </c>
      <c r="D332" t="inlineStr">
        <is>
          <t>11</t>
        </is>
      </c>
      <c r="E332">
        <f>HYPERLINK("https://www.britishcycling.org.uk/points?person_id=521041&amp;year=2022&amp;type=national&amp;d=6","Results")</f>
        <v/>
      </c>
    </row>
    <row r="333">
      <c r="A333" t="inlineStr">
        <is>
          <t>332</t>
        </is>
      </c>
      <c r="B333" t="inlineStr">
        <is>
          <t>Benjamin Bartlett</t>
        </is>
      </c>
      <c r="C333" t="inlineStr">
        <is>
          <t>Folkestone Velo Club</t>
        </is>
      </c>
      <c r="D333" t="inlineStr">
        <is>
          <t>10</t>
        </is>
      </c>
      <c r="E333">
        <f>HYPERLINK("https://www.britishcycling.org.uk/points?person_id=247366&amp;year=2022&amp;type=national&amp;d=6","Results")</f>
        <v/>
      </c>
    </row>
    <row r="334">
      <c r="A334" t="inlineStr">
        <is>
          <t>333</t>
        </is>
      </c>
      <c r="B334" t="inlineStr">
        <is>
          <t>Martin Chisholm</t>
        </is>
      </c>
      <c r="C334" t="inlineStr">
        <is>
          <t>MGC RT</t>
        </is>
      </c>
      <c r="D334" t="inlineStr">
        <is>
          <t>10</t>
        </is>
      </c>
      <c r="E334">
        <f>HYPERLINK("https://www.britishcycling.org.uk/points?person_id=60285&amp;year=2022&amp;type=national&amp;d=6","Results")</f>
        <v/>
      </c>
    </row>
    <row r="335">
      <c r="A335" t="inlineStr">
        <is>
          <t>334</t>
        </is>
      </c>
      <c r="B335" t="inlineStr">
        <is>
          <t>Christopher Cooknell</t>
        </is>
      </c>
      <c r="C335" t="inlineStr">
        <is>
          <t>Cheddar Cycle Club</t>
        </is>
      </c>
      <c r="D335" t="inlineStr">
        <is>
          <t>10</t>
        </is>
      </c>
      <c r="E335">
        <f>HYPERLINK("https://www.britishcycling.org.uk/points?person_id=197946&amp;year=2022&amp;type=national&amp;d=6","Results")</f>
        <v/>
      </c>
    </row>
    <row r="336">
      <c r="A336" t="inlineStr">
        <is>
          <t>335</t>
        </is>
      </c>
      <c r="B336" t="inlineStr">
        <is>
          <t>Alan Sanders</t>
        </is>
      </c>
      <c r="C336" t="inlineStr">
        <is>
          <t>Cycle Sport South Hams</t>
        </is>
      </c>
      <c r="D336" t="inlineStr">
        <is>
          <t>10</t>
        </is>
      </c>
      <c r="E336">
        <f>HYPERLINK("https://www.britishcycling.org.uk/points?person_id=77661&amp;year=2022&amp;type=national&amp;d=6","Results")</f>
        <v/>
      </c>
    </row>
    <row r="337">
      <c r="A337" t="inlineStr">
        <is>
          <t>336</t>
        </is>
      </c>
      <c r="B337" t="inlineStr">
        <is>
          <t>Alex Elferink</t>
        </is>
      </c>
      <c r="C337" t="inlineStr">
        <is>
          <t>East London Velo</t>
        </is>
      </c>
      <c r="D337" t="inlineStr">
        <is>
          <t>9</t>
        </is>
      </c>
      <c r="E337">
        <f>HYPERLINK("https://www.britishcycling.org.uk/points?person_id=284287&amp;year=2022&amp;type=national&amp;d=6","Results")</f>
        <v/>
      </c>
    </row>
    <row r="338">
      <c r="A338" t="inlineStr">
        <is>
          <t>337</t>
        </is>
      </c>
      <c r="B338" t="inlineStr">
        <is>
          <t>Jose Vicente-Garcia</t>
        </is>
      </c>
      <c r="C338" t="inlineStr">
        <is>
          <t>CC Sudbury</t>
        </is>
      </c>
      <c r="D338" t="inlineStr">
        <is>
          <t>9</t>
        </is>
      </c>
      <c r="E338">
        <f>HYPERLINK("https://www.britishcycling.org.uk/points?person_id=772073&amp;year=2022&amp;type=national&amp;d=6","Results")</f>
        <v/>
      </c>
    </row>
    <row r="339">
      <c r="A339" t="inlineStr">
        <is>
          <t>338</t>
        </is>
      </c>
      <c r="B339" t="inlineStr">
        <is>
          <t>Edward Bull</t>
        </is>
      </c>
      <c r="C339" t="inlineStr">
        <is>
          <t>Stowmarket &amp; District CC</t>
        </is>
      </c>
      <c r="D339" t="inlineStr">
        <is>
          <t>8</t>
        </is>
      </c>
      <c r="E339">
        <f>HYPERLINK("https://www.britishcycling.org.uk/points?person_id=567207&amp;year=2022&amp;type=national&amp;d=6","Results")</f>
        <v/>
      </c>
    </row>
    <row r="340">
      <c r="A340" t="inlineStr">
        <is>
          <t>339</t>
        </is>
      </c>
      <c r="B340" t="inlineStr">
        <is>
          <t>Dan Connall</t>
        </is>
      </c>
      <c r="C340" t="inlineStr">
        <is>
          <t>Velobants.cc</t>
        </is>
      </c>
      <c r="D340" t="inlineStr">
        <is>
          <t>8</t>
        </is>
      </c>
      <c r="E340">
        <f>HYPERLINK("https://www.britishcycling.org.uk/points?person_id=211120&amp;year=2022&amp;type=national&amp;d=6","Results")</f>
        <v/>
      </c>
    </row>
    <row r="341">
      <c r="A341" t="inlineStr">
        <is>
          <t>340</t>
        </is>
      </c>
      <c r="B341" t="inlineStr">
        <is>
          <t>Wayne Crombie</t>
        </is>
      </c>
      <c r="C341" t="inlineStr">
        <is>
          <t>East London Velo</t>
        </is>
      </c>
      <c r="D341" t="inlineStr">
        <is>
          <t>8</t>
        </is>
      </c>
      <c r="E341">
        <f>HYPERLINK("https://www.britishcycling.org.uk/points?person_id=46847&amp;year=2022&amp;type=national&amp;d=6","Results")</f>
        <v/>
      </c>
    </row>
    <row r="342">
      <c r="A342" t="inlineStr">
        <is>
          <t>341</t>
        </is>
      </c>
      <c r="B342" t="inlineStr">
        <is>
          <t>Graham Dotchin</t>
        </is>
      </c>
      <c r="C342" t="inlineStr">
        <is>
          <t>NSP Cycling Team</t>
        </is>
      </c>
      <c r="D342" t="inlineStr">
        <is>
          <t>8</t>
        </is>
      </c>
      <c r="E342">
        <f>HYPERLINK("https://www.britishcycling.org.uk/points?person_id=990656&amp;year=2022&amp;type=national&amp;d=6","Results")</f>
        <v/>
      </c>
    </row>
    <row r="343">
      <c r="A343" t="inlineStr">
        <is>
          <t>342</t>
        </is>
      </c>
      <c r="B343" t="inlineStr">
        <is>
          <t>Mathew Eley</t>
        </is>
      </c>
      <c r="C343" t="inlineStr">
        <is>
          <t>Ely &amp; District CC</t>
        </is>
      </c>
      <c r="D343" t="inlineStr">
        <is>
          <t>8</t>
        </is>
      </c>
      <c r="E343">
        <f>HYPERLINK("https://www.britishcycling.org.uk/points?person_id=248665&amp;year=2022&amp;type=national&amp;d=6","Results")</f>
        <v/>
      </c>
    </row>
    <row r="344">
      <c r="A344" t="inlineStr">
        <is>
          <t>343</t>
        </is>
      </c>
      <c r="B344" t="inlineStr">
        <is>
          <t>Alistair Fisher</t>
        </is>
      </c>
      <c r="C344" t="inlineStr">
        <is>
          <t>Bruntwood Park BMX Club</t>
        </is>
      </c>
      <c r="D344" t="inlineStr">
        <is>
          <t>8</t>
        </is>
      </c>
      <c r="E344">
        <f>HYPERLINK("https://www.britishcycling.org.uk/points?person_id=689521&amp;year=2022&amp;type=national&amp;d=6","Results")</f>
        <v/>
      </c>
    </row>
    <row r="345">
      <c r="A345" t="inlineStr">
        <is>
          <t>344</t>
        </is>
      </c>
      <c r="B345" t="inlineStr">
        <is>
          <t>Stuart Gough</t>
        </is>
      </c>
      <c r="C345" t="inlineStr">
        <is>
          <t>SRCT MUC-OFF</t>
        </is>
      </c>
      <c r="D345" t="inlineStr">
        <is>
          <t>8</t>
        </is>
      </c>
      <c r="E345">
        <f>HYPERLINK("https://www.britishcycling.org.uk/points?person_id=873269&amp;year=2022&amp;type=national&amp;d=6","Results")</f>
        <v/>
      </c>
    </row>
    <row r="346">
      <c r="A346" t="inlineStr">
        <is>
          <t>345</t>
        </is>
      </c>
      <c r="B346" t="inlineStr">
        <is>
          <t>Robin Jones</t>
        </is>
      </c>
      <c r="C346" t="inlineStr">
        <is>
          <t>Dulwich Paragon CC</t>
        </is>
      </c>
      <c r="D346" t="inlineStr">
        <is>
          <t>8</t>
        </is>
      </c>
      <c r="E346">
        <f>HYPERLINK("https://www.britishcycling.org.uk/points?person_id=572066&amp;year=2022&amp;type=national&amp;d=6","Results")</f>
        <v/>
      </c>
    </row>
    <row r="347">
      <c r="A347" t="inlineStr">
        <is>
          <t>346</t>
        </is>
      </c>
      <c r="B347" t="inlineStr">
        <is>
          <t>Werner Kriek</t>
        </is>
      </c>
      <c r="C347" t="inlineStr">
        <is>
          <t>East London Velo</t>
        </is>
      </c>
      <c r="D347" t="inlineStr">
        <is>
          <t>8</t>
        </is>
      </c>
      <c r="E347">
        <f>HYPERLINK("https://www.britishcycling.org.uk/points?person_id=205682&amp;year=2022&amp;type=national&amp;d=6","Results")</f>
        <v/>
      </c>
    </row>
    <row r="348">
      <c r="A348" t="inlineStr">
        <is>
          <t>347</t>
        </is>
      </c>
      <c r="B348" t="inlineStr">
        <is>
          <t>Lee Morgan</t>
        </is>
      </c>
      <c r="C348" t="inlineStr">
        <is>
          <t>Team Bottrill</t>
        </is>
      </c>
      <c r="D348" t="inlineStr">
        <is>
          <t>8</t>
        </is>
      </c>
      <c r="E348">
        <f>HYPERLINK("https://www.britishcycling.org.uk/points?person_id=651730&amp;year=2022&amp;type=national&amp;d=6","Results")</f>
        <v/>
      </c>
    </row>
    <row r="349">
      <c r="A349" t="inlineStr">
        <is>
          <t>348</t>
        </is>
      </c>
      <c r="B349" t="inlineStr">
        <is>
          <t>Jonathan Needham</t>
        </is>
      </c>
      <c r="C349" t="inlineStr">
        <is>
          <t>GS Invicta-ELO-Herberts Cycles</t>
        </is>
      </c>
      <c r="D349" t="inlineStr">
        <is>
          <t>8</t>
        </is>
      </c>
      <c r="E349">
        <f>HYPERLINK("https://www.britishcycling.org.uk/points?person_id=119893&amp;year=2022&amp;type=national&amp;d=6","Results")</f>
        <v/>
      </c>
    </row>
    <row r="350">
      <c r="A350" t="inlineStr">
        <is>
          <t>349</t>
        </is>
      </c>
      <c r="B350" t="inlineStr">
        <is>
          <t>Adam Sainsbury</t>
        </is>
      </c>
      <c r="C350" t="inlineStr">
        <is>
          <t>Exeter Wheelers</t>
        </is>
      </c>
      <c r="D350" t="inlineStr">
        <is>
          <t>8</t>
        </is>
      </c>
      <c r="E350">
        <f>HYPERLINK("https://www.britishcycling.org.uk/points?person_id=125980&amp;year=2022&amp;type=national&amp;d=6","Results")</f>
        <v/>
      </c>
    </row>
    <row r="351">
      <c r="A351" t="inlineStr">
        <is>
          <t>350</t>
        </is>
      </c>
      <c r="B351" t="inlineStr">
        <is>
          <t>Steven Sharp</t>
        </is>
      </c>
      <c r="C351" t="inlineStr"/>
      <c r="D351" t="inlineStr">
        <is>
          <t>8</t>
        </is>
      </c>
      <c r="E351">
        <f>HYPERLINK("https://www.britishcycling.org.uk/points?person_id=586011&amp;year=2022&amp;type=national&amp;d=6","Results")</f>
        <v/>
      </c>
    </row>
    <row r="352">
      <c r="A352" t="inlineStr">
        <is>
          <t>351</t>
        </is>
      </c>
      <c r="B352" t="inlineStr">
        <is>
          <t>Adrian Warren</t>
        </is>
      </c>
      <c r="C352" t="inlineStr">
        <is>
          <t>Nopinz Motip Development Team</t>
        </is>
      </c>
      <c r="D352" t="inlineStr">
        <is>
          <t>8</t>
        </is>
      </c>
      <c r="E352">
        <f>HYPERLINK("https://www.britishcycling.org.uk/points?person_id=349348&amp;year=2022&amp;type=national&amp;d=6","Results")</f>
        <v/>
      </c>
    </row>
    <row r="353">
      <c r="A353" t="inlineStr">
        <is>
          <t>352</t>
        </is>
      </c>
      <c r="B353" t="inlineStr">
        <is>
          <t>James Bracey</t>
        </is>
      </c>
      <c r="C353" t="inlineStr"/>
      <c r="D353" t="inlineStr">
        <is>
          <t>7</t>
        </is>
      </c>
      <c r="E353">
        <f>HYPERLINK("https://www.britishcycling.org.uk/points?person_id=6765&amp;year=2022&amp;type=national&amp;d=6","Results")</f>
        <v/>
      </c>
    </row>
    <row r="354">
      <c r="A354" t="inlineStr">
        <is>
          <t>353</t>
        </is>
      </c>
      <c r="B354" t="inlineStr">
        <is>
          <t>Justin Hoy</t>
        </is>
      </c>
      <c r="C354" t="inlineStr">
        <is>
          <t>Pronto Bikes</t>
        </is>
      </c>
      <c r="D354" t="inlineStr">
        <is>
          <t>7</t>
        </is>
      </c>
      <c r="E354">
        <f>HYPERLINK("https://www.britishcycling.org.uk/points?person_id=22167&amp;year=2022&amp;type=national&amp;d=6","Results")</f>
        <v/>
      </c>
    </row>
    <row r="355">
      <c r="A355" t="inlineStr">
        <is>
          <t>354</t>
        </is>
      </c>
      <c r="B355" t="inlineStr">
        <is>
          <t>Maciej Malyszka</t>
        </is>
      </c>
      <c r="C355" t="inlineStr">
        <is>
          <t>Velouse Flyers</t>
        </is>
      </c>
      <c r="D355" t="inlineStr">
        <is>
          <t>7</t>
        </is>
      </c>
      <c r="E355">
        <f>HYPERLINK("https://www.britishcycling.org.uk/points?person_id=381397&amp;year=2022&amp;type=national&amp;d=6","Results")</f>
        <v/>
      </c>
    </row>
    <row r="356">
      <c r="A356" t="inlineStr">
        <is>
          <t>355</t>
        </is>
      </c>
      <c r="B356" t="inlineStr">
        <is>
          <t>Stewart Phipps</t>
        </is>
      </c>
      <c r="C356" t="inlineStr">
        <is>
          <t>Bromsgrove Olympique CC</t>
        </is>
      </c>
      <c r="D356" t="inlineStr">
        <is>
          <t>7</t>
        </is>
      </c>
      <c r="E356">
        <f>HYPERLINK("https://www.britishcycling.org.uk/points?person_id=794278&amp;year=2022&amp;type=national&amp;d=6","Results")</f>
        <v/>
      </c>
    </row>
    <row r="357">
      <c r="A357" t="inlineStr">
        <is>
          <t>356</t>
        </is>
      </c>
      <c r="B357" t="inlineStr">
        <is>
          <t>Leon Reeves</t>
        </is>
      </c>
      <c r="C357" t="inlineStr">
        <is>
          <t>Abergavenny Road Club</t>
        </is>
      </c>
      <c r="D357" t="inlineStr">
        <is>
          <t>7</t>
        </is>
      </c>
      <c r="E357">
        <f>HYPERLINK("https://www.britishcycling.org.uk/points?person_id=623133&amp;year=2022&amp;type=national&amp;d=6","Results")</f>
        <v/>
      </c>
    </row>
    <row r="358">
      <c r="A358" t="inlineStr">
        <is>
          <t>357</t>
        </is>
      </c>
      <c r="B358" t="inlineStr">
        <is>
          <t>Peter St-Amour</t>
        </is>
      </c>
      <c r="C358" t="inlineStr"/>
      <c r="D358" t="inlineStr">
        <is>
          <t>7</t>
        </is>
      </c>
      <c r="E358">
        <f>HYPERLINK("https://www.britishcycling.org.uk/points?person_id=43680&amp;year=2022&amp;type=national&amp;d=6","Results")</f>
        <v/>
      </c>
    </row>
    <row r="359">
      <c r="A359" t="inlineStr">
        <is>
          <t>358</t>
        </is>
      </c>
      <c r="B359" t="inlineStr">
        <is>
          <t>Niall Brown</t>
        </is>
      </c>
      <c r="C359" t="inlineStr">
        <is>
          <t>Bristol South CC</t>
        </is>
      </c>
      <c r="D359" t="inlineStr">
        <is>
          <t>6</t>
        </is>
      </c>
      <c r="E359">
        <f>HYPERLINK("https://www.britishcycling.org.uk/points?person_id=45936&amp;year=2022&amp;type=national&amp;d=6","Results")</f>
        <v/>
      </c>
    </row>
    <row r="360">
      <c r="A360" t="inlineStr">
        <is>
          <t>359</t>
        </is>
      </c>
      <c r="B360" t="inlineStr">
        <is>
          <t>Daniel Carr</t>
        </is>
      </c>
      <c r="C360" t="inlineStr">
        <is>
          <t>Salt &amp; Sham Cycle Club</t>
        </is>
      </c>
      <c r="D360" t="inlineStr">
        <is>
          <t>6</t>
        </is>
      </c>
      <c r="E360">
        <f>HYPERLINK("https://www.britishcycling.org.uk/points?person_id=356321&amp;year=2022&amp;type=national&amp;d=6","Results")</f>
        <v/>
      </c>
    </row>
    <row r="361">
      <c r="A361" t="inlineStr">
        <is>
          <t>360</t>
        </is>
      </c>
      <c r="B361" t="inlineStr">
        <is>
          <t>Lee Coulson</t>
        </is>
      </c>
      <c r="C361" t="inlineStr">
        <is>
          <t>Hull Thursday RC</t>
        </is>
      </c>
      <c r="D361" t="inlineStr">
        <is>
          <t>6</t>
        </is>
      </c>
      <c r="E361">
        <f>HYPERLINK("https://www.britishcycling.org.uk/points?person_id=28918&amp;year=2022&amp;type=national&amp;d=6","Results")</f>
        <v/>
      </c>
    </row>
    <row r="362">
      <c r="A362" t="inlineStr">
        <is>
          <t>361</t>
        </is>
      </c>
      <c r="B362" t="inlineStr">
        <is>
          <t>Alexander Craig</t>
        </is>
      </c>
      <c r="C362" t="inlineStr">
        <is>
          <t>Royal Leamington Spa CC (RLSCC)</t>
        </is>
      </c>
      <c r="D362" t="inlineStr">
        <is>
          <t>6</t>
        </is>
      </c>
      <c r="E362">
        <f>HYPERLINK("https://www.britishcycling.org.uk/points?person_id=760379&amp;year=2022&amp;type=national&amp;d=6","Results")</f>
        <v/>
      </c>
    </row>
    <row r="363">
      <c r="A363" t="inlineStr">
        <is>
          <t>362</t>
        </is>
      </c>
      <c r="B363" t="inlineStr">
        <is>
          <t>Chris Hoggard</t>
        </is>
      </c>
      <c r="C363" t="inlineStr"/>
      <c r="D363" t="inlineStr">
        <is>
          <t>6</t>
        </is>
      </c>
      <c r="E363">
        <f>HYPERLINK("https://www.britishcycling.org.uk/points?person_id=245199&amp;year=2022&amp;type=national&amp;d=6","Results")</f>
        <v/>
      </c>
    </row>
    <row r="364">
      <c r="A364" t="inlineStr">
        <is>
          <t>363</t>
        </is>
      </c>
      <c r="B364" t="inlineStr">
        <is>
          <t>Simon Miller</t>
        </is>
      </c>
      <c r="C364" t="inlineStr">
        <is>
          <t>Southborough &amp; District Whls</t>
        </is>
      </c>
      <c r="D364" t="inlineStr">
        <is>
          <t>6</t>
        </is>
      </c>
      <c r="E364">
        <f>HYPERLINK("https://www.britishcycling.org.uk/points?person_id=574507&amp;year=2022&amp;type=national&amp;d=6","Results")</f>
        <v/>
      </c>
    </row>
    <row r="365">
      <c r="A365" t="inlineStr">
        <is>
          <t>364</t>
        </is>
      </c>
      <c r="B365" t="inlineStr">
        <is>
          <t>Mike Pears</t>
        </is>
      </c>
      <c r="C365" t="inlineStr">
        <is>
          <t>VC Revolution</t>
        </is>
      </c>
      <c r="D365" t="inlineStr">
        <is>
          <t>6</t>
        </is>
      </c>
      <c r="E365">
        <f>HYPERLINK("https://www.britishcycling.org.uk/points?person_id=831679&amp;year=2022&amp;type=national&amp;d=6","Results")</f>
        <v/>
      </c>
    </row>
    <row r="366">
      <c r="A366" t="inlineStr">
        <is>
          <t>365</t>
        </is>
      </c>
      <c r="B366" t="inlineStr">
        <is>
          <t>Steve Pugh</t>
        </is>
      </c>
      <c r="C366" t="inlineStr">
        <is>
          <t>Allen Valley Velo</t>
        </is>
      </c>
      <c r="D366" t="inlineStr">
        <is>
          <t>6</t>
        </is>
      </c>
      <c r="E366">
        <f>HYPERLINK("https://www.britishcycling.org.uk/points?person_id=30189&amp;year=2022&amp;type=national&amp;d=6","Results")</f>
        <v/>
      </c>
    </row>
    <row r="367">
      <c r="A367" t="inlineStr">
        <is>
          <t>366</t>
        </is>
      </c>
      <c r="B367" t="inlineStr">
        <is>
          <t>Ben Reidy</t>
        </is>
      </c>
      <c r="C367" t="inlineStr">
        <is>
          <t>Cycle Club Ashwell (CCA)</t>
        </is>
      </c>
      <c r="D367" t="inlineStr">
        <is>
          <t>6</t>
        </is>
      </c>
      <c r="E367">
        <f>HYPERLINK("https://www.britishcycling.org.uk/points?person_id=189550&amp;year=2022&amp;type=national&amp;d=6","Results")</f>
        <v/>
      </c>
    </row>
    <row r="368">
      <c r="A368" t="inlineStr">
        <is>
          <t>367</t>
        </is>
      </c>
      <c r="B368" t="inlineStr">
        <is>
          <t>Anthony Smee</t>
        </is>
      </c>
      <c r="C368" t="inlineStr"/>
      <c r="D368" t="inlineStr">
        <is>
          <t>6</t>
        </is>
      </c>
      <c r="E368">
        <f>HYPERLINK("https://www.britishcycling.org.uk/points?person_id=957526&amp;year=2022&amp;type=national&amp;d=6","Results")</f>
        <v/>
      </c>
    </row>
    <row r="369">
      <c r="A369" t="inlineStr">
        <is>
          <t>368</t>
        </is>
      </c>
      <c r="B369" t="inlineStr">
        <is>
          <t>Simon Stone</t>
        </is>
      </c>
      <c r="C369" t="inlineStr">
        <is>
          <t>Dulwich Paragon CC</t>
        </is>
      </c>
      <c r="D369" t="inlineStr">
        <is>
          <t>6</t>
        </is>
      </c>
      <c r="E369">
        <f>HYPERLINK("https://www.britishcycling.org.uk/points?person_id=44314&amp;year=2022&amp;type=national&amp;d=6","Results")</f>
        <v/>
      </c>
    </row>
    <row r="370">
      <c r="A370" t="inlineStr">
        <is>
          <t>369</t>
        </is>
      </c>
      <c r="B370" t="inlineStr">
        <is>
          <t>Jamie Ward</t>
        </is>
      </c>
      <c r="C370" t="inlineStr">
        <is>
          <t>Mid Devon CC</t>
        </is>
      </c>
      <c r="D370" t="inlineStr">
        <is>
          <t>6</t>
        </is>
      </c>
      <c r="E370">
        <f>HYPERLINK("https://www.britishcycling.org.uk/points?person_id=47262&amp;year=2022&amp;type=national&amp;d=6","Results")</f>
        <v/>
      </c>
    </row>
    <row r="371">
      <c r="A371" t="inlineStr">
        <is>
          <t>370</t>
        </is>
      </c>
      <c r="B371" t="inlineStr">
        <is>
          <t>Richard Warner</t>
        </is>
      </c>
      <c r="C371" t="inlineStr">
        <is>
          <t>GS Henley</t>
        </is>
      </c>
      <c r="D371" t="inlineStr">
        <is>
          <t>6</t>
        </is>
      </c>
      <c r="E371">
        <f>HYPERLINK("https://www.britishcycling.org.uk/points?person_id=43047&amp;year=2022&amp;type=national&amp;d=6","Results")</f>
        <v/>
      </c>
    </row>
    <row r="372">
      <c r="A372" t="inlineStr">
        <is>
          <t>371</t>
        </is>
      </c>
      <c r="B372" t="inlineStr">
        <is>
          <t>Chris Grimble</t>
        </is>
      </c>
      <c r="C372" t="inlineStr">
        <is>
          <t>Bicester Millennium CC</t>
        </is>
      </c>
      <c r="D372" t="inlineStr">
        <is>
          <t>5</t>
        </is>
      </c>
      <c r="E372">
        <f>HYPERLINK("https://www.britishcycling.org.uk/points?person_id=106077&amp;year=2022&amp;type=national&amp;d=6","Results")</f>
        <v/>
      </c>
    </row>
    <row r="373">
      <c r="A373" t="inlineStr">
        <is>
          <t>372</t>
        </is>
      </c>
      <c r="B373" t="inlineStr">
        <is>
          <t>Ross Johnstone</t>
        </is>
      </c>
      <c r="C373" t="inlineStr">
        <is>
          <t>Gala Cycling Club</t>
        </is>
      </c>
      <c r="D373" t="inlineStr">
        <is>
          <t>5</t>
        </is>
      </c>
      <c r="E373">
        <f>HYPERLINK("https://www.britishcycling.org.uk/points?person_id=463966&amp;year=2022&amp;type=national&amp;d=6","Results")</f>
        <v/>
      </c>
    </row>
    <row r="374">
      <c r="A374" t="inlineStr">
        <is>
          <t>373</t>
        </is>
      </c>
      <c r="B374" t="inlineStr">
        <is>
          <t>Ollie Mitchell</t>
        </is>
      </c>
      <c r="C374" t="inlineStr">
        <is>
          <t>GS Mossa</t>
        </is>
      </c>
      <c r="D374" t="inlineStr">
        <is>
          <t>5</t>
        </is>
      </c>
      <c r="E374">
        <f>HYPERLINK("https://www.britishcycling.org.uk/points?person_id=121621&amp;year=2022&amp;type=national&amp;d=6","Results")</f>
        <v/>
      </c>
    </row>
    <row r="375">
      <c r="A375" t="inlineStr">
        <is>
          <t>374</t>
        </is>
      </c>
      <c r="B375" t="inlineStr">
        <is>
          <t>Alan Ramsay</t>
        </is>
      </c>
      <c r="C375" t="inlineStr">
        <is>
          <t>West Lothian Clarion CC</t>
        </is>
      </c>
      <c r="D375" t="inlineStr">
        <is>
          <t>5</t>
        </is>
      </c>
      <c r="E375">
        <f>HYPERLINK("https://www.britishcycling.org.uk/points?person_id=612210&amp;year=2022&amp;type=national&amp;d=6","Results")</f>
        <v/>
      </c>
    </row>
    <row r="376">
      <c r="A376" t="inlineStr">
        <is>
          <t>375</t>
        </is>
      </c>
      <c r="B376" t="inlineStr">
        <is>
          <t>Marc Townsend</t>
        </is>
      </c>
      <c r="C376" t="inlineStr">
        <is>
          <t>Team TMC - Strada Wheels</t>
        </is>
      </c>
      <c r="D376" t="inlineStr">
        <is>
          <t>5</t>
        </is>
      </c>
      <c r="E376">
        <f>HYPERLINK("https://www.britishcycling.org.uk/points?person_id=181408&amp;year=2022&amp;type=national&amp;d=6","Results")</f>
        <v/>
      </c>
    </row>
    <row r="377">
      <c r="A377" t="inlineStr">
        <is>
          <t>376</t>
        </is>
      </c>
      <c r="B377" t="inlineStr">
        <is>
          <t>David Whittaker</t>
        </is>
      </c>
      <c r="C377" t="inlineStr">
        <is>
          <t>Origin Race Team</t>
        </is>
      </c>
      <c r="D377" t="inlineStr">
        <is>
          <t>5</t>
        </is>
      </c>
      <c r="E377">
        <f>HYPERLINK("https://www.britishcycling.org.uk/points?person_id=304712&amp;year=2022&amp;type=national&amp;d=6","Results")</f>
        <v/>
      </c>
    </row>
    <row r="378">
      <c r="A378" t="inlineStr">
        <is>
          <t>377</t>
        </is>
      </c>
      <c r="B378" t="inlineStr">
        <is>
          <t>David Wilson</t>
        </is>
      </c>
      <c r="C378" t="inlineStr">
        <is>
          <t>Welland Valley CC</t>
        </is>
      </c>
      <c r="D378" t="inlineStr">
        <is>
          <t>5</t>
        </is>
      </c>
      <c r="E378">
        <f>HYPERLINK("https://www.britishcycling.org.uk/points?person_id=441096&amp;year=2022&amp;type=national&amp;d=6","Results")</f>
        <v/>
      </c>
    </row>
    <row r="379">
      <c r="A379" t="inlineStr">
        <is>
          <t>378</t>
        </is>
      </c>
      <c r="B379" t="inlineStr">
        <is>
          <t>Jamie Woodward</t>
        </is>
      </c>
      <c r="C379" t="inlineStr">
        <is>
          <t>Gloucester City Cycling Club</t>
        </is>
      </c>
      <c r="D379" t="inlineStr">
        <is>
          <t>5</t>
        </is>
      </c>
      <c r="E379">
        <f>HYPERLINK("https://www.britishcycling.org.uk/points?person_id=907092&amp;year=2022&amp;type=national&amp;d=6","Results")</f>
        <v/>
      </c>
    </row>
    <row r="380">
      <c r="A380" t="inlineStr">
        <is>
          <t>379</t>
        </is>
      </c>
      <c r="B380" t="inlineStr">
        <is>
          <t>John Armstrong</t>
        </is>
      </c>
      <c r="C380" t="inlineStr">
        <is>
          <t>Rapha Cycling Club</t>
        </is>
      </c>
      <c r="D380" t="inlineStr">
        <is>
          <t>4</t>
        </is>
      </c>
      <c r="E380">
        <f>HYPERLINK("https://www.britishcycling.org.uk/points?person_id=132825&amp;year=2022&amp;type=national&amp;d=6","Results")</f>
        <v/>
      </c>
    </row>
    <row r="381">
      <c r="A381" t="inlineStr">
        <is>
          <t>380</t>
        </is>
      </c>
      <c r="B381" t="inlineStr">
        <is>
          <t>Chris Cornish</t>
        </is>
      </c>
      <c r="C381" t="inlineStr"/>
      <c r="D381" t="inlineStr">
        <is>
          <t>4</t>
        </is>
      </c>
      <c r="E381">
        <f>HYPERLINK("https://www.britishcycling.org.uk/points?person_id=262139&amp;year=2022&amp;type=national&amp;d=6","Results")</f>
        <v/>
      </c>
    </row>
    <row r="382">
      <c r="A382" t="inlineStr">
        <is>
          <t>381</t>
        </is>
      </c>
      <c r="B382" t="inlineStr">
        <is>
          <t>Carl Coughlan</t>
        </is>
      </c>
      <c r="C382" t="inlineStr">
        <is>
          <t>Shibden Cycling Club</t>
        </is>
      </c>
      <c r="D382" t="inlineStr">
        <is>
          <t>4</t>
        </is>
      </c>
      <c r="E382">
        <f>HYPERLINK("https://www.britishcycling.org.uk/points?person_id=228669&amp;year=2022&amp;type=national&amp;d=6","Results")</f>
        <v/>
      </c>
    </row>
    <row r="383">
      <c r="A383" t="inlineStr">
        <is>
          <t>382</t>
        </is>
      </c>
      <c r="B383" t="inlineStr">
        <is>
          <t>Matthew Eastwood</t>
        </is>
      </c>
      <c r="C383" t="inlineStr">
        <is>
          <t>York Cycleworks</t>
        </is>
      </c>
      <c r="D383" t="inlineStr">
        <is>
          <t>4</t>
        </is>
      </c>
      <c r="E383">
        <f>HYPERLINK("https://www.britishcycling.org.uk/points?person_id=62663&amp;year=2022&amp;type=national&amp;d=6","Results")</f>
        <v/>
      </c>
    </row>
    <row r="384">
      <c r="A384" t="inlineStr">
        <is>
          <t>383</t>
        </is>
      </c>
      <c r="B384" t="inlineStr">
        <is>
          <t>Iain Fairley</t>
        </is>
      </c>
      <c r="C384" t="inlineStr">
        <is>
          <t>Gower Riders</t>
        </is>
      </c>
      <c r="D384" t="inlineStr">
        <is>
          <t>4</t>
        </is>
      </c>
      <c r="E384">
        <f>HYPERLINK("https://www.britishcycling.org.uk/points?person_id=328054&amp;year=2022&amp;type=national&amp;d=6","Results")</f>
        <v/>
      </c>
    </row>
    <row r="385">
      <c r="A385" t="inlineStr">
        <is>
          <t>384</t>
        </is>
      </c>
      <c r="B385" t="inlineStr">
        <is>
          <t>Chris Glass</t>
        </is>
      </c>
      <c r="C385" t="inlineStr">
        <is>
          <t>Hetton Hawks Cycling Club</t>
        </is>
      </c>
      <c r="D385" t="inlineStr">
        <is>
          <t>4</t>
        </is>
      </c>
      <c r="E385">
        <f>HYPERLINK("https://www.britishcycling.org.uk/points?person_id=100853&amp;year=2022&amp;type=national&amp;d=6","Results")</f>
        <v/>
      </c>
    </row>
    <row r="386">
      <c r="A386" t="inlineStr">
        <is>
          <t>385</t>
        </is>
      </c>
      <c r="B386" t="inlineStr">
        <is>
          <t>Rory Havis</t>
        </is>
      </c>
      <c r="C386" t="inlineStr">
        <is>
          <t>Ely &amp; District CC</t>
        </is>
      </c>
      <c r="D386" t="inlineStr">
        <is>
          <t>4</t>
        </is>
      </c>
      <c r="E386">
        <f>HYPERLINK("https://www.britishcycling.org.uk/points?person_id=192848&amp;year=2022&amp;type=national&amp;d=6","Results")</f>
        <v/>
      </c>
    </row>
    <row r="387">
      <c r="A387" t="inlineStr">
        <is>
          <t>386</t>
        </is>
      </c>
      <c r="B387" t="inlineStr">
        <is>
          <t>Paul Horsfall</t>
        </is>
      </c>
      <c r="C387" t="inlineStr">
        <is>
          <t>Bikescience Mesh Racing</t>
        </is>
      </c>
      <c r="D387" t="inlineStr">
        <is>
          <t>4</t>
        </is>
      </c>
      <c r="E387">
        <f>HYPERLINK("https://www.britishcycling.org.uk/points?person_id=2580&amp;year=2022&amp;type=national&amp;d=6","Results")</f>
        <v/>
      </c>
    </row>
    <row r="388">
      <c r="A388" t="inlineStr">
        <is>
          <t>387</t>
        </is>
      </c>
      <c r="B388" t="inlineStr">
        <is>
          <t>Paul Jones</t>
        </is>
      </c>
      <c r="C388" t="inlineStr">
        <is>
          <t>Cotswold Cycles RT</t>
        </is>
      </c>
      <c r="D388" t="inlineStr">
        <is>
          <t>4</t>
        </is>
      </c>
      <c r="E388">
        <f>HYPERLINK("https://www.britishcycling.org.uk/points?person_id=303696&amp;year=2022&amp;type=national&amp;d=6","Results")</f>
        <v/>
      </c>
    </row>
    <row r="389">
      <c r="A389" t="inlineStr">
        <is>
          <t>388</t>
        </is>
      </c>
      <c r="B389" t="inlineStr">
        <is>
          <t>Mark Kelly</t>
        </is>
      </c>
      <c r="C389" t="inlineStr">
        <is>
          <t>The Manx Road Club</t>
        </is>
      </c>
      <c r="D389" t="inlineStr">
        <is>
          <t>4</t>
        </is>
      </c>
      <c r="E389">
        <f>HYPERLINK("https://www.britishcycling.org.uk/points?person_id=31636&amp;year=2022&amp;type=national&amp;d=6","Results")</f>
        <v/>
      </c>
    </row>
    <row r="390">
      <c r="A390" t="inlineStr">
        <is>
          <t>389</t>
        </is>
      </c>
      <c r="B390" t="inlineStr">
        <is>
          <t>Craig Lawson</t>
        </is>
      </c>
      <c r="C390" t="inlineStr">
        <is>
          <t>Exeter Wheelers</t>
        </is>
      </c>
      <c r="D390" t="inlineStr">
        <is>
          <t>4</t>
        </is>
      </c>
      <c r="E390">
        <f>HYPERLINK("https://www.britishcycling.org.uk/points?person_id=201010&amp;year=2022&amp;type=national&amp;d=6","Results")</f>
        <v/>
      </c>
    </row>
    <row r="391">
      <c r="A391" t="inlineStr">
        <is>
          <t>390</t>
        </is>
      </c>
      <c r="B391" t="inlineStr">
        <is>
          <t>Mathew Livesey</t>
        </is>
      </c>
      <c r="C391" t="inlineStr"/>
      <c r="D391" t="inlineStr">
        <is>
          <t>4</t>
        </is>
      </c>
      <c r="E391">
        <f>HYPERLINK("https://www.britishcycling.org.uk/points?person_id=224130&amp;year=2022&amp;type=national&amp;d=6","Results")</f>
        <v/>
      </c>
    </row>
    <row r="392">
      <c r="A392" t="inlineStr">
        <is>
          <t>391</t>
        </is>
      </c>
      <c r="B392" t="inlineStr">
        <is>
          <t>Grant Livingstone</t>
        </is>
      </c>
      <c r="C392" t="inlineStr">
        <is>
          <t>Warwick Lanterne Rouge C.C</t>
        </is>
      </c>
      <c r="D392" t="inlineStr">
        <is>
          <t>4</t>
        </is>
      </c>
      <c r="E392">
        <f>HYPERLINK("https://www.britishcycling.org.uk/points?person_id=656876&amp;year=2022&amp;type=national&amp;d=6","Results")</f>
        <v/>
      </c>
    </row>
    <row r="393">
      <c r="A393" t="inlineStr">
        <is>
          <t>392</t>
        </is>
      </c>
      <c r="B393" t="inlineStr">
        <is>
          <t>Julian Lowes</t>
        </is>
      </c>
      <c r="C393" t="inlineStr"/>
      <c r="D393" t="inlineStr">
        <is>
          <t>4</t>
        </is>
      </c>
      <c r="E393">
        <f>HYPERLINK("https://www.britishcycling.org.uk/points?person_id=1037426&amp;year=2022&amp;type=national&amp;d=6","Results")</f>
        <v/>
      </c>
    </row>
    <row r="394">
      <c r="A394" t="inlineStr">
        <is>
          <t>393</t>
        </is>
      </c>
      <c r="B394" t="inlineStr">
        <is>
          <t>Ewan Mulhern</t>
        </is>
      </c>
      <c r="C394" t="inlineStr"/>
      <c r="D394" t="inlineStr">
        <is>
          <t>4</t>
        </is>
      </c>
      <c r="E394">
        <f>HYPERLINK("https://www.britishcycling.org.uk/points?person_id=235669&amp;year=2022&amp;type=national&amp;d=6","Results")</f>
        <v/>
      </c>
    </row>
    <row r="395">
      <c r="A395" t="inlineStr">
        <is>
          <t>394</t>
        </is>
      </c>
      <c r="B395" t="inlineStr">
        <is>
          <t>Rupert Norris</t>
        </is>
      </c>
      <c r="C395" t="inlineStr">
        <is>
          <t>Kelso Wheelers</t>
        </is>
      </c>
      <c r="D395" t="inlineStr">
        <is>
          <t>4</t>
        </is>
      </c>
      <c r="E395">
        <f>HYPERLINK("https://www.britishcycling.org.uk/points?person_id=320041&amp;year=2022&amp;type=national&amp;d=6","Results")</f>
        <v/>
      </c>
    </row>
    <row r="396">
      <c r="A396" t="inlineStr">
        <is>
          <t>395</t>
        </is>
      </c>
      <c r="B396" t="inlineStr">
        <is>
          <t>Alexander Polyakov</t>
        </is>
      </c>
      <c r="C396" t="inlineStr">
        <is>
          <t>WDMBC</t>
        </is>
      </c>
      <c r="D396" t="inlineStr">
        <is>
          <t>4</t>
        </is>
      </c>
      <c r="E396">
        <f>HYPERLINK("https://www.britishcycling.org.uk/points?person_id=974871&amp;year=2022&amp;type=national&amp;d=6","Results")</f>
        <v/>
      </c>
    </row>
    <row r="397">
      <c r="A397" t="inlineStr">
        <is>
          <t>396</t>
        </is>
      </c>
      <c r="B397" t="inlineStr">
        <is>
          <t>Tony Scott</t>
        </is>
      </c>
      <c r="C397" t="inlineStr"/>
      <c r="D397" t="inlineStr">
        <is>
          <t>4</t>
        </is>
      </c>
      <c r="E397">
        <f>HYPERLINK("https://www.britishcycling.org.uk/points?person_id=239935&amp;year=2022&amp;type=national&amp;d=6","Results")</f>
        <v/>
      </c>
    </row>
    <row r="398">
      <c r="A398" t="inlineStr">
        <is>
          <t>397</t>
        </is>
      </c>
      <c r="B398" t="inlineStr">
        <is>
          <t>Philip Smith</t>
        </is>
      </c>
      <c r="C398" t="inlineStr"/>
      <c r="D398" t="inlineStr">
        <is>
          <t>4</t>
        </is>
      </c>
      <c r="E398">
        <f>HYPERLINK("https://www.britishcycling.org.uk/points?person_id=33888&amp;year=2022&amp;type=national&amp;d=6","Results")</f>
        <v/>
      </c>
    </row>
    <row r="399">
      <c r="A399" t="inlineStr">
        <is>
          <t>398</t>
        </is>
      </c>
      <c r="B399" t="inlineStr">
        <is>
          <t>Keith Stocker</t>
        </is>
      </c>
      <c r="C399" t="inlineStr"/>
      <c r="D399" t="inlineStr">
        <is>
          <t>4</t>
        </is>
      </c>
      <c r="E399">
        <f>HYPERLINK("https://www.britishcycling.org.uk/points?person_id=13674&amp;year=2022&amp;type=national&amp;d=6","Results")</f>
        <v/>
      </c>
    </row>
    <row r="400">
      <c r="A400" t="inlineStr">
        <is>
          <t>399</t>
        </is>
      </c>
      <c r="B400" t="inlineStr">
        <is>
          <t>Alex Woolley</t>
        </is>
      </c>
      <c r="C400" t="inlineStr">
        <is>
          <t>Abellio - SFA Racing Team</t>
        </is>
      </c>
      <c r="D400" t="inlineStr">
        <is>
          <t>4</t>
        </is>
      </c>
      <c r="E400">
        <f>HYPERLINK("https://www.britishcycling.org.uk/points?person_id=302863&amp;year=2022&amp;type=national&amp;d=6","Results")</f>
        <v/>
      </c>
    </row>
    <row r="401">
      <c r="A401" t="inlineStr">
        <is>
          <t>400</t>
        </is>
      </c>
      <c r="B401" t="inlineStr">
        <is>
          <t>Steven Barham</t>
        </is>
      </c>
      <c r="C401" t="inlineStr">
        <is>
          <t>Westbury Wheelers</t>
        </is>
      </c>
      <c r="D401" t="inlineStr">
        <is>
          <t>3</t>
        </is>
      </c>
      <c r="E401">
        <f>HYPERLINK("https://www.britishcycling.org.uk/points?person_id=251554&amp;year=2022&amp;type=national&amp;d=6","Results")</f>
        <v/>
      </c>
    </row>
    <row r="402">
      <c r="A402" t="inlineStr">
        <is>
          <t>401</t>
        </is>
      </c>
      <c r="B402" t="inlineStr">
        <is>
          <t>Geoffrey Beetham</t>
        </is>
      </c>
      <c r="C402" t="inlineStr">
        <is>
          <t>Retrobike.co.uk</t>
        </is>
      </c>
      <c r="D402" t="inlineStr">
        <is>
          <t>3</t>
        </is>
      </c>
      <c r="E402">
        <f>HYPERLINK("https://www.britishcycling.org.uk/points?person_id=42909&amp;year=2022&amp;type=national&amp;d=6","Results")</f>
        <v/>
      </c>
    </row>
    <row r="403">
      <c r="A403" t="inlineStr">
        <is>
          <t>402</t>
        </is>
      </c>
      <c r="B403" t="inlineStr">
        <is>
          <t>Nigel Field</t>
        </is>
      </c>
      <c r="C403" t="inlineStr">
        <is>
          <t>6AM Cycling</t>
        </is>
      </c>
      <c r="D403" t="inlineStr">
        <is>
          <t>3</t>
        </is>
      </c>
      <c r="E403">
        <f>HYPERLINK("https://www.britishcycling.org.uk/points?person_id=352119&amp;year=2022&amp;type=national&amp;d=6","Results")</f>
        <v/>
      </c>
    </row>
    <row r="404">
      <c r="A404" t="inlineStr">
        <is>
          <t>403</t>
        </is>
      </c>
      <c r="B404" t="inlineStr">
        <is>
          <t>Thomas Hadfield</t>
        </is>
      </c>
      <c r="C404" t="inlineStr">
        <is>
          <t>Gateway Racing</t>
        </is>
      </c>
      <c r="D404" t="inlineStr">
        <is>
          <t>3</t>
        </is>
      </c>
      <c r="E404">
        <f>HYPERLINK("https://www.britishcycling.org.uk/points?person_id=220735&amp;year=2022&amp;type=national&amp;d=6","Results")</f>
        <v/>
      </c>
    </row>
    <row r="405">
      <c r="A405" t="inlineStr">
        <is>
          <t>404</t>
        </is>
      </c>
      <c r="B405" t="inlineStr">
        <is>
          <t>Alan Horsburgh</t>
        </is>
      </c>
      <c r="C405" t="inlineStr">
        <is>
          <t>Inverness Cycle Club</t>
        </is>
      </c>
      <c r="D405" t="inlineStr">
        <is>
          <t>3</t>
        </is>
      </c>
      <c r="E405">
        <f>HYPERLINK("https://www.britishcycling.org.uk/points?person_id=254904&amp;year=2022&amp;type=national&amp;d=6","Results")</f>
        <v/>
      </c>
    </row>
    <row r="406">
      <c r="A406" t="inlineStr">
        <is>
          <t>405</t>
        </is>
      </c>
      <c r="B406" t="inlineStr">
        <is>
          <t>Daniel Lyness</t>
        </is>
      </c>
      <c r="C406" t="inlineStr">
        <is>
          <t>Royal Navy &amp; Royal Marines CA</t>
        </is>
      </c>
      <c r="D406" t="inlineStr">
        <is>
          <t>3</t>
        </is>
      </c>
      <c r="E406">
        <f>HYPERLINK("https://www.britishcycling.org.uk/points?person_id=418750&amp;year=2022&amp;type=national&amp;d=6","Results")</f>
        <v/>
      </c>
    </row>
    <row r="407">
      <c r="A407" t="inlineStr">
        <is>
          <t>406</t>
        </is>
      </c>
      <c r="B407" t="inlineStr">
        <is>
          <t>Graeme McBirnie</t>
        </is>
      </c>
      <c r="C407" t="inlineStr">
        <is>
          <t>Fietsclub Balerno</t>
        </is>
      </c>
      <c r="D407" t="inlineStr">
        <is>
          <t>3</t>
        </is>
      </c>
      <c r="E407">
        <f>HYPERLINK("https://www.britishcycling.org.uk/points?person_id=461300&amp;year=2022&amp;type=national&amp;d=6","Results")</f>
        <v/>
      </c>
    </row>
    <row r="408">
      <c r="A408" t="inlineStr">
        <is>
          <t>407</t>
        </is>
      </c>
      <c r="B408" t="inlineStr">
        <is>
          <t>Stuart Reeves</t>
        </is>
      </c>
      <c r="C408" t="inlineStr">
        <is>
          <t>Coalville Wheelers CC</t>
        </is>
      </c>
      <c r="D408" t="inlineStr">
        <is>
          <t>3</t>
        </is>
      </c>
      <c r="E408">
        <f>HYPERLINK("https://www.britishcycling.org.uk/points?person_id=242939&amp;year=2022&amp;type=national&amp;d=6","Results")</f>
        <v/>
      </c>
    </row>
    <row r="409">
      <c r="A409" t="inlineStr">
        <is>
          <t>408</t>
        </is>
      </c>
      <c r="B409" t="inlineStr">
        <is>
          <t>Chris Rowley</t>
        </is>
      </c>
      <c r="C409" t="inlineStr">
        <is>
          <t>Bristol RC</t>
        </is>
      </c>
      <c r="D409" t="inlineStr">
        <is>
          <t>3</t>
        </is>
      </c>
      <c r="E409">
        <f>HYPERLINK("https://www.britishcycling.org.uk/points?person_id=922149&amp;year=2022&amp;type=national&amp;d=6","Results")</f>
        <v/>
      </c>
    </row>
    <row r="410">
      <c r="A410" t="inlineStr">
        <is>
          <t>409</t>
        </is>
      </c>
      <c r="B410" t="inlineStr">
        <is>
          <t>Neil Sentance</t>
        </is>
      </c>
      <c r="C410" t="inlineStr"/>
      <c r="D410" t="inlineStr">
        <is>
          <t>3</t>
        </is>
      </c>
      <c r="E410">
        <f>HYPERLINK("https://www.britishcycling.org.uk/points?person_id=19297&amp;year=2022&amp;type=national&amp;d=6","Results")</f>
        <v/>
      </c>
    </row>
    <row r="411">
      <c r="A411" t="inlineStr">
        <is>
          <t>410</t>
        </is>
      </c>
      <c r="B411" t="inlineStr">
        <is>
          <t>Marek Shafer</t>
        </is>
      </c>
      <c r="C411" t="inlineStr">
        <is>
          <t>Brighton Mitre CC</t>
        </is>
      </c>
      <c r="D411" t="inlineStr">
        <is>
          <t>3</t>
        </is>
      </c>
      <c r="E411">
        <f>HYPERLINK("https://www.britishcycling.org.uk/points?person_id=670931&amp;year=2022&amp;type=national&amp;d=6","Results")</f>
        <v/>
      </c>
    </row>
    <row r="412">
      <c r="A412" t="inlineStr">
        <is>
          <t>411</t>
        </is>
      </c>
      <c r="B412" t="inlineStr">
        <is>
          <t>Andrew Thomas</t>
        </is>
      </c>
      <c r="C412" t="inlineStr">
        <is>
          <t>a3crg</t>
        </is>
      </c>
      <c r="D412" t="inlineStr">
        <is>
          <t>3</t>
        </is>
      </c>
      <c r="E412">
        <f>HYPERLINK("https://www.britishcycling.org.uk/points?person_id=190294&amp;year=2022&amp;type=national&amp;d=6","Results")</f>
        <v/>
      </c>
    </row>
    <row r="413">
      <c r="A413" t="inlineStr">
        <is>
          <t>412</t>
        </is>
      </c>
      <c r="B413" t="inlineStr">
        <is>
          <t>Adrian Tuckley</t>
        </is>
      </c>
      <c r="C413" t="inlineStr"/>
      <c r="D413" t="inlineStr">
        <is>
          <t>3</t>
        </is>
      </c>
      <c r="E413">
        <f>HYPERLINK("https://www.britishcycling.org.uk/points?person_id=576229&amp;year=2022&amp;type=national&amp;d=6","Results")</f>
        <v/>
      </c>
    </row>
    <row r="414">
      <c r="A414" t="inlineStr">
        <is>
          <t>413</t>
        </is>
      </c>
      <c r="B414" t="inlineStr">
        <is>
          <t>Mark Westbrook</t>
        </is>
      </c>
      <c r="C414" t="inlineStr">
        <is>
          <t>Fareham Wheelers Cycling Club</t>
        </is>
      </c>
      <c r="D414" t="inlineStr">
        <is>
          <t>3</t>
        </is>
      </c>
      <c r="E414">
        <f>HYPERLINK("https://www.britishcycling.org.uk/points?person_id=966503&amp;year=2022&amp;type=national&amp;d=6","Results")</f>
        <v/>
      </c>
    </row>
    <row r="415">
      <c r="A415" t="inlineStr">
        <is>
          <t>414</t>
        </is>
      </c>
      <c r="B415" t="inlineStr">
        <is>
          <t>Jon White</t>
        </is>
      </c>
      <c r="C415" t="inlineStr">
        <is>
          <t>Pro Vision</t>
        </is>
      </c>
      <c r="D415" t="inlineStr">
        <is>
          <t>3</t>
        </is>
      </c>
      <c r="E415">
        <f>HYPERLINK("https://www.britishcycling.org.uk/points?person_id=72181&amp;year=2022&amp;type=national&amp;d=6","Results")</f>
        <v/>
      </c>
    </row>
    <row r="416">
      <c r="A416" t="inlineStr">
        <is>
          <t>415</t>
        </is>
      </c>
      <c r="B416" t="inlineStr">
        <is>
          <t>Simon Wilson</t>
        </is>
      </c>
      <c r="C416" t="inlineStr">
        <is>
          <t>Colchester Rovers CC</t>
        </is>
      </c>
      <c r="D416" t="inlineStr">
        <is>
          <t>3</t>
        </is>
      </c>
      <c r="E416">
        <f>HYPERLINK("https://www.britishcycling.org.uk/points?person_id=367531&amp;year=2022&amp;type=national&amp;d=6","Results")</f>
        <v/>
      </c>
    </row>
    <row r="417">
      <c r="A417" t="inlineStr">
        <is>
          <t>416</t>
        </is>
      </c>
      <c r="B417" t="inlineStr">
        <is>
          <t>Stephen Brook</t>
        </is>
      </c>
      <c r="C417" t="inlineStr">
        <is>
          <t>West Suffolk Wheelers</t>
        </is>
      </c>
      <c r="D417" t="inlineStr">
        <is>
          <t>2</t>
        </is>
      </c>
      <c r="E417">
        <f>HYPERLINK("https://www.britishcycling.org.uk/points?person_id=300623&amp;year=2022&amp;type=national&amp;d=6","Results")</f>
        <v/>
      </c>
    </row>
    <row r="418">
      <c r="A418" t="inlineStr">
        <is>
          <t>417</t>
        </is>
      </c>
      <c r="B418" t="inlineStr">
        <is>
          <t>Jonathan Challen</t>
        </is>
      </c>
      <c r="C418" t="inlineStr">
        <is>
          <t>VC VELDRIJDEN</t>
        </is>
      </c>
      <c r="D418" t="inlineStr">
        <is>
          <t>2</t>
        </is>
      </c>
      <c r="E418">
        <f>HYPERLINK("https://www.britishcycling.org.uk/points?person_id=1024712&amp;year=2022&amp;type=national&amp;d=6","Results")</f>
        <v/>
      </c>
    </row>
    <row r="419">
      <c r="A419" t="inlineStr">
        <is>
          <t>418</t>
        </is>
      </c>
      <c r="B419" t="inlineStr">
        <is>
          <t>Stephen Corbyn</t>
        </is>
      </c>
      <c r="C419" t="inlineStr">
        <is>
          <t>Prison Service Sports Association</t>
        </is>
      </c>
      <c r="D419" t="inlineStr">
        <is>
          <t>2</t>
        </is>
      </c>
      <c r="E419">
        <f>HYPERLINK("https://www.britishcycling.org.uk/points?person_id=79188&amp;year=2022&amp;type=national&amp;d=6","Results")</f>
        <v/>
      </c>
    </row>
    <row r="420">
      <c r="A420" t="inlineStr">
        <is>
          <t>419</t>
        </is>
      </c>
      <c r="B420" t="inlineStr">
        <is>
          <t>James Cotty</t>
        </is>
      </c>
      <c r="C420" t="inlineStr">
        <is>
          <t>Hargroves Cycles CC</t>
        </is>
      </c>
      <c r="D420" t="inlineStr">
        <is>
          <t>2</t>
        </is>
      </c>
      <c r="E420">
        <f>HYPERLINK("https://www.britishcycling.org.uk/points?person_id=65374&amp;year=2022&amp;type=national&amp;d=6","Results")</f>
        <v/>
      </c>
    </row>
    <row r="421">
      <c r="A421" t="inlineStr">
        <is>
          <t>420</t>
        </is>
      </c>
      <c r="B421" t="inlineStr">
        <is>
          <t>Karolis Dedura</t>
        </is>
      </c>
      <c r="C421" t="inlineStr">
        <is>
          <t>Edinburgh RC</t>
        </is>
      </c>
      <c r="D421" t="inlineStr">
        <is>
          <t>2</t>
        </is>
      </c>
      <c r="E421">
        <f>HYPERLINK("https://www.britishcycling.org.uk/points?person_id=881190&amp;year=2022&amp;type=national&amp;d=6","Results")</f>
        <v/>
      </c>
    </row>
    <row r="422">
      <c r="A422" t="inlineStr">
        <is>
          <t>421</t>
        </is>
      </c>
      <c r="B422" t="inlineStr">
        <is>
          <t>Neil Henderson</t>
        </is>
      </c>
      <c r="C422" t="inlineStr">
        <is>
          <t>SR Albannach</t>
        </is>
      </c>
      <c r="D422" t="inlineStr">
        <is>
          <t>2</t>
        </is>
      </c>
      <c r="E422">
        <f>HYPERLINK("https://www.britishcycling.org.uk/points?person_id=621006&amp;year=2022&amp;type=national&amp;d=6","Results")</f>
        <v/>
      </c>
    </row>
    <row r="423">
      <c r="A423" t="inlineStr">
        <is>
          <t>422</t>
        </is>
      </c>
      <c r="B423" t="inlineStr">
        <is>
          <t>Simon Jones</t>
        </is>
      </c>
      <c r="C423" t="inlineStr">
        <is>
          <t>Leicester Forest CC</t>
        </is>
      </c>
      <c r="D423" t="inlineStr">
        <is>
          <t>2</t>
        </is>
      </c>
      <c r="E423">
        <f>HYPERLINK("https://www.britishcycling.org.uk/points?person_id=74231&amp;year=2022&amp;type=national&amp;d=6","Results")</f>
        <v/>
      </c>
    </row>
    <row r="424">
      <c r="A424" t="inlineStr">
        <is>
          <t>423</t>
        </is>
      </c>
      <c r="B424" t="inlineStr">
        <is>
          <t>David Langlois</t>
        </is>
      </c>
      <c r="C424" t="inlineStr">
        <is>
          <t>Coalville Wheelers CC</t>
        </is>
      </c>
      <c r="D424" t="inlineStr">
        <is>
          <t>2</t>
        </is>
      </c>
      <c r="E424">
        <f>HYPERLINK("https://www.britishcycling.org.uk/points?person_id=1012563&amp;year=2022&amp;type=national&amp;d=6","Results")</f>
        <v/>
      </c>
    </row>
    <row r="425">
      <c r="A425" t="inlineStr">
        <is>
          <t>424</t>
        </is>
      </c>
      <c r="B425" t="inlineStr">
        <is>
          <t>Sam Long</t>
        </is>
      </c>
      <c r="C425" t="inlineStr">
        <is>
          <t>Deeside Thistle CC</t>
        </is>
      </c>
      <c r="D425" t="inlineStr">
        <is>
          <t>2</t>
        </is>
      </c>
      <c r="E425">
        <f>HYPERLINK("https://www.britishcycling.org.uk/points?person_id=61579&amp;year=2022&amp;type=national&amp;d=6","Results")</f>
        <v/>
      </c>
    </row>
    <row r="426">
      <c r="A426" t="inlineStr">
        <is>
          <t>425</t>
        </is>
      </c>
      <c r="B426" t="inlineStr">
        <is>
          <t>David Oliver</t>
        </is>
      </c>
      <c r="C426" t="inlineStr"/>
      <c r="D426" t="inlineStr">
        <is>
          <t>2</t>
        </is>
      </c>
      <c r="E426">
        <f>HYPERLINK("https://www.britishcycling.org.uk/points?person_id=170725&amp;year=2022&amp;type=national&amp;d=6","Results")</f>
        <v/>
      </c>
    </row>
    <row r="427">
      <c r="A427" t="inlineStr">
        <is>
          <t>426</t>
        </is>
      </c>
      <c r="B427" t="inlineStr">
        <is>
          <t>Justin Price</t>
        </is>
      </c>
      <c r="C427" t="inlineStr">
        <is>
          <t>A403 Rogue</t>
        </is>
      </c>
      <c r="D427" t="inlineStr">
        <is>
          <t>2</t>
        </is>
      </c>
      <c r="E427">
        <f>HYPERLINK("https://www.britishcycling.org.uk/points?person_id=589999&amp;year=2022&amp;type=national&amp;d=6","Results")</f>
        <v/>
      </c>
    </row>
    <row r="428">
      <c r="A428" t="inlineStr">
        <is>
          <t>427</t>
        </is>
      </c>
      <c r="B428" t="inlineStr">
        <is>
          <t>Sean Scott</t>
        </is>
      </c>
      <c r="C428" t="inlineStr">
        <is>
          <t>Cotswold Cycles RT</t>
        </is>
      </c>
      <c r="D428" t="inlineStr">
        <is>
          <t>2</t>
        </is>
      </c>
      <c r="E428">
        <f>HYPERLINK("https://www.britishcycling.org.uk/points?person_id=25846&amp;year=2022&amp;type=national&amp;d=6","Results")</f>
        <v/>
      </c>
    </row>
    <row r="429">
      <c r="A429" t="inlineStr">
        <is>
          <t>428</t>
        </is>
      </c>
      <c r="B429" t="inlineStr">
        <is>
          <t>Ally Anderson</t>
        </is>
      </c>
      <c r="C429" t="inlineStr"/>
      <c r="D429" t="inlineStr">
        <is>
          <t>1</t>
        </is>
      </c>
      <c r="E429">
        <f>HYPERLINK("https://www.britishcycling.org.uk/points?person_id=129965&amp;year=2022&amp;type=national&amp;d=6","Results")</f>
        <v/>
      </c>
    </row>
    <row r="430">
      <c r="A430" t="inlineStr">
        <is>
          <t>429</t>
        </is>
      </c>
      <c r="B430" t="inlineStr">
        <is>
          <t>Chris Bowie-Hill</t>
        </is>
      </c>
      <c r="C430" t="inlineStr">
        <is>
          <t>Bristol RC</t>
        </is>
      </c>
      <c r="D430" t="inlineStr">
        <is>
          <t>1</t>
        </is>
      </c>
      <c r="E430">
        <f>HYPERLINK("https://www.britishcycling.org.uk/points?person_id=734396&amp;year=2022&amp;type=national&amp;d=6","Results")</f>
        <v/>
      </c>
    </row>
    <row r="431">
      <c r="A431" t="inlineStr">
        <is>
          <t>430</t>
        </is>
      </c>
      <c r="B431" t="inlineStr">
        <is>
          <t>Tom Clements</t>
        </is>
      </c>
      <c r="C431" t="inlineStr">
        <is>
          <t>Wessex Road Club</t>
        </is>
      </c>
      <c r="D431" t="inlineStr">
        <is>
          <t>1</t>
        </is>
      </c>
      <c r="E431">
        <f>HYPERLINK("https://www.britishcycling.org.uk/points?person_id=378096&amp;year=2022&amp;type=national&amp;d=6","Results")</f>
        <v/>
      </c>
    </row>
    <row r="432">
      <c r="A432" t="inlineStr">
        <is>
          <t>431</t>
        </is>
      </c>
      <c r="B432" t="inlineStr">
        <is>
          <t>Michael Daniels</t>
        </is>
      </c>
      <c r="C432" t="inlineStr">
        <is>
          <t>Team Tor 2000 Kalas</t>
        </is>
      </c>
      <c r="D432" t="inlineStr">
        <is>
          <t>1</t>
        </is>
      </c>
      <c r="E432">
        <f>HYPERLINK("https://www.britishcycling.org.uk/points?person_id=99135&amp;year=2022&amp;type=national&amp;d=6","Results")</f>
        <v/>
      </c>
    </row>
    <row r="433">
      <c r="A433" t="inlineStr">
        <is>
          <t>432</t>
        </is>
      </c>
      <c r="B433" t="inlineStr">
        <is>
          <t>Antony Glover</t>
        </is>
      </c>
      <c r="C433" t="inlineStr">
        <is>
          <t>Derwentside CC</t>
        </is>
      </c>
      <c r="D433" t="inlineStr">
        <is>
          <t>1</t>
        </is>
      </c>
      <c r="E433">
        <f>HYPERLINK("https://www.britishcycling.org.uk/points?person_id=42001&amp;year=2022&amp;type=national&amp;d=6","Results")</f>
        <v/>
      </c>
    </row>
    <row r="434">
      <c r="A434" t="inlineStr">
        <is>
          <t>433</t>
        </is>
      </c>
      <c r="B434" t="inlineStr">
        <is>
          <t>Davey Johnston</t>
        </is>
      </c>
      <c r="C434" t="inlineStr">
        <is>
          <t>Paceline Cycles North</t>
        </is>
      </c>
      <c r="D434" t="inlineStr">
        <is>
          <t>1</t>
        </is>
      </c>
      <c r="E434">
        <f>HYPERLINK("https://www.britishcycling.org.uk/points?person_id=132149&amp;year=2022&amp;type=national&amp;d=6","Results")</f>
        <v/>
      </c>
    </row>
    <row r="435">
      <c r="A435" t="inlineStr">
        <is>
          <t>434</t>
        </is>
      </c>
      <c r="B435" t="inlineStr">
        <is>
          <t>Gareth Luce</t>
        </is>
      </c>
      <c r="C435" t="inlineStr">
        <is>
          <t>Forres CC</t>
        </is>
      </c>
      <c r="D435" t="inlineStr">
        <is>
          <t>1</t>
        </is>
      </c>
      <c r="E435">
        <f>HYPERLINK("https://www.britishcycling.org.uk/points?person_id=11376&amp;year=2022&amp;type=national&amp;d=6","Results")</f>
        <v/>
      </c>
    </row>
    <row r="436">
      <c r="A436" t="inlineStr">
        <is>
          <t>435</t>
        </is>
      </c>
      <c r="B436" t="inlineStr">
        <is>
          <t>Chris Murphy</t>
        </is>
      </c>
      <c r="C436" t="inlineStr">
        <is>
          <t>4T+ Cyclopark</t>
        </is>
      </c>
      <c r="D436" t="inlineStr">
        <is>
          <t>1</t>
        </is>
      </c>
      <c r="E436">
        <f>HYPERLINK("https://www.britishcycling.org.uk/points?person_id=931714&amp;year=2022&amp;type=national&amp;d=6","Results")</f>
        <v/>
      </c>
    </row>
    <row r="437">
      <c r="A437" t="inlineStr">
        <is>
          <t>436</t>
        </is>
      </c>
      <c r="B437" t="inlineStr">
        <is>
          <t>Duncan Scott</t>
        </is>
      </c>
      <c r="C437" t="inlineStr">
        <is>
          <t>Allen Valley Velo</t>
        </is>
      </c>
      <c r="D437" t="inlineStr">
        <is>
          <t>1</t>
        </is>
      </c>
      <c r="E437">
        <f>HYPERLINK("https://www.britishcycling.org.uk/points?person_id=289289&amp;year=2022&amp;type=national&amp;d=6","Results")</f>
        <v/>
      </c>
    </row>
    <row r="438">
      <c r="A438" t="inlineStr">
        <is>
          <t>437</t>
        </is>
      </c>
      <c r="B438" t="inlineStr">
        <is>
          <t>Jonathan Veitch</t>
        </is>
      </c>
      <c r="C438" t="inlineStr">
        <is>
          <t>Beeston Cycling Club</t>
        </is>
      </c>
      <c r="D438" t="inlineStr">
        <is>
          <t>1</t>
        </is>
      </c>
      <c r="E438">
        <f>HYPERLINK("https://www.britishcycling.org.uk/points?person_id=533902&amp;year=2022&amp;type=national&amp;d=6","Results")</f>
        <v/>
      </c>
    </row>
    <row r="439">
      <c r="A439" t="inlineStr">
        <is>
          <t>438</t>
        </is>
      </c>
      <c r="B439" t="inlineStr">
        <is>
          <t>Jon Waller</t>
        </is>
      </c>
      <c r="C439" t="inlineStr"/>
      <c r="D439" t="inlineStr">
        <is>
          <t>1</t>
        </is>
      </c>
      <c r="E439">
        <f>HYPERLINK("https://www.britishcycling.org.uk/points?person_id=853501&amp;year=2022&amp;type=national&amp;d=6","Results")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12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Nicholas Whitley</t>
        </is>
      </c>
      <c r="C2" t="inlineStr">
        <is>
          <t>Chester RC</t>
        </is>
      </c>
      <c r="D2" t="inlineStr">
        <is>
          <t>730</t>
        </is>
      </c>
      <c r="E2">
        <f>HYPERLINK("https://www.britishcycling.org.uk/points?person_id=304160&amp;year=2022&amp;type=national&amp;d=6","Results")</f>
        <v/>
      </c>
    </row>
    <row r="3">
      <c r="A3" t="inlineStr">
        <is>
          <t>2</t>
        </is>
      </c>
      <c r="B3" t="inlineStr">
        <is>
          <t>Mike Simpson</t>
        </is>
      </c>
      <c r="C3" t="inlineStr">
        <is>
          <t>Beeline Bicycles RT</t>
        </is>
      </c>
      <c r="D3" t="inlineStr">
        <is>
          <t>640</t>
        </is>
      </c>
      <c r="E3">
        <f>HYPERLINK("https://www.britishcycling.org.uk/points?person_id=37986&amp;year=2022&amp;type=national&amp;d=6","Results")</f>
        <v/>
      </c>
    </row>
    <row r="4">
      <c r="A4" t="inlineStr">
        <is>
          <t>3</t>
        </is>
      </c>
      <c r="B4" t="inlineStr">
        <is>
          <t>Nicholas Craig</t>
        </is>
      </c>
      <c r="C4" t="inlineStr">
        <is>
          <t>SCOTT Racing</t>
        </is>
      </c>
      <c r="D4" t="inlineStr">
        <is>
          <t>494</t>
        </is>
      </c>
      <c r="E4">
        <f>HYPERLINK("https://www.britishcycling.org.uk/points?person_id=12100&amp;year=2022&amp;type=national&amp;d=6","Results")</f>
        <v/>
      </c>
    </row>
    <row r="5">
      <c r="A5" t="inlineStr">
        <is>
          <t>4</t>
        </is>
      </c>
      <c r="B5" t="inlineStr">
        <is>
          <t>Anthony Turner</t>
        </is>
      </c>
      <c r="C5" t="inlineStr">
        <is>
          <t>Cotswold Veldrijden</t>
        </is>
      </c>
      <c r="D5" t="inlineStr">
        <is>
          <t>476</t>
        </is>
      </c>
      <c r="E5">
        <f>HYPERLINK("https://www.britishcycling.org.uk/points?person_id=99454&amp;year=2022&amp;type=national&amp;d=6","Results")</f>
        <v/>
      </c>
    </row>
    <row r="6">
      <c r="A6" t="inlineStr">
        <is>
          <t>5</t>
        </is>
      </c>
      <c r="B6" t="inlineStr">
        <is>
          <t>Simon Hale</t>
        </is>
      </c>
      <c r="C6" t="inlineStr">
        <is>
          <t>Army Cycling Union</t>
        </is>
      </c>
      <c r="D6" t="inlineStr">
        <is>
          <t>466</t>
        </is>
      </c>
      <c r="E6">
        <f>HYPERLINK("https://www.britishcycling.org.uk/points?person_id=305916&amp;year=2022&amp;type=national&amp;d=6","Results")</f>
        <v/>
      </c>
    </row>
    <row r="7">
      <c r="A7" t="inlineStr">
        <is>
          <t>6</t>
        </is>
      </c>
      <c r="B7" t="inlineStr">
        <is>
          <t>John McGrath</t>
        </is>
      </c>
      <c r="C7" t="inlineStr">
        <is>
          <t>Team TMC - Strada Wheels</t>
        </is>
      </c>
      <c r="D7" t="inlineStr">
        <is>
          <t>466</t>
        </is>
      </c>
      <c r="E7">
        <f>HYPERLINK("https://www.britishcycling.org.uk/points?person_id=228740&amp;year=2022&amp;type=national&amp;d=6","Results")</f>
        <v/>
      </c>
    </row>
    <row r="8">
      <c r="A8" t="inlineStr">
        <is>
          <t>7</t>
        </is>
      </c>
      <c r="B8" t="inlineStr">
        <is>
          <t>Gary Barlow</t>
        </is>
      </c>
      <c r="C8" t="inlineStr">
        <is>
          <t>Reading CC</t>
        </is>
      </c>
      <c r="D8" t="inlineStr">
        <is>
          <t>434</t>
        </is>
      </c>
      <c r="E8">
        <f>HYPERLINK("https://www.britishcycling.org.uk/points?person_id=27253&amp;year=2022&amp;type=national&amp;d=6","Results")</f>
        <v/>
      </c>
    </row>
    <row r="9">
      <c r="A9" t="inlineStr">
        <is>
          <t>8</t>
        </is>
      </c>
      <c r="B9" t="inlineStr">
        <is>
          <t>Darren Atkins</t>
        </is>
      </c>
      <c r="C9" t="inlineStr">
        <is>
          <t>Team Jewson-M.I.Racing</t>
        </is>
      </c>
      <c r="D9" t="inlineStr">
        <is>
          <t>428</t>
        </is>
      </c>
      <c r="E9">
        <f>HYPERLINK("https://www.britishcycling.org.uk/points?person_id=25650&amp;year=2022&amp;type=national&amp;d=6","Results")</f>
        <v/>
      </c>
    </row>
    <row r="10">
      <c r="A10" t="inlineStr">
        <is>
          <t>9</t>
        </is>
      </c>
      <c r="B10" t="inlineStr">
        <is>
          <t>Daniel Alexander</t>
        </is>
      </c>
      <c r="C10" t="inlineStr">
        <is>
          <t>www.Zepnat.com RT - Lazer helmets</t>
        </is>
      </c>
      <c r="D10" t="inlineStr">
        <is>
          <t>406</t>
        </is>
      </c>
      <c r="E10">
        <f>HYPERLINK("https://www.britishcycling.org.uk/points?person_id=13974&amp;year=2022&amp;type=national&amp;d=6","Results")</f>
        <v/>
      </c>
    </row>
    <row r="11">
      <c r="A11" t="inlineStr">
        <is>
          <t>10</t>
        </is>
      </c>
      <c r="B11" t="inlineStr">
        <is>
          <t>Brian Johnson</t>
        </is>
      </c>
      <c r="C11" t="inlineStr">
        <is>
          <t>Reifen Racing</t>
        </is>
      </c>
      <c r="D11" t="inlineStr">
        <is>
          <t>398</t>
        </is>
      </c>
      <c r="E11">
        <f>HYPERLINK("https://www.britishcycling.org.uk/points?person_id=276279&amp;year=2022&amp;type=national&amp;d=6","Results")</f>
        <v/>
      </c>
    </row>
    <row r="12">
      <c r="A12" t="inlineStr">
        <is>
          <t>11</t>
        </is>
      </c>
      <c r="B12" t="inlineStr">
        <is>
          <t>Greg Simcock</t>
        </is>
      </c>
      <c r="C12" t="inlineStr">
        <is>
          <t>CC Luton</t>
        </is>
      </c>
      <c r="D12" t="inlineStr">
        <is>
          <t>394</t>
        </is>
      </c>
      <c r="E12">
        <f>HYPERLINK("https://www.britishcycling.org.uk/points?person_id=78594&amp;year=2022&amp;type=national&amp;d=6","Results")</f>
        <v/>
      </c>
    </row>
    <row r="13">
      <c r="A13" t="inlineStr">
        <is>
          <t>12</t>
        </is>
      </c>
      <c r="B13" t="inlineStr">
        <is>
          <t>Lewis King</t>
        </is>
      </c>
      <c r="C13" t="inlineStr">
        <is>
          <t>ROTOR Race Team</t>
        </is>
      </c>
      <c r="D13" t="inlineStr">
        <is>
          <t>389</t>
        </is>
      </c>
      <c r="E13">
        <f>HYPERLINK("https://www.britishcycling.org.uk/points?person_id=79108&amp;year=2022&amp;type=national&amp;d=6","Results")</f>
        <v/>
      </c>
    </row>
    <row r="14">
      <c r="A14" t="inlineStr">
        <is>
          <t>13</t>
        </is>
      </c>
      <c r="B14" t="inlineStr">
        <is>
          <t>Stuart Marshall</t>
        </is>
      </c>
      <c r="C14" t="inlineStr"/>
      <c r="D14" t="inlineStr">
        <is>
          <t>388</t>
        </is>
      </c>
      <c r="E14">
        <f>HYPERLINK("https://www.britishcycling.org.uk/points?person_id=933757&amp;year=2022&amp;type=national&amp;d=6","Results")</f>
        <v/>
      </c>
    </row>
    <row r="15">
      <c r="A15" t="inlineStr">
        <is>
          <t>14</t>
        </is>
      </c>
      <c r="B15" t="inlineStr">
        <is>
          <t>John Russell</t>
        </is>
      </c>
      <c r="C15" t="inlineStr">
        <is>
          <t>Reflex Racing</t>
        </is>
      </c>
      <c r="D15" t="inlineStr">
        <is>
          <t>372</t>
        </is>
      </c>
      <c r="E15">
        <f>HYPERLINK("https://www.britishcycling.org.uk/points?person_id=51602&amp;year=2022&amp;type=national&amp;d=6","Results")</f>
        <v/>
      </c>
    </row>
    <row r="16">
      <c r="A16" t="inlineStr">
        <is>
          <t>15</t>
        </is>
      </c>
      <c r="B16" t="inlineStr">
        <is>
          <t>Ian Jeremiah</t>
        </is>
      </c>
      <c r="C16" t="inlineStr">
        <is>
          <t>Cardiff JIF</t>
        </is>
      </c>
      <c r="D16" t="inlineStr">
        <is>
          <t>368</t>
        </is>
      </c>
      <c r="E16">
        <f>HYPERLINK("https://www.britishcycling.org.uk/points?person_id=63176&amp;year=2022&amp;type=national&amp;d=6","Results")</f>
        <v/>
      </c>
    </row>
    <row r="17">
      <c r="A17" t="inlineStr">
        <is>
          <t>16</t>
        </is>
      </c>
      <c r="B17" t="inlineStr">
        <is>
          <t>Ian Taylor</t>
        </is>
      </c>
      <c r="C17" t="inlineStr">
        <is>
          <t>Shibden Cycling Club</t>
        </is>
      </c>
      <c r="D17" t="inlineStr">
        <is>
          <t>368</t>
        </is>
      </c>
      <c r="E17">
        <f>HYPERLINK("https://www.britishcycling.org.uk/points?person_id=30980&amp;year=2022&amp;type=national&amp;d=6","Results")</f>
        <v/>
      </c>
    </row>
    <row r="18">
      <c r="A18" t="inlineStr">
        <is>
          <t>17</t>
        </is>
      </c>
      <c r="B18" t="inlineStr">
        <is>
          <t>Steven Henshall</t>
        </is>
      </c>
      <c r="C18" t="inlineStr">
        <is>
          <t>Port Sunlight Wheelers</t>
        </is>
      </c>
      <c r="D18" t="inlineStr">
        <is>
          <t>364</t>
        </is>
      </c>
      <c r="E18">
        <f>HYPERLINK("https://www.britishcycling.org.uk/points?person_id=288497&amp;year=2022&amp;type=national&amp;d=6","Results")</f>
        <v/>
      </c>
    </row>
    <row r="19">
      <c r="A19" t="inlineStr">
        <is>
          <t>18</t>
        </is>
      </c>
      <c r="B19" t="inlineStr">
        <is>
          <t>Andrew Brindle</t>
        </is>
      </c>
      <c r="C19" t="inlineStr">
        <is>
          <t>Horwich CC</t>
        </is>
      </c>
      <c r="D19" t="inlineStr">
        <is>
          <t>360</t>
        </is>
      </c>
      <c r="E19">
        <f>HYPERLINK("https://www.britishcycling.org.uk/points?person_id=15692&amp;year=2022&amp;type=national&amp;d=6","Results")</f>
        <v/>
      </c>
    </row>
    <row r="20">
      <c r="A20" t="inlineStr">
        <is>
          <t>19</t>
        </is>
      </c>
      <c r="B20" t="inlineStr">
        <is>
          <t>Douglas Cameron</t>
        </is>
      </c>
      <c r="C20" t="inlineStr"/>
      <c r="D20" t="inlineStr">
        <is>
          <t>349</t>
        </is>
      </c>
      <c r="E20">
        <f>HYPERLINK("https://www.britishcycling.org.uk/points?person_id=68115&amp;year=2022&amp;type=national&amp;d=6","Results")</f>
        <v/>
      </c>
    </row>
    <row r="21">
      <c r="A21" t="inlineStr">
        <is>
          <t>20</t>
        </is>
      </c>
      <c r="B21" t="inlineStr">
        <is>
          <t>Brian Stanley</t>
        </is>
      </c>
      <c r="C21" t="inlineStr"/>
      <c r="D21" t="inlineStr">
        <is>
          <t>346</t>
        </is>
      </c>
      <c r="E21">
        <f>HYPERLINK("https://www.britishcycling.org.uk/points?person_id=73163&amp;year=2022&amp;type=national&amp;d=6","Results")</f>
        <v/>
      </c>
    </row>
    <row r="22">
      <c r="A22" t="inlineStr">
        <is>
          <t>21</t>
        </is>
      </c>
      <c r="B22" t="inlineStr">
        <is>
          <t>Philip Simcock</t>
        </is>
      </c>
      <c r="C22" t="inlineStr">
        <is>
          <t>Team JMC</t>
        </is>
      </c>
      <c r="D22" t="inlineStr">
        <is>
          <t>344</t>
        </is>
      </c>
      <c r="E22">
        <f>HYPERLINK("https://www.britishcycling.org.uk/points?person_id=107592&amp;year=2022&amp;type=national&amp;d=6","Results")</f>
        <v/>
      </c>
    </row>
    <row r="23">
      <c r="A23" t="inlineStr">
        <is>
          <t>22</t>
        </is>
      </c>
      <c r="B23" t="inlineStr">
        <is>
          <t>Nicholas Popham</t>
        </is>
      </c>
      <c r="C23" t="inlineStr">
        <is>
          <t>ROTOR Race Team</t>
        </is>
      </c>
      <c r="D23" t="inlineStr">
        <is>
          <t>339</t>
        </is>
      </c>
      <c r="E23">
        <f>HYPERLINK("https://www.britishcycling.org.uk/points?person_id=104475&amp;year=2022&amp;type=national&amp;d=6","Results")</f>
        <v/>
      </c>
    </row>
    <row r="24">
      <c r="A24" t="inlineStr">
        <is>
          <t>23</t>
        </is>
      </c>
      <c r="B24" t="inlineStr">
        <is>
          <t>Kevin Knox</t>
        </is>
      </c>
      <c r="C24" t="inlineStr">
        <is>
          <t>ViCiOUS VELO</t>
        </is>
      </c>
      <c r="D24" t="inlineStr">
        <is>
          <t>338</t>
        </is>
      </c>
      <c r="E24">
        <f>HYPERLINK("https://www.britishcycling.org.uk/points?person_id=57655&amp;year=2022&amp;type=national&amp;d=6","Results")</f>
        <v/>
      </c>
    </row>
    <row r="25">
      <c r="A25" t="inlineStr">
        <is>
          <t>24</t>
        </is>
      </c>
      <c r="B25" t="inlineStr">
        <is>
          <t>Gary McCrae</t>
        </is>
      </c>
      <c r="C25" t="inlineStr">
        <is>
          <t>Leslie Bike Shop-Bikers Boutique</t>
        </is>
      </c>
      <c r="D25" t="inlineStr">
        <is>
          <t>336</t>
        </is>
      </c>
      <c r="E25">
        <f>HYPERLINK("https://www.britishcycling.org.uk/points?person_id=59182&amp;year=2022&amp;type=national&amp;d=6","Results")</f>
        <v/>
      </c>
    </row>
    <row r="26">
      <c r="A26" t="inlineStr">
        <is>
          <t>25</t>
        </is>
      </c>
      <c r="B26" t="inlineStr">
        <is>
          <t>Mark Whittaker</t>
        </is>
      </c>
      <c r="C26" t="inlineStr">
        <is>
          <t>GS Invicta-ELO-Herberts Cycles</t>
        </is>
      </c>
      <c r="D26" t="inlineStr">
        <is>
          <t>330</t>
        </is>
      </c>
      <c r="E26">
        <f>HYPERLINK("https://www.britishcycling.org.uk/points?person_id=138761&amp;year=2022&amp;type=national&amp;d=6","Results")</f>
        <v/>
      </c>
    </row>
    <row r="27">
      <c r="A27" t="inlineStr">
        <is>
          <t>26</t>
        </is>
      </c>
      <c r="B27" t="inlineStr">
        <is>
          <t>Carl Jackson</t>
        </is>
      </c>
      <c r="C27" t="inlineStr">
        <is>
          <t>Ellmore Factory Racing</t>
        </is>
      </c>
      <c r="D27" t="inlineStr">
        <is>
          <t>326</t>
        </is>
      </c>
      <c r="E27">
        <f>HYPERLINK("https://www.britishcycling.org.uk/points?person_id=410192&amp;year=2022&amp;type=national&amp;d=6","Results")</f>
        <v/>
      </c>
    </row>
    <row r="28">
      <c r="A28" t="inlineStr">
        <is>
          <t>27</t>
        </is>
      </c>
      <c r="B28" t="inlineStr">
        <is>
          <t>Andy Collis</t>
        </is>
      </c>
      <c r="C28" t="inlineStr">
        <is>
          <t>Cero - Cycle Division Racing Team</t>
        </is>
      </c>
      <c r="D28" t="inlineStr">
        <is>
          <t>323</t>
        </is>
      </c>
      <c r="E28">
        <f>HYPERLINK("https://www.britishcycling.org.uk/points?person_id=78013&amp;year=2022&amp;type=national&amp;d=6","Results")</f>
        <v/>
      </c>
    </row>
    <row r="29">
      <c r="A29" t="inlineStr">
        <is>
          <t>28</t>
        </is>
      </c>
      <c r="B29" t="inlineStr">
        <is>
          <t>Stefan Macina</t>
        </is>
      </c>
      <c r="C29" t="inlineStr">
        <is>
          <t>Shibden Cycling Club</t>
        </is>
      </c>
      <c r="D29" t="inlineStr">
        <is>
          <t>322</t>
        </is>
      </c>
      <c r="E29">
        <f>HYPERLINK("https://www.britishcycling.org.uk/points?person_id=2125&amp;year=2022&amp;type=national&amp;d=6","Results")</f>
        <v/>
      </c>
    </row>
    <row r="30">
      <c r="A30" t="inlineStr">
        <is>
          <t>29</t>
        </is>
      </c>
      <c r="B30" t="inlineStr">
        <is>
          <t>Paul Nutton</t>
        </is>
      </c>
      <c r="C30" t="inlineStr">
        <is>
          <t>Shibden Cycling Club</t>
        </is>
      </c>
      <c r="D30" t="inlineStr">
        <is>
          <t>320</t>
        </is>
      </c>
      <c r="E30">
        <f>HYPERLINK("https://www.britishcycling.org.uk/points?person_id=226248&amp;year=2022&amp;type=national&amp;d=6","Results")</f>
        <v/>
      </c>
    </row>
    <row r="31">
      <c r="A31" t="inlineStr">
        <is>
          <t>30</t>
        </is>
      </c>
      <c r="B31" t="inlineStr">
        <is>
          <t>Ian Knights</t>
        </is>
      </c>
      <c r="C31" t="inlineStr">
        <is>
          <t>Velo Culture</t>
        </is>
      </c>
      <c r="D31" t="inlineStr">
        <is>
          <t>318</t>
        </is>
      </c>
      <c r="E31">
        <f>HYPERLINK("https://www.britishcycling.org.uk/points?person_id=40208&amp;year=2022&amp;type=national&amp;d=6","Results")</f>
        <v/>
      </c>
    </row>
    <row r="32">
      <c r="A32" t="inlineStr">
        <is>
          <t>31</t>
        </is>
      </c>
      <c r="B32" t="inlineStr">
        <is>
          <t>Ian Russell</t>
        </is>
      </c>
      <c r="C32" t="inlineStr">
        <is>
          <t>Moda RT</t>
        </is>
      </c>
      <c r="D32" t="inlineStr">
        <is>
          <t>315</t>
        </is>
      </c>
      <c r="E32">
        <f>HYPERLINK("https://www.britishcycling.org.uk/points?person_id=79255&amp;year=2022&amp;type=national&amp;d=6","Results")</f>
        <v/>
      </c>
    </row>
    <row r="33">
      <c r="A33" t="inlineStr">
        <is>
          <t>32</t>
        </is>
      </c>
      <c r="B33" t="inlineStr">
        <is>
          <t>Martyn Hughes-Dowdle</t>
        </is>
      </c>
      <c r="C33" t="inlineStr">
        <is>
          <t>Gower Riders</t>
        </is>
      </c>
      <c r="D33" t="inlineStr">
        <is>
          <t>308</t>
        </is>
      </c>
      <c r="E33">
        <f>HYPERLINK("https://www.britishcycling.org.uk/points?person_id=10609&amp;year=2022&amp;type=national&amp;d=6","Results")</f>
        <v/>
      </c>
    </row>
    <row r="34">
      <c r="A34" t="inlineStr">
        <is>
          <t>33</t>
        </is>
      </c>
      <c r="B34" t="inlineStr">
        <is>
          <t>Jeremy Honor</t>
        </is>
      </c>
      <c r="C34" t="inlineStr">
        <is>
          <t>Equipe Velo</t>
        </is>
      </c>
      <c r="D34" t="inlineStr">
        <is>
          <t>303</t>
        </is>
      </c>
      <c r="E34">
        <f>HYPERLINK("https://www.britishcycling.org.uk/points?person_id=57513&amp;year=2022&amp;type=national&amp;d=6","Results")</f>
        <v/>
      </c>
    </row>
    <row r="35">
      <c r="A35" t="inlineStr">
        <is>
          <t>34</t>
        </is>
      </c>
      <c r="B35" t="inlineStr">
        <is>
          <t>Keith Randle</t>
        </is>
      </c>
      <c r="C35" t="inlineStr">
        <is>
          <t>Amisvelo Racing Team</t>
        </is>
      </c>
      <c r="D35" t="inlineStr">
        <is>
          <t>280</t>
        </is>
      </c>
      <c r="E35">
        <f>HYPERLINK("https://www.britishcycling.org.uk/points?person_id=498425&amp;year=2022&amp;type=national&amp;d=6","Results")</f>
        <v/>
      </c>
    </row>
    <row r="36">
      <c r="A36" t="inlineStr">
        <is>
          <t>35</t>
        </is>
      </c>
      <c r="B36" t="inlineStr">
        <is>
          <t>Stephen Knight</t>
        </is>
      </c>
      <c r="C36" t="inlineStr">
        <is>
          <t>Team Jewson-M.I.Racing</t>
        </is>
      </c>
      <c r="D36" t="inlineStr">
        <is>
          <t>278</t>
        </is>
      </c>
      <c r="E36">
        <f>HYPERLINK("https://www.britishcycling.org.uk/points?person_id=173619&amp;year=2022&amp;type=national&amp;d=6","Results")</f>
        <v/>
      </c>
    </row>
    <row r="37">
      <c r="A37" t="inlineStr">
        <is>
          <t>36</t>
        </is>
      </c>
      <c r="B37" t="inlineStr">
        <is>
          <t>Robin Wilmott</t>
        </is>
      </c>
      <c r="C37" t="inlineStr">
        <is>
          <t>Cotswold Veldrijden</t>
        </is>
      </c>
      <c r="D37" t="inlineStr">
        <is>
          <t>278</t>
        </is>
      </c>
      <c r="E37">
        <f>HYPERLINK("https://www.britishcycling.org.uk/points?person_id=29508&amp;year=2022&amp;type=national&amp;d=6","Results")</f>
        <v/>
      </c>
    </row>
    <row r="38">
      <c r="A38" t="inlineStr">
        <is>
          <t>37</t>
        </is>
      </c>
      <c r="B38" t="inlineStr">
        <is>
          <t>Mike Jones</t>
        </is>
      </c>
      <c r="C38" t="inlineStr">
        <is>
          <t>Mid Shropshire Paramount Racing</t>
        </is>
      </c>
      <c r="D38" t="inlineStr">
        <is>
          <t>275</t>
        </is>
      </c>
      <c r="E38">
        <f>HYPERLINK("https://www.britishcycling.org.uk/points?person_id=44235&amp;year=2022&amp;type=national&amp;d=6","Results")</f>
        <v/>
      </c>
    </row>
    <row r="39">
      <c r="A39" t="inlineStr">
        <is>
          <t>38</t>
        </is>
      </c>
      <c r="B39" t="inlineStr">
        <is>
          <t>Kevin Brewer</t>
        </is>
      </c>
      <c r="C39" t="inlineStr">
        <is>
          <t>WestSide Coaching</t>
        </is>
      </c>
      <c r="D39" t="inlineStr">
        <is>
          <t>274</t>
        </is>
      </c>
      <c r="E39">
        <f>HYPERLINK("https://www.britishcycling.org.uk/points?person_id=194614&amp;year=2022&amp;type=national&amp;d=6","Results")</f>
        <v/>
      </c>
    </row>
    <row r="40">
      <c r="A40" t="inlineStr">
        <is>
          <t>39</t>
        </is>
      </c>
      <c r="B40" t="inlineStr">
        <is>
          <t>Kevin Holloway</t>
        </is>
      </c>
      <c r="C40" t="inlineStr">
        <is>
          <t>GS Vecchi</t>
        </is>
      </c>
      <c r="D40" t="inlineStr">
        <is>
          <t>270</t>
        </is>
      </c>
      <c r="E40">
        <f>HYPERLINK("https://www.britishcycling.org.uk/points?person_id=19053&amp;year=2022&amp;type=national&amp;d=6","Results")</f>
        <v/>
      </c>
    </row>
    <row r="41">
      <c r="A41" t="inlineStr">
        <is>
          <t>40</t>
        </is>
      </c>
      <c r="B41" t="inlineStr">
        <is>
          <t>Paul Byford</t>
        </is>
      </c>
      <c r="C41" t="inlineStr">
        <is>
          <t>Crawley Wheelers</t>
        </is>
      </c>
      <c r="D41" t="inlineStr">
        <is>
          <t>266</t>
        </is>
      </c>
      <c r="E41">
        <f>HYPERLINK("https://www.britishcycling.org.uk/points?person_id=68833&amp;year=2022&amp;type=national&amp;d=6","Results")</f>
        <v/>
      </c>
    </row>
    <row r="42">
      <c r="A42" t="inlineStr">
        <is>
          <t>41</t>
        </is>
      </c>
      <c r="B42" t="inlineStr">
        <is>
          <t>Pete Middleton</t>
        </is>
      </c>
      <c r="C42" t="inlineStr">
        <is>
          <t>www.Zepnat.com RT - Lazer helmets</t>
        </is>
      </c>
      <c r="D42" t="inlineStr">
        <is>
          <t>266</t>
        </is>
      </c>
      <c r="E42">
        <f>HYPERLINK("https://www.britishcycling.org.uk/points?person_id=78371&amp;year=2022&amp;type=national&amp;d=6","Results")</f>
        <v/>
      </c>
    </row>
    <row r="43">
      <c r="A43" t="inlineStr">
        <is>
          <t>42</t>
        </is>
      </c>
      <c r="B43" t="inlineStr">
        <is>
          <t>Ian Day</t>
        </is>
      </c>
      <c r="C43" t="inlineStr">
        <is>
          <t>ROTOR Race Team</t>
        </is>
      </c>
      <c r="D43" t="inlineStr">
        <is>
          <t>265</t>
        </is>
      </c>
      <c r="E43">
        <f>HYPERLINK("https://www.britishcycling.org.uk/points?person_id=193146&amp;year=2022&amp;type=national&amp;d=6","Results")</f>
        <v/>
      </c>
    </row>
    <row r="44">
      <c r="A44" t="inlineStr">
        <is>
          <t>43</t>
        </is>
      </c>
      <c r="B44" t="inlineStr">
        <is>
          <t>George Hackney</t>
        </is>
      </c>
      <c r="C44" t="inlineStr">
        <is>
          <t>PainTrain Lincoln</t>
        </is>
      </c>
      <c r="D44" t="inlineStr">
        <is>
          <t>264</t>
        </is>
      </c>
      <c r="E44">
        <f>HYPERLINK("https://www.britishcycling.org.uk/points?person_id=101905&amp;year=2022&amp;type=national&amp;d=6","Results")</f>
        <v/>
      </c>
    </row>
    <row r="45">
      <c r="A45" t="inlineStr">
        <is>
          <t>44</t>
        </is>
      </c>
      <c r="B45" t="inlineStr">
        <is>
          <t>Michael Burdon</t>
        </is>
      </c>
      <c r="C45" t="inlineStr">
        <is>
          <t>Shibden Cycling Club</t>
        </is>
      </c>
      <c r="D45" t="inlineStr">
        <is>
          <t>263</t>
        </is>
      </c>
      <c r="E45">
        <f>HYPERLINK("https://www.britishcycling.org.uk/points?person_id=243205&amp;year=2022&amp;type=national&amp;d=6","Results")</f>
        <v/>
      </c>
    </row>
    <row r="46">
      <c r="A46" t="inlineStr">
        <is>
          <t>45</t>
        </is>
      </c>
      <c r="B46" t="inlineStr">
        <is>
          <t>Simon Hime</t>
        </is>
      </c>
      <c r="C46" t="inlineStr">
        <is>
          <t>Finchley Racing Team</t>
        </is>
      </c>
      <c r="D46" t="inlineStr">
        <is>
          <t>262</t>
        </is>
      </c>
      <c r="E46">
        <f>HYPERLINK("https://www.britishcycling.org.uk/points?person_id=15847&amp;year=2022&amp;type=national&amp;d=6","Results")</f>
        <v/>
      </c>
    </row>
    <row r="47">
      <c r="A47" t="inlineStr">
        <is>
          <t>46</t>
        </is>
      </c>
      <c r="B47" t="inlineStr">
        <is>
          <t>Adrian Hill</t>
        </is>
      </c>
      <c r="C47" t="inlineStr">
        <is>
          <t>Wilsons Wheels Race Team</t>
        </is>
      </c>
      <c r="D47" t="inlineStr">
        <is>
          <t>255</t>
        </is>
      </c>
      <c r="E47">
        <f>HYPERLINK("https://www.britishcycling.org.uk/points?person_id=302293&amp;year=2022&amp;type=national&amp;d=6","Results")</f>
        <v/>
      </c>
    </row>
    <row r="48">
      <c r="A48" t="inlineStr">
        <is>
          <t>47</t>
        </is>
      </c>
      <c r="B48" t="inlineStr">
        <is>
          <t>James Melville</t>
        </is>
      </c>
      <c r="C48" t="inlineStr">
        <is>
          <t>Glasgow United CC</t>
        </is>
      </c>
      <c r="D48" t="inlineStr">
        <is>
          <t>255</t>
        </is>
      </c>
      <c r="E48">
        <f>HYPERLINK("https://www.britishcycling.org.uk/points?person_id=72838&amp;year=2022&amp;type=national&amp;d=6","Results")</f>
        <v/>
      </c>
    </row>
    <row r="49">
      <c r="A49" t="inlineStr">
        <is>
          <t>48</t>
        </is>
      </c>
      <c r="B49" t="inlineStr">
        <is>
          <t>Sam Miller</t>
        </is>
      </c>
      <c r="C49" t="inlineStr">
        <is>
          <t>Cheddar Cycle Club</t>
        </is>
      </c>
      <c r="D49" t="inlineStr">
        <is>
          <t>255</t>
        </is>
      </c>
      <c r="E49">
        <f>HYPERLINK("https://www.britishcycling.org.uk/points?person_id=290213&amp;year=2022&amp;type=national&amp;d=6","Results")</f>
        <v/>
      </c>
    </row>
    <row r="50">
      <c r="A50" t="inlineStr">
        <is>
          <t>49</t>
        </is>
      </c>
      <c r="B50" t="inlineStr">
        <is>
          <t>Keith Sheridan</t>
        </is>
      </c>
      <c r="C50" t="inlineStr">
        <is>
          <t>Magspeed Racing</t>
        </is>
      </c>
      <c r="D50" t="inlineStr">
        <is>
          <t>254</t>
        </is>
      </c>
      <c r="E50">
        <f>HYPERLINK("https://www.britishcycling.org.uk/points?person_id=69399&amp;year=2022&amp;type=national&amp;d=6","Results")</f>
        <v/>
      </c>
    </row>
    <row r="51">
      <c r="A51" t="inlineStr">
        <is>
          <t>50</t>
        </is>
      </c>
      <c r="B51" t="inlineStr">
        <is>
          <t>Darren Robson</t>
        </is>
      </c>
      <c r="C51" t="inlineStr">
        <is>
          <t>Muckle Cycle Club</t>
        </is>
      </c>
      <c r="D51" t="inlineStr">
        <is>
          <t>248</t>
        </is>
      </c>
      <c r="E51">
        <f>HYPERLINK("https://www.britishcycling.org.uk/points?person_id=408580&amp;year=2022&amp;type=national&amp;d=6","Results")</f>
        <v/>
      </c>
    </row>
    <row r="52">
      <c r="A52" t="inlineStr">
        <is>
          <t>51</t>
        </is>
      </c>
      <c r="B52" t="inlineStr">
        <is>
          <t>Richard John</t>
        </is>
      </c>
      <c r="C52" t="inlineStr">
        <is>
          <t>Spirit BSS</t>
        </is>
      </c>
      <c r="D52" t="inlineStr">
        <is>
          <t>245</t>
        </is>
      </c>
      <c r="E52">
        <f>HYPERLINK("https://www.britishcycling.org.uk/points?person_id=3368&amp;year=2022&amp;type=national&amp;d=6","Results")</f>
        <v/>
      </c>
    </row>
    <row r="53">
      <c r="A53" t="inlineStr">
        <is>
          <t>52</t>
        </is>
      </c>
      <c r="B53" t="inlineStr">
        <is>
          <t>Andy Hurst</t>
        </is>
      </c>
      <c r="C53" t="inlineStr">
        <is>
          <t>Velo Schils - Interbike RT</t>
        </is>
      </c>
      <c r="D53" t="inlineStr">
        <is>
          <t>244</t>
        </is>
      </c>
      <c r="E53">
        <f>HYPERLINK("https://www.britishcycling.org.uk/points?person_id=185655&amp;year=2022&amp;type=national&amp;d=6","Results")</f>
        <v/>
      </c>
    </row>
    <row r="54">
      <c r="A54" t="inlineStr">
        <is>
          <t>53</t>
        </is>
      </c>
      <c r="B54" t="inlineStr">
        <is>
          <t>Patrick Foley</t>
        </is>
      </c>
      <c r="C54" t="inlineStr"/>
      <c r="D54" t="inlineStr">
        <is>
          <t>242</t>
        </is>
      </c>
      <c r="E54">
        <f>HYPERLINK("https://www.britishcycling.org.uk/points?person_id=36511&amp;year=2022&amp;type=national&amp;d=6","Results")</f>
        <v/>
      </c>
    </row>
    <row r="55">
      <c r="A55" t="inlineStr">
        <is>
          <t>54</t>
        </is>
      </c>
      <c r="B55" t="inlineStr">
        <is>
          <t>Phillip Craker</t>
        </is>
      </c>
      <c r="C55" t="inlineStr">
        <is>
          <t>Barrow Central Wheelers</t>
        </is>
      </c>
      <c r="D55" t="inlineStr">
        <is>
          <t>239</t>
        </is>
      </c>
      <c r="E55">
        <f>HYPERLINK("https://www.britishcycling.org.uk/points?person_id=177968&amp;year=2022&amp;type=national&amp;d=6","Results")</f>
        <v/>
      </c>
    </row>
    <row r="56">
      <c r="A56" t="inlineStr">
        <is>
          <t>55</t>
        </is>
      </c>
      <c r="B56" t="inlineStr">
        <is>
          <t>Mark Preston</t>
        </is>
      </c>
      <c r="C56" t="inlineStr">
        <is>
          <t>PainTrain Lincoln</t>
        </is>
      </c>
      <c r="D56" t="inlineStr">
        <is>
          <t>239</t>
        </is>
      </c>
      <c r="E56">
        <f>HYPERLINK("https://www.britishcycling.org.uk/points?person_id=73475&amp;year=2022&amp;type=national&amp;d=6","Results")</f>
        <v/>
      </c>
    </row>
    <row r="57">
      <c r="A57" t="inlineStr">
        <is>
          <t>56</t>
        </is>
      </c>
      <c r="B57" t="inlineStr">
        <is>
          <t>Christian Nightingale</t>
        </is>
      </c>
      <c r="C57" t="inlineStr">
        <is>
          <t>Nottingham Clarion CC</t>
        </is>
      </c>
      <c r="D57" t="inlineStr">
        <is>
          <t>229</t>
        </is>
      </c>
      <c r="E57">
        <f>HYPERLINK("https://www.britishcycling.org.uk/points?person_id=523157&amp;year=2022&amp;type=national&amp;d=6","Results")</f>
        <v/>
      </c>
    </row>
    <row r="58">
      <c r="A58" t="inlineStr">
        <is>
          <t>57</t>
        </is>
      </c>
      <c r="B58" t="inlineStr">
        <is>
          <t>Russell Bayliss</t>
        </is>
      </c>
      <c r="C58" t="inlineStr">
        <is>
          <t>GS Metro</t>
        </is>
      </c>
      <c r="D58" t="inlineStr">
        <is>
          <t>222</t>
        </is>
      </c>
      <c r="E58">
        <f>HYPERLINK("https://www.britishcycling.org.uk/points?person_id=19344&amp;year=2022&amp;type=national&amp;d=6","Results")</f>
        <v/>
      </c>
    </row>
    <row r="59">
      <c r="A59" t="inlineStr">
        <is>
          <t>58</t>
        </is>
      </c>
      <c r="B59" t="inlineStr">
        <is>
          <t>Mike Mooney</t>
        </is>
      </c>
      <c r="C59" t="inlineStr">
        <is>
          <t>Hub Vélo</t>
        </is>
      </c>
      <c r="D59" t="inlineStr">
        <is>
          <t>222</t>
        </is>
      </c>
      <c r="E59">
        <f>HYPERLINK("https://www.britishcycling.org.uk/points?person_id=77406&amp;year=2022&amp;type=national&amp;d=6","Results")</f>
        <v/>
      </c>
    </row>
    <row r="60">
      <c r="A60" t="inlineStr">
        <is>
          <t>59</t>
        </is>
      </c>
      <c r="B60" t="inlineStr">
        <is>
          <t>Simon Muir</t>
        </is>
      </c>
      <c r="C60" t="inlineStr">
        <is>
          <t>Reifen Racing</t>
        </is>
      </c>
      <c r="D60" t="inlineStr">
        <is>
          <t>219</t>
        </is>
      </c>
      <c r="E60">
        <f>HYPERLINK("https://www.britishcycling.org.uk/points?person_id=220033&amp;year=2022&amp;type=national&amp;d=6","Results")</f>
        <v/>
      </c>
    </row>
    <row r="61">
      <c r="A61" t="inlineStr">
        <is>
          <t>60</t>
        </is>
      </c>
      <c r="B61" t="inlineStr">
        <is>
          <t>John Darroch</t>
        </is>
      </c>
      <c r="C61" t="inlineStr"/>
      <c r="D61" t="inlineStr">
        <is>
          <t>216</t>
        </is>
      </c>
      <c r="E61">
        <f>HYPERLINK("https://www.britishcycling.org.uk/points?person_id=75468&amp;year=2022&amp;type=national&amp;d=6","Results")</f>
        <v/>
      </c>
    </row>
    <row r="62">
      <c r="A62" t="inlineStr">
        <is>
          <t>61</t>
        </is>
      </c>
      <c r="B62" t="inlineStr">
        <is>
          <t>Anthony White</t>
        </is>
      </c>
      <c r="C62" t="inlineStr">
        <is>
          <t>Fenland Clarion CC</t>
        </is>
      </c>
      <c r="D62" t="inlineStr">
        <is>
          <t>210</t>
        </is>
      </c>
      <c r="E62">
        <f>HYPERLINK("https://www.britishcycling.org.uk/points?person_id=929&amp;year=2022&amp;type=national&amp;d=6","Results")</f>
        <v/>
      </c>
    </row>
    <row r="63">
      <c r="A63" t="inlineStr">
        <is>
          <t>62</t>
        </is>
      </c>
      <c r="B63" t="inlineStr">
        <is>
          <t>Paul Bond</t>
        </is>
      </c>
      <c r="C63" t="inlineStr"/>
      <c r="D63" t="inlineStr">
        <is>
          <t>209</t>
        </is>
      </c>
      <c r="E63">
        <f>HYPERLINK("https://www.britishcycling.org.uk/points?person_id=30468&amp;year=2022&amp;type=national&amp;d=6","Results")</f>
        <v/>
      </c>
    </row>
    <row r="64">
      <c r="A64" t="inlineStr">
        <is>
          <t>63</t>
        </is>
      </c>
      <c r="B64" t="inlineStr">
        <is>
          <t>David Haygarth</t>
        </is>
      </c>
      <c r="C64" t="inlineStr">
        <is>
          <t>Wheelbase CabTech Castelli</t>
        </is>
      </c>
      <c r="D64" t="inlineStr">
        <is>
          <t>209</t>
        </is>
      </c>
      <c r="E64">
        <f>HYPERLINK("https://www.britishcycling.org.uk/points?person_id=70096&amp;year=2022&amp;type=national&amp;d=6","Results")</f>
        <v/>
      </c>
    </row>
    <row r="65">
      <c r="A65" t="inlineStr">
        <is>
          <t>64</t>
        </is>
      </c>
      <c r="B65" t="inlineStr">
        <is>
          <t>John Elwell</t>
        </is>
      </c>
      <c r="C65" t="inlineStr">
        <is>
          <t>www.Zepnat.com RT - Lazer helmets</t>
        </is>
      </c>
      <c r="D65" t="inlineStr">
        <is>
          <t>207</t>
        </is>
      </c>
      <c r="E65">
        <f>HYPERLINK("https://www.britishcycling.org.uk/points?person_id=239117&amp;year=2022&amp;type=national&amp;d=6","Results")</f>
        <v/>
      </c>
    </row>
    <row r="66">
      <c r="A66" t="inlineStr">
        <is>
          <t>65</t>
        </is>
      </c>
      <c r="B66" t="inlineStr">
        <is>
          <t>Tim Hyde</t>
        </is>
      </c>
      <c r="C66" t="inlineStr">
        <is>
          <t>Pronto Bikes</t>
        </is>
      </c>
      <c r="D66" t="inlineStr">
        <is>
          <t>206</t>
        </is>
      </c>
      <c r="E66">
        <f>HYPERLINK("https://www.britishcycling.org.uk/points?person_id=373&amp;year=2022&amp;type=national&amp;d=6","Results")</f>
        <v/>
      </c>
    </row>
    <row r="67">
      <c r="A67" t="inlineStr">
        <is>
          <t>66</t>
        </is>
      </c>
      <c r="B67" t="inlineStr">
        <is>
          <t>Crawford Carrick-Anderson</t>
        </is>
      </c>
      <c r="C67" t="inlineStr">
        <is>
          <t>Peebles CC</t>
        </is>
      </c>
      <c r="D67" t="inlineStr">
        <is>
          <t>205</t>
        </is>
      </c>
      <c r="E67">
        <f>HYPERLINK("https://www.britishcycling.org.uk/points?person_id=63661&amp;year=2022&amp;type=national&amp;d=6","Results")</f>
        <v/>
      </c>
    </row>
    <row r="68">
      <c r="A68" t="inlineStr">
        <is>
          <t>67</t>
        </is>
      </c>
      <c r="B68" t="inlineStr">
        <is>
          <t>Tim Carpenter</t>
        </is>
      </c>
      <c r="C68" t="inlineStr">
        <is>
          <t>Exeter Wheelers</t>
        </is>
      </c>
      <c r="D68" t="inlineStr">
        <is>
          <t>204</t>
        </is>
      </c>
      <c r="E68">
        <f>HYPERLINK("https://www.britishcycling.org.uk/points?person_id=41877&amp;year=2022&amp;type=national&amp;d=6","Results")</f>
        <v/>
      </c>
    </row>
    <row r="69">
      <c r="A69" t="inlineStr">
        <is>
          <t>68</t>
        </is>
      </c>
      <c r="B69" t="inlineStr">
        <is>
          <t>James Wallace</t>
        </is>
      </c>
      <c r="C69" t="inlineStr">
        <is>
          <t>Lee Velo (South East London)</t>
        </is>
      </c>
      <c r="D69" t="inlineStr">
        <is>
          <t>203</t>
        </is>
      </c>
      <c r="E69">
        <f>HYPERLINK("https://www.britishcycling.org.uk/points?person_id=23579&amp;year=2022&amp;type=national&amp;d=6","Results")</f>
        <v/>
      </c>
    </row>
    <row r="70">
      <c r="A70" t="inlineStr">
        <is>
          <t>69</t>
        </is>
      </c>
      <c r="B70" t="inlineStr">
        <is>
          <t>Stuart Evans</t>
        </is>
      </c>
      <c r="C70" t="inlineStr">
        <is>
          <t>Crawley Wheelers Race Team</t>
        </is>
      </c>
      <c r="D70" t="inlineStr">
        <is>
          <t>195</t>
        </is>
      </c>
      <c r="E70">
        <f>HYPERLINK("https://www.britishcycling.org.uk/points?person_id=455977&amp;year=2022&amp;type=national&amp;d=6","Results")</f>
        <v/>
      </c>
    </row>
    <row r="71">
      <c r="A71" t="inlineStr">
        <is>
          <t>70</t>
        </is>
      </c>
      <c r="B71" t="inlineStr">
        <is>
          <t>James Bryan</t>
        </is>
      </c>
      <c r="C71" t="inlineStr">
        <is>
          <t>www.Zepnat.com RT - Lazer helmets</t>
        </is>
      </c>
      <c r="D71" t="inlineStr">
        <is>
          <t>190</t>
        </is>
      </c>
      <c r="E71">
        <f>HYPERLINK("https://www.britishcycling.org.uk/points?person_id=68865&amp;year=2022&amp;type=national&amp;d=6","Results")</f>
        <v/>
      </c>
    </row>
    <row r="72">
      <c r="A72" t="inlineStr">
        <is>
          <t>71</t>
        </is>
      </c>
      <c r="B72" t="inlineStr">
        <is>
          <t>Ross Porter</t>
        </is>
      </c>
      <c r="C72" t="inlineStr">
        <is>
          <t>Cwmcarn Paragon Cycling Club</t>
        </is>
      </c>
      <c r="D72" t="inlineStr">
        <is>
          <t>189</t>
        </is>
      </c>
      <c r="E72">
        <f>HYPERLINK("https://www.britishcycling.org.uk/points?person_id=61025&amp;year=2022&amp;type=national&amp;d=6","Results")</f>
        <v/>
      </c>
    </row>
    <row r="73">
      <c r="A73" t="inlineStr">
        <is>
          <t>72</t>
        </is>
      </c>
      <c r="B73" t="inlineStr">
        <is>
          <t>Spencer Parker</t>
        </is>
      </c>
      <c r="C73" t="inlineStr"/>
      <c r="D73" t="inlineStr">
        <is>
          <t>188</t>
        </is>
      </c>
      <c r="E73">
        <f>HYPERLINK("https://www.britishcycling.org.uk/points?person_id=579297&amp;year=2022&amp;type=national&amp;d=6","Results")</f>
        <v/>
      </c>
    </row>
    <row r="74">
      <c r="A74" t="inlineStr">
        <is>
          <t>73</t>
        </is>
      </c>
      <c r="B74" t="inlineStr">
        <is>
          <t>Roy Chamberlain</t>
        </is>
      </c>
      <c r="C74" t="inlineStr">
        <is>
          <t>Club Corley Cycles RC</t>
        </is>
      </c>
      <c r="D74" t="inlineStr">
        <is>
          <t>186</t>
        </is>
      </c>
      <c r="E74">
        <f>HYPERLINK("https://www.britishcycling.org.uk/points?person_id=78190&amp;year=2022&amp;type=national&amp;d=6","Results")</f>
        <v/>
      </c>
    </row>
    <row r="75">
      <c r="A75" t="inlineStr">
        <is>
          <t>74</t>
        </is>
      </c>
      <c r="B75" t="inlineStr">
        <is>
          <t>Andrew Peace</t>
        </is>
      </c>
      <c r="C75" t="inlineStr">
        <is>
          <t>Shibden Cycling Club</t>
        </is>
      </c>
      <c r="D75" t="inlineStr">
        <is>
          <t>183</t>
        </is>
      </c>
      <c r="E75">
        <f>HYPERLINK("https://www.britishcycling.org.uk/points?person_id=7502&amp;year=2022&amp;type=national&amp;d=6","Results")</f>
        <v/>
      </c>
    </row>
    <row r="76">
      <c r="A76" t="inlineStr">
        <is>
          <t>75</t>
        </is>
      </c>
      <c r="B76" t="inlineStr">
        <is>
          <t>John Woodrow</t>
        </is>
      </c>
      <c r="C76" t="inlineStr">
        <is>
          <t>Velobants.cc</t>
        </is>
      </c>
      <c r="D76" t="inlineStr">
        <is>
          <t>183</t>
        </is>
      </c>
      <c r="E76">
        <f>HYPERLINK("https://www.britishcycling.org.uk/points?person_id=136513&amp;year=2022&amp;type=national&amp;d=6","Results")</f>
        <v/>
      </c>
    </row>
    <row r="77">
      <c r="A77" t="inlineStr">
        <is>
          <t>76</t>
        </is>
      </c>
      <c r="B77" t="inlineStr">
        <is>
          <t>Nick Baldwin</t>
        </is>
      </c>
      <c r="C77" t="inlineStr"/>
      <c r="D77" t="inlineStr">
        <is>
          <t>178</t>
        </is>
      </c>
      <c r="E77">
        <f>HYPERLINK("https://www.britishcycling.org.uk/points?person_id=14594&amp;year=2022&amp;type=national&amp;d=6","Results")</f>
        <v/>
      </c>
    </row>
    <row r="78">
      <c r="A78" t="inlineStr">
        <is>
          <t>77</t>
        </is>
      </c>
      <c r="B78" t="inlineStr">
        <is>
          <t>Gary Hobbs</t>
        </is>
      </c>
      <c r="C78" t="inlineStr">
        <is>
          <t>Stroud Valley Velos</t>
        </is>
      </c>
      <c r="D78" t="inlineStr">
        <is>
          <t>174</t>
        </is>
      </c>
      <c r="E78">
        <f>HYPERLINK("https://www.britishcycling.org.uk/points?person_id=60593&amp;year=2022&amp;type=national&amp;d=6","Results")</f>
        <v/>
      </c>
    </row>
    <row r="79">
      <c r="A79" t="inlineStr">
        <is>
          <t>78</t>
        </is>
      </c>
      <c r="B79" t="inlineStr">
        <is>
          <t>Ian Newby</t>
        </is>
      </c>
      <c r="C79" t="inlineStr">
        <is>
          <t>Diss &amp; District CC</t>
        </is>
      </c>
      <c r="D79" t="inlineStr">
        <is>
          <t>173</t>
        </is>
      </c>
      <c r="E79">
        <f>HYPERLINK("https://www.britishcycling.org.uk/points?person_id=71288&amp;year=2022&amp;type=national&amp;d=6","Results")</f>
        <v/>
      </c>
    </row>
    <row r="80">
      <c r="A80" t="inlineStr">
        <is>
          <t>79</t>
        </is>
      </c>
      <c r="B80" t="inlineStr">
        <is>
          <t>Andrew Larking</t>
        </is>
      </c>
      <c r="C80" t="inlineStr">
        <is>
          <t>Sussex Revolution Velo Club</t>
        </is>
      </c>
      <c r="D80" t="inlineStr">
        <is>
          <t>172</t>
        </is>
      </c>
      <c r="E80">
        <f>HYPERLINK("https://www.britishcycling.org.uk/points?person_id=222800&amp;year=2022&amp;type=national&amp;d=6","Results")</f>
        <v/>
      </c>
    </row>
    <row r="81">
      <c r="A81" t="inlineStr">
        <is>
          <t>80</t>
        </is>
      </c>
      <c r="B81" t="inlineStr">
        <is>
          <t>Kristian Bravin</t>
        </is>
      </c>
      <c r="C81" t="inlineStr">
        <is>
          <t>Leicestershire Road Club</t>
        </is>
      </c>
      <c r="D81" t="inlineStr">
        <is>
          <t>167</t>
        </is>
      </c>
      <c r="E81">
        <f>HYPERLINK("https://www.britishcycling.org.uk/points?person_id=47312&amp;year=2022&amp;type=national&amp;d=6","Results")</f>
        <v/>
      </c>
    </row>
    <row r="82">
      <c r="A82" t="inlineStr">
        <is>
          <t>81</t>
        </is>
      </c>
      <c r="B82" t="inlineStr">
        <is>
          <t>Peter Davies</t>
        </is>
      </c>
      <c r="C82" t="inlineStr">
        <is>
          <t>Bynea CC</t>
        </is>
      </c>
      <c r="D82" t="inlineStr">
        <is>
          <t>166</t>
        </is>
      </c>
      <c r="E82">
        <f>HYPERLINK("https://www.britishcycling.org.uk/points?person_id=646719&amp;year=2022&amp;type=national&amp;d=6","Results")</f>
        <v/>
      </c>
    </row>
    <row r="83">
      <c r="A83" t="inlineStr">
        <is>
          <t>82</t>
        </is>
      </c>
      <c r="B83" t="inlineStr">
        <is>
          <t>Steven Bloor</t>
        </is>
      </c>
      <c r="C83" t="inlineStr">
        <is>
          <t>Matlock CC</t>
        </is>
      </c>
      <c r="D83" t="inlineStr">
        <is>
          <t>163</t>
        </is>
      </c>
      <c r="E83">
        <f>HYPERLINK("https://www.britishcycling.org.uk/points?person_id=6620&amp;year=2022&amp;type=national&amp;d=6","Results")</f>
        <v/>
      </c>
    </row>
    <row r="84">
      <c r="A84" t="inlineStr">
        <is>
          <t>83</t>
        </is>
      </c>
      <c r="B84" t="inlineStr">
        <is>
          <t>Philip Murrell</t>
        </is>
      </c>
      <c r="C84" t="inlineStr">
        <is>
          <t>Forest Side Riders</t>
        </is>
      </c>
      <c r="D84" t="inlineStr">
        <is>
          <t>157</t>
        </is>
      </c>
      <c r="E84">
        <f>HYPERLINK("https://www.britishcycling.org.uk/points?person_id=43477&amp;year=2022&amp;type=national&amp;d=6","Results")</f>
        <v/>
      </c>
    </row>
    <row r="85">
      <c r="A85" t="inlineStr">
        <is>
          <t>84</t>
        </is>
      </c>
      <c r="B85" t="inlineStr">
        <is>
          <t>Adrian Brown</t>
        </is>
      </c>
      <c r="C85" t="inlineStr">
        <is>
          <t>Merthyr Cycling Club</t>
        </is>
      </c>
      <c r="D85" t="inlineStr">
        <is>
          <t>156</t>
        </is>
      </c>
      <c r="E85">
        <f>HYPERLINK("https://www.britishcycling.org.uk/points?person_id=586028&amp;year=2022&amp;type=national&amp;d=6","Results")</f>
        <v/>
      </c>
    </row>
    <row r="86">
      <c r="A86" t="inlineStr">
        <is>
          <t>85</t>
        </is>
      </c>
      <c r="B86" t="inlineStr">
        <is>
          <t>Bill Kay</t>
        </is>
      </c>
      <c r="C86" t="inlineStr">
        <is>
          <t>Reifen Racing</t>
        </is>
      </c>
      <c r="D86" t="inlineStr">
        <is>
          <t>156</t>
        </is>
      </c>
      <c r="E86">
        <f>HYPERLINK("https://www.britishcycling.org.uk/points?person_id=259706&amp;year=2022&amp;type=national&amp;d=6","Results")</f>
        <v/>
      </c>
    </row>
    <row r="87">
      <c r="A87" t="inlineStr">
        <is>
          <t>86</t>
        </is>
      </c>
      <c r="B87" t="inlineStr">
        <is>
          <t>Gideon Aroussi</t>
        </is>
      </c>
      <c r="C87" t="inlineStr">
        <is>
          <t>Exeter Wheelers</t>
        </is>
      </c>
      <c r="D87" t="inlineStr">
        <is>
          <t>152</t>
        </is>
      </c>
      <c r="E87">
        <f>HYPERLINK("https://www.britishcycling.org.uk/points?person_id=547274&amp;year=2022&amp;type=national&amp;d=6","Results")</f>
        <v/>
      </c>
    </row>
    <row r="88">
      <c r="A88" t="inlineStr">
        <is>
          <t>87</t>
        </is>
      </c>
      <c r="B88" t="inlineStr">
        <is>
          <t>Malcolm Gray</t>
        </is>
      </c>
      <c r="C88" t="inlineStr">
        <is>
          <t>Velo Culture</t>
        </is>
      </c>
      <c r="D88" t="inlineStr">
        <is>
          <t>151</t>
        </is>
      </c>
      <c r="E88">
        <f>HYPERLINK("https://www.britishcycling.org.uk/points?person_id=280221&amp;year=2022&amp;type=national&amp;d=6","Results")</f>
        <v/>
      </c>
    </row>
    <row r="89">
      <c r="A89" t="inlineStr">
        <is>
          <t>88</t>
        </is>
      </c>
      <c r="B89" t="inlineStr">
        <is>
          <t>Mick Style</t>
        </is>
      </c>
      <c r="C89" t="inlineStr">
        <is>
          <t>Element Cycling Team</t>
        </is>
      </c>
      <c r="D89" t="inlineStr">
        <is>
          <t>151</t>
        </is>
      </c>
      <c r="E89">
        <f>HYPERLINK("https://www.britishcycling.org.uk/points?person_id=8627&amp;year=2022&amp;type=national&amp;d=6","Results")</f>
        <v/>
      </c>
    </row>
    <row r="90">
      <c r="A90" t="inlineStr">
        <is>
          <t>89</t>
        </is>
      </c>
      <c r="B90" t="inlineStr">
        <is>
          <t>Stephen Bradbrook</t>
        </is>
      </c>
      <c r="C90" t="inlineStr">
        <is>
          <t>Marsh Tracks Racing - Trek</t>
        </is>
      </c>
      <c r="D90" t="inlineStr">
        <is>
          <t>150</t>
        </is>
      </c>
      <c r="E90">
        <f>HYPERLINK("https://www.britishcycling.org.uk/points?person_id=36965&amp;year=2022&amp;type=national&amp;d=6","Results")</f>
        <v/>
      </c>
    </row>
    <row r="91">
      <c r="A91" t="inlineStr">
        <is>
          <t>90</t>
        </is>
      </c>
      <c r="B91" t="inlineStr">
        <is>
          <t>Peter Christopher</t>
        </is>
      </c>
      <c r="C91" t="inlineStr"/>
      <c r="D91" t="inlineStr">
        <is>
          <t>150</t>
        </is>
      </c>
      <c r="E91">
        <f>HYPERLINK("https://www.britishcycling.org.uk/points?person_id=168690&amp;year=2022&amp;type=national&amp;d=6","Results")</f>
        <v/>
      </c>
    </row>
    <row r="92">
      <c r="A92" t="inlineStr">
        <is>
          <t>91</t>
        </is>
      </c>
      <c r="B92" t="inlineStr">
        <is>
          <t>Glenn McMenamin</t>
        </is>
      </c>
      <c r="C92" t="inlineStr">
        <is>
          <t>Equipe Velo</t>
        </is>
      </c>
      <c r="D92" t="inlineStr">
        <is>
          <t>150</t>
        </is>
      </c>
      <c r="E92">
        <f>HYPERLINK("https://www.britishcycling.org.uk/points?person_id=72436&amp;year=2022&amp;type=national&amp;d=6","Results")</f>
        <v/>
      </c>
    </row>
    <row r="93">
      <c r="A93" t="inlineStr">
        <is>
          <t>92</t>
        </is>
      </c>
      <c r="B93" t="inlineStr">
        <is>
          <t>Phil Oliver</t>
        </is>
      </c>
      <c r="C93" t="inlineStr">
        <is>
          <t>Rutland CC</t>
        </is>
      </c>
      <c r="D93" t="inlineStr">
        <is>
          <t>144</t>
        </is>
      </c>
      <c r="E93">
        <f>HYPERLINK("https://www.britishcycling.org.uk/points?person_id=773476&amp;year=2022&amp;type=national&amp;d=6","Results")</f>
        <v/>
      </c>
    </row>
    <row r="94">
      <c r="A94" t="inlineStr">
        <is>
          <t>93</t>
        </is>
      </c>
      <c r="B94" t="inlineStr">
        <is>
          <t>Neil Raitt</t>
        </is>
      </c>
      <c r="C94" t="inlineStr">
        <is>
          <t>Dundee Thistle RC</t>
        </is>
      </c>
      <c r="D94" t="inlineStr">
        <is>
          <t>142</t>
        </is>
      </c>
      <c r="E94">
        <f>HYPERLINK("https://www.britishcycling.org.uk/points?person_id=64215&amp;year=2022&amp;type=national&amp;d=6","Results")</f>
        <v/>
      </c>
    </row>
    <row r="95">
      <c r="A95" t="inlineStr">
        <is>
          <t>94</t>
        </is>
      </c>
      <c r="B95" t="inlineStr">
        <is>
          <t>Ian Marshall</t>
        </is>
      </c>
      <c r="C95" t="inlineStr">
        <is>
          <t>Cardiff JIF</t>
        </is>
      </c>
      <c r="D95" t="inlineStr">
        <is>
          <t>140</t>
        </is>
      </c>
      <c r="E95">
        <f>HYPERLINK("https://www.britishcycling.org.uk/points?person_id=407806&amp;year=2022&amp;type=national&amp;d=6","Results")</f>
        <v/>
      </c>
    </row>
    <row r="96">
      <c r="A96" t="inlineStr">
        <is>
          <t>95</t>
        </is>
      </c>
      <c r="B96" t="inlineStr">
        <is>
          <t>Chris Hutchings</t>
        </is>
      </c>
      <c r="C96" t="inlineStr">
        <is>
          <t>Velo Club Venta</t>
        </is>
      </c>
      <c r="D96" t="inlineStr">
        <is>
          <t>137</t>
        </is>
      </c>
      <c r="E96">
        <f>HYPERLINK("https://www.britishcycling.org.uk/points?person_id=129344&amp;year=2022&amp;type=national&amp;d=6","Results")</f>
        <v/>
      </c>
    </row>
    <row r="97">
      <c r="A97" t="inlineStr">
        <is>
          <t>96</t>
        </is>
      </c>
      <c r="B97" t="inlineStr">
        <is>
          <t>Leon Field</t>
        </is>
      </c>
      <c r="C97" t="inlineStr">
        <is>
          <t>365 Shutt Ridley</t>
        </is>
      </c>
      <c r="D97" t="inlineStr">
        <is>
          <t>136</t>
        </is>
      </c>
      <c r="E97">
        <f>HYPERLINK("https://www.britishcycling.org.uk/points?person_id=487817&amp;year=2022&amp;type=national&amp;d=6","Results")</f>
        <v/>
      </c>
    </row>
    <row r="98">
      <c r="A98" t="inlineStr">
        <is>
          <t>97</t>
        </is>
      </c>
      <c r="B98" t="inlineStr">
        <is>
          <t>Jeremy Shotter</t>
        </is>
      </c>
      <c r="C98" t="inlineStr">
        <is>
          <t>Brighton Excelsior CC</t>
        </is>
      </c>
      <c r="D98" t="inlineStr">
        <is>
          <t>136</t>
        </is>
      </c>
      <c r="E98">
        <f>HYPERLINK("https://www.britishcycling.org.uk/points?person_id=239251&amp;year=2022&amp;type=national&amp;d=6","Results")</f>
        <v/>
      </c>
    </row>
    <row r="99">
      <c r="A99" t="inlineStr">
        <is>
          <t>98</t>
        </is>
      </c>
      <c r="B99" t="inlineStr">
        <is>
          <t>Jason Elliott</t>
        </is>
      </c>
      <c r="C99" t="inlineStr">
        <is>
          <t>Doncaster Whls CC</t>
        </is>
      </c>
      <c r="D99" t="inlineStr">
        <is>
          <t>133</t>
        </is>
      </c>
      <c r="E99">
        <f>HYPERLINK("https://www.britishcycling.org.uk/points?person_id=725072&amp;year=2022&amp;type=national&amp;d=6","Results")</f>
        <v/>
      </c>
    </row>
    <row r="100">
      <c r="A100" t="inlineStr">
        <is>
          <t>99</t>
        </is>
      </c>
      <c r="B100" t="inlineStr">
        <is>
          <t>Jonathon Snowden</t>
        </is>
      </c>
      <c r="C100" t="inlineStr"/>
      <c r="D100" t="inlineStr">
        <is>
          <t>133</t>
        </is>
      </c>
      <c r="E100">
        <f>HYPERLINK("https://www.britishcycling.org.uk/points?person_id=185037&amp;year=2022&amp;type=national&amp;d=6","Results")</f>
        <v/>
      </c>
    </row>
    <row r="101">
      <c r="A101" t="inlineStr">
        <is>
          <t>100</t>
        </is>
      </c>
      <c r="B101" t="inlineStr">
        <is>
          <t>Dave Copland</t>
        </is>
      </c>
      <c r="C101" t="inlineStr">
        <is>
          <t>Ipswich Bicycle Club</t>
        </is>
      </c>
      <c r="D101" t="inlineStr">
        <is>
          <t>128</t>
        </is>
      </c>
      <c r="E101">
        <f>HYPERLINK("https://www.britishcycling.org.uk/points?person_id=37075&amp;year=2022&amp;type=national&amp;d=6","Results")</f>
        <v/>
      </c>
    </row>
    <row r="102">
      <c r="A102" t="inlineStr">
        <is>
          <t>101</t>
        </is>
      </c>
      <c r="B102" t="inlineStr">
        <is>
          <t>Guy Stevens</t>
        </is>
      </c>
      <c r="C102" t="inlineStr"/>
      <c r="D102" t="inlineStr">
        <is>
          <t>125</t>
        </is>
      </c>
      <c r="E102">
        <f>HYPERLINK("https://www.britishcycling.org.uk/points?person_id=24614&amp;year=2022&amp;type=national&amp;d=6","Results")</f>
        <v/>
      </c>
    </row>
    <row r="103">
      <c r="A103" t="inlineStr">
        <is>
          <t>102</t>
        </is>
      </c>
      <c r="B103" t="inlineStr">
        <is>
          <t>John Hines</t>
        </is>
      </c>
      <c r="C103" t="inlineStr">
        <is>
          <t>Newport Shropshire CC</t>
        </is>
      </c>
      <c r="D103" t="inlineStr">
        <is>
          <t>124</t>
        </is>
      </c>
      <c r="E103">
        <f>HYPERLINK("https://www.britishcycling.org.uk/points?person_id=98865&amp;year=2022&amp;type=national&amp;d=6","Results")</f>
        <v/>
      </c>
    </row>
    <row r="104">
      <c r="A104" t="inlineStr">
        <is>
          <t>103</t>
        </is>
      </c>
      <c r="B104" t="inlineStr">
        <is>
          <t>Jeremy Parsons</t>
        </is>
      </c>
      <c r="C104" t="inlineStr">
        <is>
          <t>Team TMC - Strada Wheels</t>
        </is>
      </c>
      <c r="D104" t="inlineStr">
        <is>
          <t>124</t>
        </is>
      </c>
      <c r="E104">
        <f>HYPERLINK("https://www.britishcycling.org.uk/points?person_id=222815&amp;year=2022&amp;type=national&amp;d=6","Results")</f>
        <v/>
      </c>
    </row>
    <row r="105">
      <c r="A105" t="inlineStr">
        <is>
          <t>104</t>
        </is>
      </c>
      <c r="B105" t="inlineStr">
        <is>
          <t>Robert Fletcher</t>
        </is>
      </c>
      <c r="C105" t="inlineStr">
        <is>
          <t>Equipe Velo</t>
        </is>
      </c>
      <c r="D105" t="inlineStr">
        <is>
          <t>123</t>
        </is>
      </c>
      <c r="E105">
        <f>HYPERLINK("https://www.britishcycling.org.uk/points?person_id=72979&amp;year=2022&amp;type=national&amp;d=6","Results")</f>
        <v/>
      </c>
    </row>
    <row r="106">
      <c r="A106" t="inlineStr">
        <is>
          <t>105</t>
        </is>
      </c>
      <c r="B106" t="inlineStr">
        <is>
          <t>James Moore</t>
        </is>
      </c>
      <c r="C106" t="inlineStr">
        <is>
          <t>Peebles CC</t>
        </is>
      </c>
      <c r="D106" t="inlineStr">
        <is>
          <t>119</t>
        </is>
      </c>
      <c r="E106">
        <f>HYPERLINK("https://www.britishcycling.org.uk/points?person_id=540087&amp;year=2022&amp;type=national&amp;d=6","Results")</f>
        <v/>
      </c>
    </row>
    <row r="107">
      <c r="A107" t="inlineStr">
        <is>
          <t>106</t>
        </is>
      </c>
      <c r="B107" t="inlineStr">
        <is>
          <t>Jonathan Hall</t>
        </is>
      </c>
      <c r="C107" t="inlineStr">
        <is>
          <t>Sotonia CC</t>
        </is>
      </c>
      <c r="D107" t="inlineStr">
        <is>
          <t>116</t>
        </is>
      </c>
      <c r="E107">
        <f>HYPERLINK("https://www.britishcycling.org.uk/points?person_id=457136&amp;year=2022&amp;type=national&amp;d=6","Results")</f>
        <v/>
      </c>
    </row>
    <row r="108">
      <c r="A108" t="inlineStr">
        <is>
          <t>107</t>
        </is>
      </c>
      <c r="B108" t="inlineStr">
        <is>
          <t>Stephen Jones</t>
        </is>
      </c>
      <c r="C108" t="inlineStr"/>
      <c r="D108" t="inlineStr">
        <is>
          <t>115</t>
        </is>
      </c>
      <c r="E108">
        <f>HYPERLINK("https://www.britishcycling.org.uk/points?person_id=4133&amp;year=2022&amp;type=national&amp;d=6","Results")</f>
        <v/>
      </c>
    </row>
    <row r="109">
      <c r="A109" t="inlineStr">
        <is>
          <t>108</t>
        </is>
      </c>
      <c r="B109" t="inlineStr">
        <is>
          <t>Steve Robertson</t>
        </is>
      </c>
      <c r="C109" t="inlineStr">
        <is>
          <t>Ilkley Cycling Club</t>
        </is>
      </c>
      <c r="D109" t="inlineStr">
        <is>
          <t>115</t>
        </is>
      </c>
      <c r="E109">
        <f>HYPERLINK("https://www.britishcycling.org.uk/points?person_id=694456&amp;year=2022&amp;type=national&amp;d=6","Results")</f>
        <v/>
      </c>
    </row>
    <row r="110">
      <c r="A110" t="inlineStr">
        <is>
          <t>109</t>
        </is>
      </c>
      <c r="B110" t="inlineStr">
        <is>
          <t>Richard Taylor</t>
        </is>
      </c>
      <c r="C110" t="inlineStr">
        <is>
          <t>Exeter Wheelers</t>
        </is>
      </c>
      <c r="D110" t="inlineStr">
        <is>
          <t>114</t>
        </is>
      </c>
      <c r="E110">
        <f>HYPERLINK("https://www.britishcycling.org.uk/points?person_id=70789&amp;year=2022&amp;type=national&amp;d=6","Results")</f>
        <v/>
      </c>
    </row>
    <row r="111">
      <c r="A111" t="inlineStr">
        <is>
          <t>110</t>
        </is>
      </c>
      <c r="B111" t="inlineStr">
        <is>
          <t>Jon Lyons</t>
        </is>
      </c>
      <c r="C111" t="inlineStr">
        <is>
          <t>GS Invicta-ELO-Herberts Cycles</t>
        </is>
      </c>
      <c r="D111" t="inlineStr">
        <is>
          <t>111</t>
        </is>
      </c>
      <c r="E111">
        <f>HYPERLINK("https://www.britishcycling.org.uk/points?person_id=69332&amp;year=2022&amp;type=national&amp;d=6","Results")</f>
        <v/>
      </c>
    </row>
    <row r="112">
      <c r="A112" t="inlineStr">
        <is>
          <t>111</t>
        </is>
      </c>
      <c r="B112" t="inlineStr">
        <is>
          <t>Steve Calland</t>
        </is>
      </c>
      <c r="C112" t="inlineStr">
        <is>
          <t>Team TMC - Strada Wheels</t>
        </is>
      </c>
      <c r="D112" t="inlineStr">
        <is>
          <t>110</t>
        </is>
      </c>
      <c r="E112">
        <f>HYPERLINK("https://www.britishcycling.org.uk/points?person_id=50182&amp;year=2022&amp;type=national&amp;d=6","Results")</f>
        <v/>
      </c>
    </row>
    <row r="113">
      <c r="A113" t="inlineStr">
        <is>
          <t>112</t>
        </is>
      </c>
      <c r="B113" t="inlineStr">
        <is>
          <t>Paul Driver</t>
        </is>
      </c>
      <c r="C113" t="inlineStr">
        <is>
          <t>Amisvelo Racing Team</t>
        </is>
      </c>
      <c r="D113" t="inlineStr">
        <is>
          <t>110</t>
        </is>
      </c>
      <c r="E113">
        <f>HYPERLINK("https://www.britishcycling.org.uk/points?person_id=25942&amp;year=2022&amp;type=national&amp;d=6","Results")</f>
        <v/>
      </c>
    </row>
    <row r="114">
      <c r="A114" t="inlineStr">
        <is>
          <t>113</t>
        </is>
      </c>
      <c r="B114" t="inlineStr">
        <is>
          <t>Matthew Crouch</t>
        </is>
      </c>
      <c r="C114" t="inlineStr">
        <is>
          <t>Fossa Racing</t>
        </is>
      </c>
      <c r="D114" t="inlineStr">
        <is>
          <t>108</t>
        </is>
      </c>
      <c r="E114">
        <f>HYPERLINK("https://www.britishcycling.org.uk/points?person_id=31504&amp;year=2022&amp;type=national&amp;d=6","Results")</f>
        <v/>
      </c>
    </row>
    <row r="115">
      <c r="A115" t="inlineStr">
        <is>
          <t>114</t>
        </is>
      </c>
      <c r="B115" t="inlineStr">
        <is>
          <t>Damon Devine</t>
        </is>
      </c>
      <c r="C115" t="inlineStr">
        <is>
          <t>Reifen Racing</t>
        </is>
      </c>
      <c r="D115" t="inlineStr">
        <is>
          <t>108</t>
        </is>
      </c>
      <c r="E115">
        <f>HYPERLINK("https://www.britishcycling.org.uk/points?person_id=332410&amp;year=2022&amp;type=national&amp;d=6","Results")</f>
        <v/>
      </c>
    </row>
    <row r="116">
      <c r="A116" t="inlineStr">
        <is>
          <t>115</t>
        </is>
      </c>
      <c r="B116" t="inlineStr">
        <is>
          <t>John Polak</t>
        </is>
      </c>
      <c r="C116" t="inlineStr">
        <is>
          <t>Cotswold Veldrijden</t>
        </is>
      </c>
      <c r="D116" t="inlineStr">
        <is>
          <t>107</t>
        </is>
      </c>
      <c r="E116">
        <f>HYPERLINK("https://www.britishcycling.org.uk/points?person_id=173980&amp;year=2022&amp;type=national&amp;d=6","Results")</f>
        <v/>
      </c>
    </row>
    <row r="117">
      <c r="A117" t="inlineStr">
        <is>
          <t>116</t>
        </is>
      </c>
      <c r="B117" t="inlineStr">
        <is>
          <t>Alex Tate</t>
        </is>
      </c>
      <c r="C117" t="inlineStr">
        <is>
          <t>Team Milton Keynes</t>
        </is>
      </c>
      <c r="D117" t="inlineStr">
        <is>
          <t>103</t>
        </is>
      </c>
      <c r="E117">
        <f>HYPERLINK("https://www.britishcycling.org.uk/points?person_id=944238&amp;year=2022&amp;type=national&amp;d=6","Results")</f>
        <v/>
      </c>
    </row>
    <row r="118">
      <c r="A118" t="inlineStr">
        <is>
          <t>117</t>
        </is>
      </c>
      <c r="B118" t="inlineStr">
        <is>
          <t>John Docker</t>
        </is>
      </c>
      <c r="C118" t="inlineStr">
        <is>
          <t>Here Come The Belgians</t>
        </is>
      </c>
      <c r="D118" t="inlineStr">
        <is>
          <t>101</t>
        </is>
      </c>
      <c r="E118">
        <f>HYPERLINK("https://www.britishcycling.org.uk/points?person_id=259269&amp;year=2022&amp;type=national&amp;d=6","Results")</f>
        <v/>
      </c>
    </row>
    <row r="119">
      <c r="A119" t="inlineStr">
        <is>
          <t>118</t>
        </is>
      </c>
      <c r="B119" t="inlineStr">
        <is>
          <t>Killian Lomas</t>
        </is>
      </c>
      <c r="C119" t="inlineStr"/>
      <c r="D119" t="inlineStr">
        <is>
          <t>101</t>
        </is>
      </c>
      <c r="E119">
        <f>HYPERLINK("https://www.britishcycling.org.uk/points?person_id=519345&amp;year=2022&amp;type=national&amp;d=6","Results")</f>
        <v/>
      </c>
    </row>
    <row r="120">
      <c r="A120" t="inlineStr">
        <is>
          <t>119</t>
        </is>
      </c>
      <c r="B120" t="inlineStr">
        <is>
          <t>Martin Smith</t>
        </is>
      </c>
      <c r="C120" t="inlineStr">
        <is>
          <t>Mid Devon CC</t>
        </is>
      </c>
      <c r="D120" t="inlineStr">
        <is>
          <t>98</t>
        </is>
      </c>
      <c r="E120">
        <f>HYPERLINK("https://www.britishcycling.org.uk/points?person_id=280455&amp;year=2022&amp;type=national&amp;d=6","Results")</f>
        <v/>
      </c>
    </row>
    <row r="121">
      <c r="A121" t="inlineStr">
        <is>
          <t>120</t>
        </is>
      </c>
      <c r="B121" t="inlineStr">
        <is>
          <t>Peter Fielding-Smith</t>
        </is>
      </c>
      <c r="C121" t="inlineStr">
        <is>
          <t>Wilsons Wheels Race Team</t>
        </is>
      </c>
      <c r="D121" t="inlineStr">
        <is>
          <t>97</t>
        </is>
      </c>
      <c r="E121">
        <f>HYPERLINK("https://www.britishcycling.org.uk/points?person_id=35291&amp;year=2022&amp;type=national&amp;d=6","Results")</f>
        <v/>
      </c>
    </row>
    <row r="122">
      <c r="A122" t="inlineStr">
        <is>
          <t>121</t>
        </is>
      </c>
      <c r="B122" t="inlineStr">
        <is>
          <t>Ian Munday</t>
        </is>
      </c>
      <c r="C122" t="inlineStr">
        <is>
          <t>JRC-INTERFLON Race Team</t>
        </is>
      </c>
      <c r="D122" t="inlineStr">
        <is>
          <t>96</t>
        </is>
      </c>
      <c r="E122">
        <f>HYPERLINK("https://www.britishcycling.org.uk/points?person_id=350295&amp;year=2022&amp;type=national&amp;d=6","Results")</f>
        <v/>
      </c>
    </row>
    <row r="123">
      <c r="A123" t="inlineStr">
        <is>
          <t>122</t>
        </is>
      </c>
      <c r="B123" t="inlineStr">
        <is>
          <t>Jon Dixon</t>
        </is>
      </c>
      <c r="C123" t="inlineStr">
        <is>
          <t>ROTOR Race Team</t>
        </is>
      </c>
      <c r="D123" t="inlineStr">
        <is>
          <t>95</t>
        </is>
      </c>
      <c r="E123">
        <f>HYPERLINK("https://www.britishcycling.org.uk/points?person_id=77407&amp;year=2022&amp;type=national&amp;d=6","Results")</f>
        <v/>
      </c>
    </row>
    <row r="124">
      <c r="A124" t="inlineStr">
        <is>
          <t>123</t>
        </is>
      </c>
      <c r="B124" t="inlineStr">
        <is>
          <t>Shawn Manning</t>
        </is>
      </c>
      <c r="C124" t="inlineStr">
        <is>
          <t>VC Deal</t>
        </is>
      </c>
      <c r="D124" t="inlineStr">
        <is>
          <t>94</t>
        </is>
      </c>
      <c r="E124">
        <f>HYPERLINK("https://www.britishcycling.org.uk/points?person_id=263728&amp;year=2022&amp;type=national&amp;d=6","Results")</f>
        <v/>
      </c>
    </row>
    <row r="125">
      <c r="A125" t="inlineStr">
        <is>
          <t>124</t>
        </is>
      </c>
      <c r="B125" t="inlineStr">
        <is>
          <t>Adam Frewin</t>
        </is>
      </c>
      <c r="C125" t="inlineStr">
        <is>
          <t>Pedalon.co.uk</t>
        </is>
      </c>
      <c r="D125" t="inlineStr">
        <is>
          <t>93</t>
        </is>
      </c>
      <c r="E125">
        <f>HYPERLINK("https://www.britishcycling.org.uk/points?person_id=387369&amp;year=2022&amp;type=national&amp;d=6","Results")</f>
        <v/>
      </c>
    </row>
    <row r="126">
      <c r="A126" t="inlineStr">
        <is>
          <t>125</t>
        </is>
      </c>
      <c r="B126" t="inlineStr">
        <is>
          <t>Philip Boarer</t>
        </is>
      </c>
      <c r="C126" t="inlineStr">
        <is>
          <t>GS Vecchi</t>
        </is>
      </c>
      <c r="D126" t="inlineStr">
        <is>
          <t>92</t>
        </is>
      </c>
      <c r="E126">
        <f>HYPERLINK("https://www.britishcycling.org.uk/points?person_id=263650&amp;year=2022&amp;type=national&amp;d=6","Results")</f>
        <v/>
      </c>
    </row>
    <row r="127">
      <c r="A127" t="inlineStr">
        <is>
          <t>126</t>
        </is>
      </c>
      <c r="B127" t="inlineStr">
        <is>
          <t>Jonathan Robinson</t>
        </is>
      </c>
      <c r="C127" t="inlineStr">
        <is>
          <t>Army Cycling Union</t>
        </is>
      </c>
      <c r="D127" t="inlineStr">
        <is>
          <t>90</t>
        </is>
      </c>
      <c r="E127">
        <f>HYPERLINK("https://www.britishcycling.org.uk/points?person_id=282734&amp;year=2022&amp;type=national&amp;d=6","Results")</f>
        <v/>
      </c>
    </row>
    <row r="128">
      <c r="A128" t="inlineStr">
        <is>
          <t>127</t>
        </is>
      </c>
      <c r="B128" t="inlineStr">
        <is>
          <t>Heath Speck</t>
        </is>
      </c>
      <c r="C128" t="inlineStr">
        <is>
          <t>Ellmore Factory Racing</t>
        </is>
      </c>
      <c r="D128" t="inlineStr">
        <is>
          <t>90</t>
        </is>
      </c>
      <c r="E128">
        <f>HYPERLINK("https://www.britishcycling.org.uk/points?person_id=565876&amp;year=2022&amp;type=national&amp;d=6","Results")</f>
        <v/>
      </c>
    </row>
    <row r="129">
      <c r="A129" t="inlineStr">
        <is>
          <t>128</t>
        </is>
      </c>
      <c r="B129" t="inlineStr">
        <is>
          <t>Christopher Blackmore</t>
        </is>
      </c>
      <c r="C129" t="inlineStr"/>
      <c r="D129" t="inlineStr">
        <is>
          <t>88</t>
        </is>
      </c>
      <c r="E129">
        <f>HYPERLINK("https://www.britishcycling.org.uk/points?person_id=247687&amp;year=2022&amp;type=national&amp;d=6","Results")</f>
        <v/>
      </c>
    </row>
    <row r="130">
      <c r="A130" t="inlineStr">
        <is>
          <t>129</t>
        </is>
      </c>
      <c r="B130" t="inlineStr">
        <is>
          <t>Fergus Brady</t>
        </is>
      </c>
      <c r="C130" t="inlineStr">
        <is>
          <t>VC Meudon</t>
        </is>
      </c>
      <c r="D130" t="inlineStr">
        <is>
          <t>87</t>
        </is>
      </c>
      <c r="E130">
        <f>HYPERLINK("https://www.britishcycling.org.uk/points?person_id=756303&amp;year=2022&amp;type=national&amp;d=6","Results")</f>
        <v/>
      </c>
    </row>
    <row r="131">
      <c r="A131" t="inlineStr">
        <is>
          <t>130</t>
        </is>
      </c>
      <c r="B131" t="inlineStr">
        <is>
          <t>Jason Marriott</t>
        </is>
      </c>
      <c r="C131" t="inlineStr">
        <is>
          <t>Army Cycling Union</t>
        </is>
      </c>
      <c r="D131" t="inlineStr">
        <is>
          <t>87</t>
        </is>
      </c>
      <c r="E131">
        <f>HYPERLINK("https://www.britishcycling.org.uk/points?person_id=104264&amp;year=2022&amp;type=national&amp;d=6","Results")</f>
        <v/>
      </c>
    </row>
    <row r="132">
      <c r="A132" t="inlineStr">
        <is>
          <t>131</t>
        </is>
      </c>
      <c r="B132" t="inlineStr">
        <is>
          <t>Tarquin Robbins</t>
        </is>
      </c>
      <c r="C132" t="inlineStr">
        <is>
          <t>G!RO Cycles</t>
        </is>
      </c>
      <c r="D132" t="inlineStr">
        <is>
          <t>87</t>
        </is>
      </c>
      <c r="E132">
        <f>HYPERLINK("https://www.britishcycling.org.uk/points?person_id=589989&amp;year=2022&amp;type=national&amp;d=6","Results")</f>
        <v/>
      </c>
    </row>
    <row r="133">
      <c r="A133" t="inlineStr">
        <is>
          <t>132</t>
        </is>
      </c>
      <c r="B133" t="inlineStr">
        <is>
          <t>Pete Dawe</t>
        </is>
      </c>
      <c r="C133" t="inlineStr">
        <is>
          <t>Southfork Racing.co.uk</t>
        </is>
      </c>
      <c r="D133" t="inlineStr">
        <is>
          <t>86</t>
        </is>
      </c>
      <c r="E133">
        <f>HYPERLINK("https://www.britishcycling.org.uk/points?person_id=66442&amp;year=2022&amp;type=national&amp;d=6","Results")</f>
        <v/>
      </c>
    </row>
    <row r="134">
      <c r="A134" t="inlineStr">
        <is>
          <t>133</t>
        </is>
      </c>
      <c r="B134" t="inlineStr">
        <is>
          <t>Ben Paton</t>
        </is>
      </c>
      <c r="C134" t="inlineStr">
        <is>
          <t>Amisvelo Racing Team</t>
        </is>
      </c>
      <c r="D134" t="inlineStr">
        <is>
          <t>86</t>
        </is>
      </c>
      <c r="E134">
        <f>HYPERLINK("https://www.britishcycling.org.uk/points?person_id=75729&amp;year=2022&amp;type=national&amp;d=6","Results")</f>
        <v/>
      </c>
    </row>
    <row r="135">
      <c r="A135" t="inlineStr">
        <is>
          <t>134</t>
        </is>
      </c>
      <c r="B135" t="inlineStr">
        <is>
          <t>Kieron Hastings</t>
        </is>
      </c>
      <c r="C135" t="inlineStr">
        <is>
          <t>Cardiff JIF</t>
        </is>
      </c>
      <c r="D135" t="inlineStr">
        <is>
          <t>85</t>
        </is>
      </c>
      <c r="E135">
        <f>HYPERLINK("https://www.britishcycling.org.uk/points?person_id=305973&amp;year=2022&amp;type=national&amp;d=6","Results")</f>
        <v/>
      </c>
    </row>
    <row r="136">
      <c r="A136" t="inlineStr">
        <is>
          <t>135</t>
        </is>
      </c>
      <c r="B136" t="inlineStr">
        <is>
          <t>Carlo Mascia</t>
        </is>
      </c>
      <c r="C136" t="inlineStr">
        <is>
          <t>360VRT</t>
        </is>
      </c>
      <c r="D136" t="inlineStr">
        <is>
          <t>85</t>
        </is>
      </c>
      <c r="E136">
        <f>HYPERLINK("https://www.britishcycling.org.uk/points?person_id=588561&amp;year=2022&amp;type=national&amp;d=6","Results")</f>
        <v/>
      </c>
    </row>
    <row r="137">
      <c r="A137" t="inlineStr">
        <is>
          <t>136</t>
        </is>
      </c>
      <c r="B137" t="inlineStr">
        <is>
          <t>Philip Hinchliffe</t>
        </is>
      </c>
      <c r="C137" t="inlineStr">
        <is>
          <t>100 Just Ride</t>
        </is>
      </c>
      <c r="D137" t="inlineStr">
        <is>
          <t>84</t>
        </is>
      </c>
      <c r="E137">
        <f>HYPERLINK("https://www.britishcycling.org.uk/points?person_id=10828&amp;year=2022&amp;type=national&amp;d=6","Results")</f>
        <v/>
      </c>
    </row>
    <row r="138">
      <c r="A138" t="inlineStr">
        <is>
          <t>137</t>
        </is>
      </c>
      <c r="B138" t="inlineStr">
        <is>
          <t>Shaun Green</t>
        </is>
      </c>
      <c r="C138" t="inlineStr"/>
      <c r="D138" t="inlineStr">
        <is>
          <t>82</t>
        </is>
      </c>
      <c r="E138">
        <f>HYPERLINK("https://www.britishcycling.org.uk/points?person_id=71756&amp;year=2022&amp;type=national&amp;d=6","Results")</f>
        <v/>
      </c>
    </row>
    <row r="139">
      <c r="A139" t="inlineStr">
        <is>
          <t>138</t>
        </is>
      </c>
      <c r="B139" t="inlineStr">
        <is>
          <t>Andrew Johnston</t>
        </is>
      </c>
      <c r="C139" t="inlineStr">
        <is>
          <t>Clifton CC</t>
        </is>
      </c>
      <c r="D139" t="inlineStr">
        <is>
          <t>82</t>
        </is>
      </c>
      <c r="E139">
        <f>HYPERLINK("https://www.britishcycling.org.uk/points?person_id=14729&amp;year=2022&amp;type=national&amp;d=6","Results")</f>
        <v/>
      </c>
    </row>
    <row r="140">
      <c r="A140" t="inlineStr">
        <is>
          <t>139</t>
        </is>
      </c>
      <c r="B140" t="inlineStr">
        <is>
          <t>Harvey Levann</t>
        </is>
      </c>
      <c r="C140" t="inlineStr">
        <is>
          <t>Team Jewson-M.I.Racing</t>
        </is>
      </c>
      <c r="D140" t="inlineStr">
        <is>
          <t>82</t>
        </is>
      </c>
      <c r="E140">
        <f>HYPERLINK("https://www.britishcycling.org.uk/points?person_id=17580&amp;year=2022&amp;type=national&amp;d=6","Results")</f>
        <v/>
      </c>
    </row>
    <row r="141">
      <c r="A141" t="inlineStr">
        <is>
          <t>140</t>
        </is>
      </c>
      <c r="B141" t="inlineStr">
        <is>
          <t>Andrew South</t>
        </is>
      </c>
      <c r="C141" t="inlineStr">
        <is>
          <t>GS Avanti</t>
        </is>
      </c>
      <c r="D141" t="inlineStr">
        <is>
          <t>80</t>
        </is>
      </c>
      <c r="E141">
        <f>HYPERLINK("https://www.britishcycling.org.uk/points?person_id=427013&amp;year=2022&amp;type=national&amp;d=6","Results")</f>
        <v/>
      </c>
    </row>
    <row r="142">
      <c r="A142" t="inlineStr">
        <is>
          <t>141</t>
        </is>
      </c>
      <c r="B142" t="inlineStr">
        <is>
          <t>Andrew Willett</t>
        </is>
      </c>
      <c r="C142" t="inlineStr"/>
      <c r="D142" t="inlineStr">
        <is>
          <t>80</t>
        </is>
      </c>
      <c r="E142">
        <f>HYPERLINK("https://www.britishcycling.org.uk/points?person_id=3215&amp;year=2022&amp;type=national&amp;d=6","Results")</f>
        <v/>
      </c>
    </row>
    <row r="143">
      <c r="A143" t="inlineStr">
        <is>
          <t>142</t>
        </is>
      </c>
      <c r="B143" t="inlineStr">
        <is>
          <t>Andrew Granger</t>
        </is>
      </c>
      <c r="C143" t="inlineStr">
        <is>
          <t>Twickenham CC</t>
        </is>
      </c>
      <c r="D143" t="inlineStr">
        <is>
          <t>78</t>
        </is>
      </c>
      <c r="E143">
        <f>HYPERLINK("https://www.britishcycling.org.uk/points?person_id=19107&amp;year=2022&amp;type=national&amp;d=6","Results")</f>
        <v/>
      </c>
    </row>
    <row r="144">
      <c r="A144" t="inlineStr">
        <is>
          <t>143</t>
        </is>
      </c>
      <c r="B144" t="inlineStr">
        <is>
          <t>Paul Smith</t>
        </is>
      </c>
      <c r="C144" t="inlineStr"/>
      <c r="D144" t="inlineStr">
        <is>
          <t>77</t>
        </is>
      </c>
      <c r="E144">
        <f>HYPERLINK("https://www.britishcycling.org.uk/points?person_id=47940&amp;year=2022&amp;type=national&amp;d=6","Results")</f>
        <v/>
      </c>
    </row>
    <row r="145">
      <c r="A145" t="inlineStr">
        <is>
          <t>144</t>
        </is>
      </c>
      <c r="B145" t="inlineStr">
        <is>
          <t>Adrian Dalgleish</t>
        </is>
      </c>
      <c r="C145" t="inlineStr">
        <is>
          <t>Lune Racing Cycling Club</t>
        </is>
      </c>
      <c r="D145" t="inlineStr">
        <is>
          <t>76</t>
        </is>
      </c>
      <c r="E145">
        <f>HYPERLINK("https://www.britishcycling.org.uk/points?person_id=6682&amp;year=2022&amp;type=national&amp;d=6","Results")</f>
        <v/>
      </c>
    </row>
    <row r="146">
      <c r="A146" t="inlineStr">
        <is>
          <t>145</t>
        </is>
      </c>
      <c r="B146" t="inlineStr">
        <is>
          <t>David Oxberry</t>
        </is>
      </c>
      <c r="C146" t="inlineStr"/>
      <c r="D146" t="inlineStr">
        <is>
          <t>76</t>
        </is>
      </c>
      <c r="E146">
        <f>HYPERLINK("https://www.britishcycling.org.uk/points?person_id=325322&amp;year=2022&amp;type=national&amp;d=6","Results")</f>
        <v/>
      </c>
    </row>
    <row r="147">
      <c r="A147" t="inlineStr">
        <is>
          <t>146</t>
        </is>
      </c>
      <c r="B147" t="inlineStr">
        <is>
          <t>Peter Goy</t>
        </is>
      </c>
      <c r="C147" t="inlineStr">
        <is>
          <t>Louth Cycle Centre RT</t>
        </is>
      </c>
      <c r="D147" t="inlineStr">
        <is>
          <t>73</t>
        </is>
      </c>
      <c r="E147">
        <f>HYPERLINK("https://www.britishcycling.org.uk/points?person_id=300819&amp;year=2022&amp;type=national&amp;d=6","Results")</f>
        <v/>
      </c>
    </row>
    <row r="148">
      <c r="A148" t="inlineStr">
        <is>
          <t>147</t>
        </is>
      </c>
      <c r="B148" t="inlineStr">
        <is>
          <t>David Kent</t>
        </is>
      </c>
      <c r="C148" t="inlineStr">
        <is>
          <t>Whitby Wheelers CC</t>
        </is>
      </c>
      <c r="D148" t="inlineStr">
        <is>
          <t>73</t>
        </is>
      </c>
      <c r="E148">
        <f>HYPERLINK("https://www.britishcycling.org.uk/points?person_id=323521&amp;year=2022&amp;type=national&amp;d=6","Results")</f>
        <v/>
      </c>
    </row>
    <row r="149">
      <c r="A149" t="inlineStr">
        <is>
          <t>148</t>
        </is>
      </c>
      <c r="B149" t="inlineStr">
        <is>
          <t>Robin Murray</t>
        </is>
      </c>
      <c r="C149" t="inlineStr">
        <is>
          <t>Buxton CC - Sett Valley Cycles</t>
        </is>
      </c>
      <c r="D149" t="inlineStr">
        <is>
          <t>72</t>
        </is>
      </c>
      <c r="E149">
        <f>HYPERLINK("https://www.britishcycling.org.uk/points?person_id=307853&amp;year=2022&amp;type=national&amp;d=6","Results")</f>
        <v/>
      </c>
    </row>
    <row r="150">
      <c r="A150" t="inlineStr">
        <is>
          <t>149</t>
        </is>
      </c>
      <c r="B150" t="inlineStr">
        <is>
          <t>Tim Barnes</t>
        </is>
      </c>
      <c r="C150" t="inlineStr">
        <is>
          <t>Bristol South CC</t>
        </is>
      </c>
      <c r="D150" t="inlineStr">
        <is>
          <t>71</t>
        </is>
      </c>
      <c r="E150">
        <f>HYPERLINK("https://www.britishcycling.org.uk/points?person_id=424983&amp;year=2022&amp;type=national&amp;d=6","Results")</f>
        <v/>
      </c>
    </row>
    <row r="151">
      <c r="A151" t="inlineStr">
        <is>
          <t>150</t>
        </is>
      </c>
      <c r="B151" t="inlineStr">
        <is>
          <t>Nigel Dykes</t>
        </is>
      </c>
      <c r="C151" t="inlineStr"/>
      <c r="D151" t="inlineStr">
        <is>
          <t>71</t>
        </is>
      </c>
      <c r="E151">
        <f>HYPERLINK("https://www.britishcycling.org.uk/points?person_id=519973&amp;year=2022&amp;type=national&amp;d=6","Results")</f>
        <v/>
      </c>
    </row>
    <row r="152">
      <c r="A152" t="inlineStr">
        <is>
          <t>151</t>
        </is>
      </c>
      <c r="B152" t="inlineStr">
        <is>
          <t>David West</t>
        </is>
      </c>
      <c r="C152" t="inlineStr">
        <is>
          <t>Amisvelo Racing Team</t>
        </is>
      </c>
      <c r="D152" t="inlineStr">
        <is>
          <t>71</t>
        </is>
      </c>
      <c r="E152">
        <f>HYPERLINK("https://www.britishcycling.org.uk/points?person_id=30508&amp;year=2022&amp;type=national&amp;d=6","Results")</f>
        <v/>
      </c>
    </row>
    <row r="153">
      <c r="A153" t="inlineStr">
        <is>
          <t>152</t>
        </is>
      </c>
      <c r="B153" t="inlineStr">
        <is>
          <t>Phil Smith</t>
        </is>
      </c>
      <c r="C153" t="inlineStr">
        <is>
          <t>Lakes RC</t>
        </is>
      </c>
      <c r="D153" t="inlineStr">
        <is>
          <t>70</t>
        </is>
      </c>
      <c r="E153">
        <f>HYPERLINK("https://www.britishcycling.org.uk/points?person_id=22458&amp;year=2022&amp;type=national&amp;d=6","Results")</f>
        <v/>
      </c>
    </row>
    <row r="154">
      <c r="A154" t="inlineStr">
        <is>
          <t>153</t>
        </is>
      </c>
      <c r="B154" t="inlineStr">
        <is>
          <t>Matt Ingram</t>
        </is>
      </c>
      <c r="C154" t="inlineStr">
        <is>
          <t>www.Zepnat.com RT - Lazer helmets</t>
        </is>
      </c>
      <c r="D154" t="inlineStr">
        <is>
          <t>69</t>
        </is>
      </c>
      <c r="E154">
        <f>HYPERLINK("https://www.britishcycling.org.uk/points?person_id=270101&amp;year=2022&amp;type=national&amp;d=6","Results")</f>
        <v/>
      </c>
    </row>
    <row r="155">
      <c r="A155" t="inlineStr">
        <is>
          <t>154</t>
        </is>
      </c>
      <c r="B155" t="inlineStr">
        <is>
          <t>Neil Taylor</t>
        </is>
      </c>
      <c r="C155" t="inlineStr">
        <is>
          <t>Coalville Wheelers CC</t>
        </is>
      </c>
      <c r="D155" t="inlineStr">
        <is>
          <t>69</t>
        </is>
      </c>
      <c r="E155">
        <f>HYPERLINK("https://www.britishcycling.org.uk/points?person_id=53000&amp;year=2022&amp;type=national&amp;d=6","Results")</f>
        <v/>
      </c>
    </row>
    <row r="156">
      <c r="A156" t="inlineStr">
        <is>
          <t>155</t>
        </is>
      </c>
      <c r="B156" t="inlineStr">
        <is>
          <t>Michael Vaughan</t>
        </is>
      </c>
      <c r="C156" t="inlineStr">
        <is>
          <t>Mike Vaughan Cycles</t>
        </is>
      </c>
      <c r="D156" t="inlineStr">
        <is>
          <t>69</t>
        </is>
      </c>
      <c r="E156">
        <f>HYPERLINK("https://www.britishcycling.org.uk/points?person_id=23890&amp;year=2022&amp;type=national&amp;d=6","Results")</f>
        <v/>
      </c>
    </row>
    <row r="157">
      <c r="A157" t="inlineStr">
        <is>
          <t>156</t>
        </is>
      </c>
      <c r="B157" t="inlineStr">
        <is>
          <t>John Wood</t>
        </is>
      </c>
      <c r="C157" t="inlineStr">
        <is>
          <t>www.cyclocrossrider.com</t>
        </is>
      </c>
      <c r="D157" t="inlineStr">
        <is>
          <t>69</t>
        </is>
      </c>
      <c r="E157">
        <f>HYPERLINK("https://www.britishcycling.org.uk/points?person_id=41142&amp;year=2022&amp;type=national&amp;d=6","Results")</f>
        <v/>
      </c>
    </row>
    <row r="158">
      <c r="A158" t="inlineStr">
        <is>
          <t>157</t>
        </is>
      </c>
      <c r="B158" t="inlineStr">
        <is>
          <t>Shaun Campling</t>
        </is>
      </c>
      <c r="C158" t="inlineStr">
        <is>
          <t>Leicester Forest CC</t>
        </is>
      </c>
      <c r="D158" t="inlineStr">
        <is>
          <t>68</t>
        </is>
      </c>
      <c r="E158">
        <f>HYPERLINK("https://www.britishcycling.org.uk/points?person_id=479127&amp;year=2022&amp;type=national&amp;d=6","Results")</f>
        <v/>
      </c>
    </row>
    <row r="159">
      <c r="A159" t="inlineStr">
        <is>
          <t>158</t>
        </is>
      </c>
      <c r="B159" t="inlineStr">
        <is>
          <t>Paul Moss</t>
        </is>
      </c>
      <c r="C159" t="inlineStr">
        <is>
          <t>Stowmarket &amp; District CC</t>
        </is>
      </c>
      <c r="D159" t="inlineStr">
        <is>
          <t>67</t>
        </is>
      </c>
      <c r="E159">
        <f>HYPERLINK("https://www.britishcycling.org.uk/points?person_id=36231&amp;year=2022&amp;type=national&amp;d=6","Results")</f>
        <v/>
      </c>
    </row>
    <row r="160">
      <c r="A160" t="inlineStr">
        <is>
          <t>159</t>
        </is>
      </c>
      <c r="B160" t="inlineStr">
        <is>
          <t>Steve Coombs</t>
        </is>
      </c>
      <c r="C160" t="inlineStr">
        <is>
          <t>Rockingham Forest Whls</t>
        </is>
      </c>
      <c r="D160" t="inlineStr">
        <is>
          <t>65</t>
        </is>
      </c>
      <c r="E160">
        <f>HYPERLINK("https://www.britishcycling.org.uk/points?person_id=730592&amp;year=2022&amp;type=national&amp;d=6","Results")</f>
        <v/>
      </c>
    </row>
    <row r="161">
      <c r="A161" t="inlineStr">
        <is>
          <t>160</t>
        </is>
      </c>
      <c r="B161" t="inlineStr">
        <is>
          <t>Chris Guy</t>
        </is>
      </c>
      <c r="C161" t="inlineStr">
        <is>
          <t>Iceni Velo</t>
        </is>
      </c>
      <c r="D161" t="inlineStr">
        <is>
          <t>65</t>
        </is>
      </c>
      <c r="E161">
        <f>HYPERLINK("https://www.britishcycling.org.uk/points?person_id=51864&amp;year=2022&amp;type=national&amp;d=6","Results")</f>
        <v/>
      </c>
    </row>
    <row r="162">
      <c r="A162" t="inlineStr">
        <is>
          <t>161</t>
        </is>
      </c>
      <c r="B162" t="inlineStr">
        <is>
          <t>Tony Mills</t>
        </is>
      </c>
      <c r="C162" t="inlineStr">
        <is>
          <t>York Cycleworks</t>
        </is>
      </c>
      <c r="D162" t="inlineStr">
        <is>
          <t>65</t>
        </is>
      </c>
      <c r="E162">
        <f>HYPERLINK("https://www.britishcycling.org.uk/points?person_id=13767&amp;year=2022&amp;type=national&amp;d=6","Results")</f>
        <v/>
      </c>
    </row>
    <row r="163">
      <c r="A163" t="inlineStr">
        <is>
          <t>162</t>
        </is>
      </c>
      <c r="B163" t="inlineStr">
        <is>
          <t>Mike Adams</t>
        </is>
      </c>
      <c r="C163" t="inlineStr">
        <is>
          <t>Mapperley CC</t>
        </is>
      </c>
      <c r="D163" t="inlineStr">
        <is>
          <t>64</t>
        </is>
      </c>
      <c r="E163">
        <f>HYPERLINK("https://www.britishcycling.org.uk/points?person_id=853769&amp;year=2022&amp;type=national&amp;d=6","Results")</f>
        <v/>
      </c>
    </row>
    <row r="164">
      <c r="A164" t="inlineStr">
        <is>
          <t>163</t>
        </is>
      </c>
      <c r="B164" t="inlineStr">
        <is>
          <t>Julian Freeman</t>
        </is>
      </c>
      <c r="C164" t="inlineStr">
        <is>
          <t>Rockingham Forest Whls</t>
        </is>
      </c>
      <c r="D164" t="inlineStr">
        <is>
          <t>64</t>
        </is>
      </c>
      <c r="E164">
        <f>HYPERLINK("https://www.britishcycling.org.uk/points?person_id=8887&amp;year=2022&amp;type=national&amp;d=6","Results")</f>
        <v/>
      </c>
    </row>
    <row r="165">
      <c r="A165" t="inlineStr">
        <is>
          <t>164</t>
        </is>
      </c>
      <c r="B165" t="inlineStr">
        <is>
          <t>Andrew Clapham</t>
        </is>
      </c>
      <c r="C165" t="inlineStr">
        <is>
          <t>Pedal Power Loughborough</t>
        </is>
      </c>
      <c r="D165" t="inlineStr">
        <is>
          <t>63</t>
        </is>
      </c>
      <c r="E165">
        <f>HYPERLINK("https://www.britishcycling.org.uk/points?person_id=47132&amp;year=2022&amp;type=national&amp;d=6","Results")</f>
        <v/>
      </c>
    </row>
    <row r="166">
      <c r="A166" t="inlineStr">
        <is>
          <t>165</t>
        </is>
      </c>
      <c r="B166" t="inlineStr">
        <is>
          <t>Tristan Ellis</t>
        </is>
      </c>
      <c r="C166" t="inlineStr">
        <is>
          <t>1st Chard Whls</t>
        </is>
      </c>
      <c r="D166" t="inlineStr">
        <is>
          <t>63</t>
        </is>
      </c>
      <c r="E166">
        <f>HYPERLINK("https://www.britishcycling.org.uk/points?person_id=332310&amp;year=2022&amp;type=national&amp;d=6","Results")</f>
        <v/>
      </c>
    </row>
    <row r="167">
      <c r="A167" t="inlineStr">
        <is>
          <t>166</t>
        </is>
      </c>
      <c r="B167" t="inlineStr">
        <is>
          <t>James Griffiths</t>
        </is>
      </c>
      <c r="C167" t="inlineStr">
        <is>
          <t>Clee Cycles</t>
        </is>
      </c>
      <c r="D167" t="inlineStr">
        <is>
          <t>63</t>
        </is>
      </c>
      <c r="E167">
        <f>HYPERLINK("https://www.britishcycling.org.uk/points?person_id=12692&amp;year=2022&amp;type=national&amp;d=6","Results")</f>
        <v/>
      </c>
    </row>
    <row r="168">
      <c r="A168" t="inlineStr">
        <is>
          <t>167</t>
        </is>
      </c>
      <c r="B168" t="inlineStr">
        <is>
          <t>Daniel Di Principe</t>
        </is>
      </c>
      <c r="C168" t="inlineStr">
        <is>
          <t>Kingston Wheelers CC</t>
        </is>
      </c>
      <c r="D168" t="inlineStr">
        <is>
          <t>62</t>
        </is>
      </c>
      <c r="E168">
        <f>HYPERLINK("https://www.britishcycling.org.uk/points?person_id=188192&amp;year=2022&amp;type=national&amp;d=6","Results")</f>
        <v/>
      </c>
    </row>
    <row r="169">
      <c r="A169" t="inlineStr">
        <is>
          <t>168</t>
        </is>
      </c>
      <c r="B169" t="inlineStr">
        <is>
          <t>Sean Hoban</t>
        </is>
      </c>
      <c r="C169" t="inlineStr">
        <is>
          <t>Velo Club Cumbria</t>
        </is>
      </c>
      <c r="D169" t="inlineStr">
        <is>
          <t>62</t>
        </is>
      </c>
      <c r="E169">
        <f>HYPERLINK("https://www.britishcycling.org.uk/points?person_id=5437&amp;year=2022&amp;type=national&amp;d=6","Results")</f>
        <v/>
      </c>
    </row>
    <row r="170">
      <c r="A170" t="inlineStr">
        <is>
          <t>169</t>
        </is>
      </c>
      <c r="B170" t="inlineStr">
        <is>
          <t>Matthew Camps</t>
        </is>
      </c>
      <c r="C170" t="inlineStr">
        <is>
          <t>Bridport CC</t>
        </is>
      </c>
      <c r="D170" t="inlineStr">
        <is>
          <t>61</t>
        </is>
      </c>
      <c r="E170">
        <f>HYPERLINK("https://www.britishcycling.org.uk/points?person_id=556234&amp;year=2022&amp;type=national&amp;d=6","Results")</f>
        <v/>
      </c>
    </row>
    <row r="171">
      <c r="A171" t="inlineStr">
        <is>
          <t>170</t>
        </is>
      </c>
      <c r="B171" t="inlineStr">
        <is>
          <t>Edward Gurney</t>
        </is>
      </c>
      <c r="C171" t="inlineStr">
        <is>
          <t>Velo Club Venta</t>
        </is>
      </c>
      <c r="D171" t="inlineStr">
        <is>
          <t>61</t>
        </is>
      </c>
      <c r="E171">
        <f>HYPERLINK("https://www.britishcycling.org.uk/points?person_id=237108&amp;year=2022&amp;type=national&amp;d=6","Results")</f>
        <v/>
      </c>
    </row>
    <row r="172">
      <c r="A172" t="inlineStr">
        <is>
          <t>171</t>
        </is>
      </c>
      <c r="B172" t="inlineStr">
        <is>
          <t>Wayne Jones</t>
        </is>
      </c>
      <c r="C172" t="inlineStr">
        <is>
          <t>ROTOR Race Team</t>
        </is>
      </c>
      <c r="D172" t="inlineStr">
        <is>
          <t>61</t>
        </is>
      </c>
      <c r="E172">
        <f>HYPERLINK("https://www.britishcycling.org.uk/points?person_id=49822&amp;year=2022&amp;type=national&amp;d=6","Results")</f>
        <v/>
      </c>
    </row>
    <row r="173">
      <c r="A173" t="inlineStr">
        <is>
          <t>172</t>
        </is>
      </c>
      <c r="B173" t="inlineStr">
        <is>
          <t>Andy Jones</t>
        </is>
      </c>
      <c r="C173" t="inlineStr">
        <is>
          <t>Clee Cycles</t>
        </is>
      </c>
      <c r="D173" t="inlineStr">
        <is>
          <t>61</t>
        </is>
      </c>
      <c r="E173">
        <f>HYPERLINK("https://www.britishcycling.org.uk/points?person_id=53816&amp;year=2022&amp;type=national&amp;d=6","Results")</f>
        <v/>
      </c>
    </row>
    <row r="174">
      <c r="A174" t="inlineStr">
        <is>
          <t>173</t>
        </is>
      </c>
      <c r="B174" t="inlineStr">
        <is>
          <t>Mark Remon</t>
        </is>
      </c>
      <c r="C174" t="inlineStr">
        <is>
          <t>Dyson Cycles</t>
        </is>
      </c>
      <c r="D174" t="inlineStr">
        <is>
          <t>61</t>
        </is>
      </c>
      <c r="E174">
        <f>HYPERLINK("https://www.britishcycling.org.uk/points?person_id=218689&amp;year=2022&amp;type=national&amp;d=6","Results")</f>
        <v/>
      </c>
    </row>
    <row r="175">
      <c r="A175" t="inlineStr">
        <is>
          <t>174</t>
        </is>
      </c>
      <c r="B175" t="inlineStr">
        <is>
          <t>Dermot Mckee</t>
        </is>
      </c>
      <c r="C175" t="inlineStr">
        <is>
          <t>Shibden Cycling Club</t>
        </is>
      </c>
      <c r="D175" t="inlineStr">
        <is>
          <t>60</t>
        </is>
      </c>
      <c r="E175">
        <f>HYPERLINK("https://www.britishcycling.org.uk/points?person_id=33380&amp;year=2022&amp;type=national&amp;d=6","Results")</f>
        <v/>
      </c>
    </row>
    <row r="176">
      <c r="A176" t="inlineStr">
        <is>
          <t>175</t>
        </is>
      </c>
      <c r="B176" t="inlineStr">
        <is>
          <t>Tom Phillipson</t>
        </is>
      </c>
      <c r="C176" t="inlineStr">
        <is>
          <t>Fietsen Tempo</t>
        </is>
      </c>
      <c r="D176" t="inlineStr">
        <is>
          <t>59</t>
        </is>
      </c>
      <c r="E176">
        <f>HYPERLINK("https://www.britishcycling.org.uk/points?person_id=250775&amp;year=2022&amp;type=national&amp;d=6","Results")</f>
        <v/>
      </c>
    </row>
    <row r="177">
      <c r="A177" t="inlineStr">
        <is>
          <t>176</t>
        </is>
      </c>
      <c r="B177" t="inlineStr">
        <is>
          <t>Hans van Nierop</t>
        </is>
      </c>
      <c r="C177" t="inlineStr">
        <is>
          <t>Welland Valley CC</t>
        </is>
      </c>
      <c r="D177" t="inlineStr">
        <is>
          <t>59</t>
        </is>
      </c>
      <c r="E177">
        <f>HYPERLINK("https://www.britishcycling.org.uk/points?person_id=25794&amp;year=2022&amp;type=national&amp;d=6","Results")</f>
        <v/>
      </c>
    </row>
    <row r="178">
      <c r="A178" t="inlineStr">
        <is>
          <t>177</t>
        </is>
      </c>
      <c r="B178" t="inlineStr">
        <is>
          <t>Rob Watson</t>
        </is>
      </c>
      <c r="C178" t="inlineStr">
        <is>
          <t>SKCC</t>
        </is>
      </c>
      <c r="D178" t="inlineStr">
        <is>
          <t>59</t>
        </is>
      </c>
      <c r="E178">
        <f>HYPERLINK("https://www.britishcycling.org.uk/points?person_id=314245&amp;year=2022&amp;type=national&amp;d=6","Results")</f>
        <v/>
      </c>
    </row>
    <row r="179">
      <c r="A179" t="inlineStr">
        <is>
          <t>178</t>
        </is>
      </c>
      <c r="B179" t="inlineStr">
        <is>
          <t>Tony Donaldson</t>
        </is>
      </c>
      <c r="C179" t="inlineStr">
        <is>
          <t>Ilkeston Cycle Club</t>
        </is>
      </c>
      <c r="D179" t="inlineStr">
        <is>
          <t>56</t>
        </is>
      </c>
      <c r="E179">
        <f>HYPERLINK("https://www.britishcycling.org.uk/points?person_id=395318&amp;year=2022&amp;type=national&amp;d=6","Results")</f>
        <v/>
      </c>
    </row>
    <row r="180">
      <c r="A180" t="inlineStr">
        <is>
          <t>179</t>
        </is>
      </c>
      <c r="B180" t="inlineStr">
        <is>
          <t>Tyrone Miller</t>
        </is>
      </c>
      <c r="C180" t="inlineStr">
        <is>
          <t>Velo Club Venta</t>
        </is>
      </c>
      <c r="D180" t="inlineStr">
        <is>
          <t>56</t>
        </is>
      </c>
      <c r="E180">
        <f>HYPERLINK("https://www.britishcycling.org.uk/points?person_id=18051&amp;year=2022&amp;type=national&amp;d=6","Results")</f>
        <v/>
      </c>
    </row>
    <row r="181">
      <c r="A181" t="inlineStr">
        <is>
          <t>180</t>
        </is>
      </c>
      <c r="B181" t="inlineStr">
        <is>
          <t>Kevin Larmer</t>
        </is>
      </c>
      <c r="C181" t="inlineStr">
        <is>
          <t>Port Sunlight Wheelers</t>
        </is>
      </c>
      <c r="D181" t="inlineStr">
        <is>
          <t>55</t>
        </is>
      </c>
      <c r="E181">
        <f>HYPERLINK("https://www.britishcycling.org.uk/points?person_id=102996&amp;year=2022&amp;type=national&amp;d=6","Results")</f>
        <v/>
      </c>
    </row>
    <row r="182">
      <c r="A182" t="inlineStr">
        <is>
          <t>181</t>
        </is>
      </c>
      <c r="B182" t="inlineStr">
        <is>
          <t>Christopher Green</t>
        </is>
      </c>
      <c r="C182" t="inlineStr">
        <is>
          <t>Matlock CC</t>
        </is>
      </c>
      <c r="D182" t="inlineStr">
        <is>
          <t>54</t>
        </is>
      </c>
      <c r="E182">
        <f>HYPERLINK("https://www.britishcycling.org.uk/points?person_id=41394&amp;year=2022&amp;type=national&amp;d=6","Results")</f>
        <v/>
      </c>
    </row>
    <row r="183">
      <c r="A183" t="inlineStr">
        <is>
          <t>182</t>
        </is>
      </c>
      <c r="B183" t="inlineStr">
        <is>
          <t>Nicholas Helsing</t>
        </is>
      </c>
      <c r="C183" t="inlineStr">
        <is>
          <t>Exeter Wheelers</t>
        </is>
      </c>
      <c r="D183" t="inlineStr">
        <is>
          <t>54</t>
        </is>
      </c>
      <c r="E183">
        <f>HYPERLINK("https://www.britishcycling.org.uk/points?person_id=124493&amp;year=2022&amp;type=national&amp;d=6","Results")</f>
        <v/>
      </c>
    </row>
    <row r="184">
      <c r="A184" t="inlineStr">
        <is>
          <t>183</t>
        </is>
      </c>
      <c r="B184" t="inlineStr">
        <is>
          <t>Steffan Chandler</t>
        </is>
      </c>
      <c r="C184" t="inlineStr">
        <is>
          <t>Horwich CC</t>
        </is>
      </c>
      <c r="D184" t="inlineStr">
        <is>
          <t>53</t>
        </is>
      </c>
      <c r="E184">
        <f>HYPERLINK("https://www.britishcycling.org.uk/points?person_id=54570&amp;year=2022&amp;type=national&amp;d=6","Results")</f>
        <v/>
      </c>
    </row>
    <row r="185">
      <c r="A185" t="inlineStr">
        <is>
          <t>184</t>
        </is>
      </c>
      <c r="B185" t="inlineStr">
        <is>
          <t>Jim Davies</t>
        </is>
      </c>
      <c r="C185" t="inlineStr">
        <is>
          <t>Kendal Cycle Club</t>
        </is>
      </c>
      <c r="D185" t="inlineStr">
        <is>
          <t>53</t>
        </is>
      </c>
      <c r="E185">
        <f>HYPERLINK("https://www.britishcycling.org.uk/points?person_id=735728&amp;year=2022&amp;type=national&amp;d=6","Results")</f>
        <v/>
      </c>
    </row>
    <row r="186">
      <c r="A186" t="inlineStr">
        <is>
          <t>185</t>
        </is>
      </c>
      <c r="B186" t="inlineStr">
        <is>
          <t>Warren Drew</t>
        </is>
      </c>
      <c r="C186" t="inlineStr">
        <is>
          <t>Rapha Cycling Club</t>
        </is>
      </c>
      <c r="D186" t="inlineStr">
        <is>
          <t>53</t>
        </is>
      </c>
      <c r="E186">
        <f>HYPERLINK("https://www.britishcycling.org.uk/points?person_id=187608&amp;year=2022&amp;type=national&amp;d=6","Results")</f>
        <v/>
      </c>
    </row>
    <row r="187">
      <c r="A187" t="inlineStr">
        <is>
          <t>186</t>
        </is>
      </c>
      <c r="B187" t="inlineStr">
        <is>
          <t>Adam Ellis</t>
        </is>
      </c>
      <c r="C187" t="inlineStr">
        <is>
          <t>Spalding Cycling Club</t>
        </is>
      </c>
      <c r="D187" t="inlineStr">
        <is>
          <t>53</t>
        </is>
      </c>
      <c r="E187">
        <f>HYPERLINK("https://www.britishcycling.org.uk/points?person_id=19713&amp;year=2022&amp;type=national&amp;d=6","Results")</f>
        <v/>
      </c>
    </row>
    <row r="188">
      <c r="A188" t="inlineStr">
        <is>
          <t>187</t>
        </is>
      </c>
      <c r="B188" t="inlineStr">
        <is>
          <t>Doug Hart</t>
        </is>
      </c>
      <c r="C188" t="inlineStr">
        <is>
          <t>Ilkley Cycling Club</t>
        </is>
      </c>
      <c r="D188" t="inlineStr">
        <is>
          <t>52</t>
        </is>
      </c>
      <c r="E188">
        <f>HYPERLINK("https://www.britishcycling.org.uk/points?person_id=74934&amp;year=2022&amp;type=national&amp;d=6","Results")</f>
        <v/>
      </c>
    </row>
    <row r="189">
      <c r="A189" t="inlineStr">
        <is>
          <t>188</t>
        </is>
      </c>
      <c r="B189" t="inlineStr">
        <is>
          <t>Mark Jay</t>
        </is>
      </c>
      <c r="C189" t="inlineStr"/>
      <c r="D189" t="inlineStr">
        <is>
          <t>52</t>
        </is>
      </c>
      <c r="E189">
        <f>HYPERLINK("https://www.britishcycling.org.uk/points?person_id=766167&amp;year=2022&amp;type=national&amp;d=6","Results")</f>
        <v/>
      </c>
    </row>
    <row r="190">
      <c r="A190" t="inlineStr">
        <is>
          <t>189</t>
        </is>
      </c>
      <c r="B190" t="inlineStr">
        <is>
          <t>Mark Stone</t>
        </is>
      </c>
      <c r="C190" t="inlineStr"/>
      <c r="D190" t="inlineStr">
        <is>
          <t>50</t>
        </is>
      </c>
      <c r="E190">
        <f>HYPERLINK("https://www.britishcycling.org.uk/points?person_id=54115&amp;year=2022&amp;type=national&amp;d=6","Results")</f>
        <v/>
      </c>
    </row>
    <row r="191">
      <c r="A191" t="inlineStr">
        <is>
          <t>190</t>
        </is>
      </c>
      <c r="B191" t="inlineStr">
        <is>
          <t>David Hobbs</t>
        </is>
      </c>
      <c r="C191" t="inlineStr">
        <is>
          <t>Cotswold Veldrijden</t>
        </is>
      </c>
      <c r="D191" t="inlineStr">
        <is>
          <t>49</t>
        </is>
      </c>
      <c r="E191">
        <f>HYPERLINK("https://www.britishcycling.org.uk/points?person_id=106141&amp;year=2022&amp;type=national&amp;d=6","Results")</f>
        <v/>
      </c>
    </row>
    <row r="192">
      <c r="A192" t="inlineStr">
        <is>
          <t>191</t>
        </is>
      </c>
      <c r="B192" t="inlineStr">
        <is>
          <t>Kenny Kentley</t>
        </is>
      </c>
      <c r="C192" t="inlineStr">
        <is>
          <t>Velocity 44 RT</t>
        </is>
      </c>
      <c r="D192" t="inlineStr">
        <is>
          <t>49</t>
        </is>
      </c>
      <c r="E192">
        <f>HYPERLINK("https://www.britishcycling.org.uk/points?person_id=5610&amp;year=2022&amp;type=national&amp;d=6","Results")</f>
        <v/>
      </c>
    </row>
    <row r="193">
      <c r="A193" t="inlineStr">
        <is>
          <t>192</t>
        </is>
      </c>
      <c r="B193" t="inlineStr">
        <is>
          <t>Dion Thomas</t>
        </is>
      </c>
      <c r="C193" t="inlineStr"/>
      <c r="D193" t="inlineStr">
        <is>
          <t>49</t>
        </is>
      </c>
      <c r="E193">
        <f>HYPERLINK("https://www.britishcycling.org.uk/points?person_id=238805&amp;year=2022&amp;type=national&amp;d=6","Results")</f>
        <v/>
      </c>
    </row>
    <row r="194">
      <c r="A194" t="inlineStr">
        <is>
          <t>193</t>
        </is>
      </c>
      <c r="B194" t="inlineStr">
        <is>
          <t>Norman Blissett</t>
        </is>
      </c>
      <c r="C194" t="inlineStr">
        <is>
          <t>trainSharp Club</t>
        </is>
      </c>
      <c r="D194" t="inlineStr">
        <is>
          <t>48</t>
        </is>
      </c>
      <c r="E194">
        <f>HYPERLINK("https://www.britishcycling.org.uk/points?person_id=303195&amp;year=2022&amp;type=national&amp;d=6","Results")</f>
        <v/>
      </c>
    </row>
    <row r="195">
      <c r="A195" t="inlineStr">
        <is>
          <t>194</t>
        </is>
      </c>
      <c r="B195" t="inlineStr">
        <is>
          <t>Roger Chamberlain</t>
        </is>
      </c>
      <c r="C195" t="inlineStr">
        <is>
          <t>VCEquipe-FlixOralHygiene-Propulse</t>
        </is>
      </c>
      <c r="D195" t="inlineStr">
        <is>
          <t>48</t>
        </is>
      </c>
      <c r="E195">
        <f>HYPERLINK("https://www.britishcycling.org.uk/points?person_id=58499&amp;year=2022&amp;type=national&amp;d=6","Results")</f>
        <v/>
      </c>
    </row>
    <row r="196">
      <c r="A196" t="inlineStr">
        <is>
          <t>195</t>
        </is>
      </c>
      <c r="B196" t="inlineStr">
        <is>
          <t>Scott Anderson</t>
        </is>
      </c>
      <c r="C196" t="inlineStr">
        <is>
          <t>Royal Albert CC</t>
        </is>
      </c>
      <c r="D196" t="inlineStr">
        <is>
          <t>46</t>
        </is>
      </c>
      <c r="E196">
        <f>HYPERLINK("https://www.britishcycling.org.uk/points?person_id=10301&amp;year=2022&amp;type=national&amp;d=6","Results")</f>
        <v/>
      </c>
    </row>
    <row r="197">
      <c r="A197" t="inlineStr">
        <is>
          <t>196</t>
        </is>
      </c>
      <c r="B197" t="inlineStr">
        <is>
          <t>Andrew Stokes</t>
        </is>
      </c>
      <c r="C197" t="inlineStr">
        <is>
          <t>Buxton CC - Sett Valley Cycles</t>
        </is>
      </c>
      <c r="D197" t="inlineStr">
        <is>
          <t>46</t>
        </is>
      </c>
      <c r="E197">
        <f>HYPERLINK("https://www.britishcycling.org.uk/points?person_id=526187&amp;year=2022&amp;type=national&amp;d=6","Results")</f>
        <v/>
      </c>
    </row>
    <row r="198">
      <c r="A198" t="inlineStr">
        <is>
          <t>197</t>
        </is>
      </c>
      <c r="B198" t="inlineStr">
        <is>
          <t>Paul Anderson</t>
        </is>
      </c>
      <c r="C198" t="inlineStr">
        <is>
          <t>Spokes Racing Team</t>
        </is>
      </c>
      <c r="D198" t="inlineStr">
        <is>
          <t>45</t>
        </is>
      </c>
      <c r="E198">
        <f>HYPERLINK("https://www.britishcycling.org.uk/points?person_id=59345&amp;year=2022&amp;type=national&amp;d=6","Results")</f>
        <v/>
      </c>
    </row>
    <row r="199">
      <c r="A199" t="inlineStr">
        <is>
          <t>198</t>
        </is>
      </c>
      <c r="B199" t="inlineStr">
        <is>
          <t>Darren Armstrong</t>
        </is>
      </c>
      <c r="C199" t="inlineStr">
        <is>
          <t>North Devon Velo</t>
        </is>
      </c>
      <c r="D199" t="inlineStr">
        <is>
          <t>45</t>
        </is>
      </c>
      <c r="E199">
        <f>HYPERLINK("https://www.britishcycling.org.uk/points?person_id=226574&amp;year=2022&amp;type=national&amp;d=6","Results")</f>
        <v/>
      </c>
    </row>
    <row r="200">
      <c r="A200" t="inlineStr">
        <is>
          <t>199</t>
        </is>
      </c>
      <c r="B200" t="inlineStr">
        <is>
          <t>Kevin Dawson</t>
        </is>
      </c>
      <c r="C200" t="inlineStr">
        <is>
          <t>RTD - J'sCycleShack</t>
        </is>
      </c>
      <c r="D200" t="inlineStr">
        <is>
          <t>45</t>
        </is>
      </c>
      <c r="E200">
        <f>HYPERLINK("https://www.britishcycling.org.uk/points?person_id=65684&amp;year=2022&amp;type=national&amp;d=6","Results")</f>
        <v/>
      </c>
    </row>
    <row r="201">
      <c r="A201" t="inlineStr">
        <is>
          <t>200</t>
        </is>
      </c>
      <c r="B201" t="inlineStr">
        <is>
          <t>Bryan Holland</t>
        </is>
      </c>
      <c r="C201" t="inlineStr">
        <is>
          <t>North Road CC</t>
        </is>
      </c>
      <c r="D201" t="inlineStr">
        <is>
          <t>45</t>
        </is>
      </c>
      <c r="E201">
        <f>HYPERLINK("https://www.britishcycling.org.uk/points?person_id=209264&amp;year=2022&amp;type=national&amp;d=6","Results")</f>
        <v/>
      </c>
    </row>
    <row r="202">
      <c r="A202" t="inlineStr">
        <is>
          <t>201</t>
        </is>
      </c>
      <c r="B202" t="inlineStr">
        <is>
          <t>James Smith</t>
        </is>
      </c>
      <c r="C202" t="inlineStr"/>
      <c r="D202" t="inlineStr">
        <is>
          <t>45</t>
        </is>
      </c>
      <c r="E202">
        <f>HYPERLINK("https://www.britishcycling.org.uk/points?person_id=688784&amp;year=2022&amp;type=national&amp;d=6","Results")</f>
        <v/>
      </c>
    </row>
    <row r="203">
      <c r="A203" t="inlineStr">
        <is>
          <t>202</t>
        </is>
      </c>
      <c r="B203" t="inlineStr">
        <is>
          <t>Victor Allan</t>
        </is>
      </c>
      <c r="C203" t="inlineStr">
        <is>
          <t>Deeside Thistle CC</t>
        </is>
      </c>
      <c r="D203" t="inlineStr">
        <is>
          <t>44</t>
        </is>
      </c>
      <c r="E203">
        <f>HYPERLINK("https://www.britishcycling.org.uk/points?person_id=299937&amp;year=2022&amp;type=national&amp;d=6","Results")</f>
        <v/>
      </c>
    </row>
    <row r="204">
      <c r="A204" t="inlineStr">
        <is>
          <t>203</t>
        </is>
      </c>
      <c r="B204" t="inlineStr">
        <is>
          <t>Douglas Bradshaw</t>
        </is>
      </c>
      <c r="C204" t="inlineStr">
        <is>
          <t>Cambridge CC</t>
        </is>
      </c>
      <c r="D204" t="inlineStr">
        <is>
          <t>43</t>
        </is>
      </c>
      <c r="E204">
        <f>HYPERLINK("https://www.britishcycling.org.uk/points?person_id=4033&amp;year=2022&amp;type=national&amp;d=6","Results")</f>
        <v/>
      </c>
    </row>
    <row r="205">
      <c r="A205" t="inlineStr">
        <is>
          <t>204</t>
        </is>
      </c>
      <c r="B205" t="inlineStr">
        <is>
          <t>Gareth Richards</t>
        </is>
      </c>
      <c r="C205" t="inlineStr">
        <is>
          <t>Spalding Cycling Club</t>
        </is>
      </c>
      <c r="D205" t="inlineStr">
        <is>
          <t>43</t>
        </is>
      </c>
      <c r="E205">
        <f>HYPERLINK("https://www.britishcycling.org.uk/points?person_id=129116&amp;year=2022&amp;type=national&amp;d=6","Results")</f>
        <v/>
      </c>
    </row>
    <row r="206">
      <c r="A206" t="inlineStr">
        <is>
          <t>205</t>
        </is>
      </c>
      <c r="B206" t="inlineStr">
        <is>
          <t>Lloyd Bettles</t>
        </is>
      </c>
      <c r="C206" t="inlineStr">
        <is>
          <t>Numplumz Mountainbikers</t>
        </is>
      </c>
      <c r="D206" t="inlineStr">
        <is>
          <t>42</t>
        </is>
      </c>
      <c r="E206">
        <f>HYPERLINK("https://www.britishcycling.org.uk/points?person_id=3940&amp;year=2022&amp;type=national&amp;d=6","Results")</f>
        <v/>
      </c>
    </row>
    <row r="207">
      <c r="A207" t="inlineStr">
        <is>
          <t>206</t>
        </is>
      </c>
      <c r="B207" t="inlineStr">
        <is>
          <t>Dominic Watts</t>
        </is>
      </c>
      <c r="C207" t="inlineStr">
        <is>
          <t>Bolsover &amp; District Cycling Club</t>
        </is>
      </c>
      <c r="D207" t="inlineStr">
        <is>
          <t>42</t>
        </is>
      </c>
      <c r="E207">
        <f>HYPERLINK("https://www.britishcycling.org.uk/points?person_id=11372&amp;year=2022&amp;type=national&amp;d=6","Results")</f>
        <v/>
      </c>
    </row>
    <row r="208">
      <c r="A208" t="inlineStr">
        <is>
          <t>207</t>
        </is>
      </c>
      <c r="B208" t="inlineStr">
        <is>
          <t>Roy Jones</t>
        </is>
      </c>
      <c r="C208" t="inlineStr">
        <is>
          <t>Velo Club Montpellier</t>
        </is>
      </c>
      <c r="D208" t="inlineStr">
        <is>
          <t>41</t>
        </is>
      </c>
      <c r="E208">
        <f>HYPERLINK("https://www.britishcycling.org.uk/points?person_id=6532&amp;year=2022&amp;type=national&amp;d=6","Results")</f>
        <v/>
      </c>
    </row>
    <row r="209">
      <c r="A209" t="inlineStr">
        <is>
          <t>208</t>
        </is>
      </c>
      <c r="B209" t="inlineStr">
        <is>
          <t>Andrew Powers</t>
        </is>
      </c>
      <c r="C209" t="inlineStr"/>
      <c r="D209" t="inlineStr">
        <is>
          <t>41</t>
        </is>
      </c>
      <c r="E209">
        <f>HYPERLINK("https://www.britishcycling.org.uk/points?person_id=13565&amp;year=2022&amp;type=national&amp;d=6","Results")</f>
        <v/>
      </c>
    </row>
    <row r="210">
      <c r="A210" t="inlineStr">
        <is>
          <t>209</t>
        </is>
      </c>
      <c r="B210" t="inlineStr">
        <is>
          <t>Paul Conneely</t>
        </is>
      </c>
      <c r="C210" t="inlineStr">
        <is>
          <t>Witham Wheelers Cycling Club</t>
        </is>
      </c>
      <c r="D210" t="inlineStr">
        <is>
          <t>40</t>
        </is>
      </c>
      <c r="E210">
        <f>HYPERLINK("https://www.britishcycling.org.uk/points?person_id=11756&amp;year=2022&amp;type=national&amp;d=6","Results")</f>
        <v/>
      </c>
    </row>
    <row r="211">
      <c r="A211" t="inlineStr">
        <is>
          <t>210</t>
        </is>
      </c>
      <c r="B211" t="inlineStr">
        <is>
          <t>Paul James</t>
        </is>
      </c>
      <c r="C211" t="inlineStr">
        <is>
          <t>Crawley Wheelers Race Team</t>
        </is>
      </c>
      <c r="D211" t="inlineStr">
        <is>
          <t>40</t>
        </is>
      </c>
      <c r="E211">
        <f>HYPERLINK("https://www.britishcycling.org.uk/points?person_id=33795&amp;year=2022&amp;type=national&amp;d=6","Results")</f>
        <v/>
      </c>
    </row>
    <row r="212">
      <c r="A212" t="inlineStr">
        <is>
          <t>211</t>
        </is>
      </c>
      <c r="B212" t="inlineStr">
        <is>
          <t>Brian Kiernan</t>
        </is>
      </c>
      <c r="C212" t="inlineStr">
        <is>
          <t>Cardiff Ajax CC</t>
        </is>
      </c>
      <c r="D212" t="inlineStr">
        <is>
          <t>40</t>
        </is>
      </c>
      <c r="E212">
        <f>HYPERLINK("https://www.britishcycling.org.uk/points?person_id=381251&amp;year=2022&amp;type=national&amp;d=6","Results")</f>
        <v/>
      </c>
    </row>
    <row r="213">
      <c r="A213" t="inlineStr">
        <is>
          <t>212</t>
        </is>
      </c>
      <c r="B213" t="inlineStr">
        <is>
          <t>Kurt Minter</t>
        </is>
      </c>
      <c r="C213" t="inlineStr"/>
      <c r="D213" t="inlineStr">
        <is>
          <t>40</t>
        </is>
      </c>
      <c r="E213">
        <f>HYPERLINK("https://www.britishcycling.org.uk/points?person_id=190916&amp;year=2022&amp;type=national&amp;d=6","Results")</f>
        <v/>
      </c>
    </row>
    <row r="214">
      <c r="A214" t="inlineStr">
        <is>
          <t>213</t>
        </is>
      </c>
      <c r="B214" t="inlineStr">
        <is>
          <t>Timothy Peters</t>
        </is>
      </c>
      <c r="C214" t="inlineStr">
        <is>
          <t>Horsham Cycling</t>
        </is>
      </c>
      <c r="D214" t="inlineStr">
        <is>
          <t>39</t>
        </is>
      </c>
      <c r="E214">
        <f>HYPERLINK("https://www.britishcycling.org.uk/points?person_id=644675&amp;year=2022&amp;type=national&amp;d=6","Results")</f>
        <v/>
      </c>
    </row>
    <row r="215">
      <c r="A215" t="inlineStr">
        <is>
          <t>214</t>
        </is>
      </c>
      <c r="B215" t="inlineStr">
        <is>
          <t>Thomas Bardgett</t>
        </is>
      </c>
      <c r="C215" t="inlineStr">
        <is>
          <t>www.cyclocrossrider.com</t>
        </is>
      </c>
      <c r="D215" t="inlineStr">
        <is>
          <t>38</t>
        </is>
      </c>
      <c r="E215">
        <f>HYPERLINK("https://www.britishcycling.org.uk/points?person_id=17101&amp;year=2022&amp;type=national&amp;d=6","Results")</f>
        <v/>
      </c>
    </row>
    <row r="216">
      <c r="A216" t="inlineStr">
        <is>
          <t>215</t>
        </is>
      </c>
      <c r="B216" t="inlineStr">
        <is>
          <t>Nik Allen</t>
        </is>
      </c>
      <c r="C216" t="inlineStr">
        <is>
          <t>Team TMC - Strada Wheels</t>
        </is>
      </c>
      <c r="D216" t="inlineStr">
        <is>
          <t>37</t>
        </is>
      </c>
      <c r="E216">
        <f>HYPERLINK("https://www.britishcycling.org.uk/points?person_id=684866&amp;year=2022&amp;type=national&amp;d=6","Results")</f>
        <v/>
      </c>
    </row>
    <row r="217">
      <c r="A217" t="inlineStr">
        <is>
          <t>216</t>
        </is>
      </c>
      <c r="B217" t="inlineStr">
        <is>
          <t>Sean MacConnamara</t>
        </is>
      </c>
      <c r="C217" t="inlineStr">
        <is>
          <t>Team Jewson-M.I.Racing</t>
        </is>
      </c>
      <c r="D217" t="inlineStr">
        <is>
          <t>37</t>
        </is>
      </c>
      <c r="E217">
        <f>HYPERLINK("https://www.britishcycling.org.uk/points?person_id=279613&amp;year=2022&amp;type=national&amp;d=6","Results")</f>
        <v/>
      </c>
    </row>
    <row r="218">
      <c r="A218" t="inlineStr">
        <is>
          <t>217</t>
        </is>
      </c>
      <c r="B218" t="inlineStr">
        <is>
          <t>John Jones</t>
        </is>
      </c>
      <c r="C218" t="inlineStr">
        <is>
          <t>Verulam - reallymoving.com</t>
        </is>
      </c>
      <c r="D218" t="inlineStr">
        <is>
          <t>36</t>
        </is>
      </c>
      <c r="E218">
        <f>HYPERLINK("https://www.britishcycling.org.uk/points?person_id=244886&amp;year=2022&amp;type=national&amp;d=6","Results")</f>
        <v/>
      </c>
    </row>
    <row r="219">
      <c r="A219" t="inlineStr">
        <is>
          <t>218</t>
        </is>
      </c>
      <c r="B219" t="inlineStr">
        <is>
          <t>Matt Norris</t>
        </is>
      </c>
      <c r="C219" t="inlineStr">
        <is>
          <t>SRCT MUC-OFF</t>
        </is>
      </c>
      <c r="D219" t="inlineStr">
        <is>
          <t>36</t>
        </is>
      </c>
      <c r="E219">
        <f>HYPERLINK("https://www.britishcycling.org.uk/points?person_id=881032&amp;year=2022&amp;type=national&amp;d=6","Results")</f>
        <v/>
      </c>
    </row>
    <row r="220">
      <c r="A220" t="inlineStr">
        <is>
          <t>219</t>
        </is>
      </c>
      <c r="B220" t="inlineStr">
        <is>
          <t>Damien Slorach</t>
        </is>
      </c>
      <c r="C220" t="inlineStr">
        <is>
          <t>Leslie Bike Shop-Bikers Boutique</t>
        </is>
      </c>
      <c r="D220" t="inlineStr">
        <is>
          <t>36</t>
        </is>
      </c>
      <c r="E220">
        <f>HYPERLINK("https://www.britishcycling.org.uk/points?person_id=19007&amp;year=2022&amp;type=national&amp;d=6","Results")</f>
        <v/>
      </c>
    </row>
    <row r="221">
      <c r="A221" t="inlineStr">
        <is>
          <t>220</t>
        </is>
      </c>
      <c r="B221" t="inlineStr">
        <is>
          <t>Ashley Coups</t>
        </is>
      </c>
      <c r="C221" t="inlineStr">
        <is>
          <t>C and N Cycles RT</t>
        </is>
      </c>
      <c r="D221" t="inlineStr">
        <is>
          <t>35</t>
        </is>
      </c>
      <c r="E221">
        <f>HYPERLINK("https://www.britishcycling.org.uk/points?person_id=386973&amp;year=2022&amp;type=national&amp;d=6","Results")</f>
        <v/>
      </c>
    </row>
    <row r="222">
      <c r="A222" t="inlineStr">
        <is>
          <t>221</t>
        </is>
      </c>
      <c r="B222" t="inlineStr">
        <is>
          <t>Ian Jones</t>
        </is>
      </c>
      <c r="C222" t="inlineStr"/>
      <c r="D222" t="inlineStr">
        <is>
          <t>35</t>
        </is>
      </c>
      <c r="E222">
        <f>HYPERLINK("https://www.britishcycling.org.uk/points?person_id=284815&amp;year=2022&amp;type=national&amp;d=6","Results")</f>
        <v/>
      </c>
    </row>
    <row r="223">
      <c r="A223" t="inlineStr">
        <is>
          <t>222</t>
        </is>
      </c>
      <c r="B223" t="inlineStr">
        <is>
          <t>David Whittle</t>
        </is>
      </c>
      <c r="C223" t="inlineStr">
        <is>
          <t>Bicester Millennium CC</t>
        </is>
      </c>
      <c r="D223" t="inlineStr">
        <is>
          <t>35</t>
        </is>
      </c>
      <c r="E223">
        <f>HYPERLINK("https://www.britishcycling.org.uk/points?person_id=420875&amp;year=2022&amp;type=national&amp;d=6","Results")</f>
        <v/>
      </c>
    </row>
    <row r="224">
      <c r="A224" t="inlineStr">
        <is>
          <t>223</t>
        </is>
      </c>
      <c r="B224" t="inlineStr">
        <is>
          <t>Gary Curtis</t>
        </is>
      </c>
      <c r="C224" t="inlineStr">
        <is>
          <t>Epic Orange Race Team</t>
        </is>
      </c>
      <c r="D224" t="inlineStr">
        <is>
          <t>34</t>
        </is>
      </c>
      <c r="E224">
        <f>HYPERLINK("https://www.britishcycling.org.uk/points?person_id=334555&amp;year=2022&amp;type=national&amp;d=6","Results")</f>
        <v/>
      </c>
    </row>
    <row r="225">
      <c r="A225" t="inlineStr">
        <is>
          <t>224</t>
        </is>
      </c>
      <c r="B225" t="inlineStr">
        <is>
          <t>Jeremy Harrold</t>
        </is>
      </c>
      <c r="C225" t="inlineStr">
        <is>
          <t>Bridgnorth Cycling Club</t>
        </is>
      </c>
      <c r="D225" t="inlineStr">
        <is>
          <t>34</t>
        </is>
      </c>
      <c r="E225">
        <f>HYPERLINK("https://www.britishcycling.org.uk/points?person_id=980719&amp;year=2022&amp;type=national&amp;d=6","Results")</f>
        <v/>
      </c>
    </row>
    <row r="226">
      <c r="A226" t="inlineStr">
        <is>
          <t>225</t>
        </is>
      </c>
      <c r="B226" t="inlineStr">
        <is>
          <t>Joseph Heywood</t>
        </is>
      </c>
      <c r="C226" t="inlineStr">
        <is>
          <t>Horwich CC</t>
        </is>
      </c>
      <c r="D226" t="inlineStr">
        <is>
          <t>34</t>
        </is>
      </c>
      <c r="E226">
        <f>HYPERLINK("https://www.britishcycling.org.uk/points?person_id=73634&amp;year=2022&amp;type=national&amp;d=6","Results")</f>
        <v/>
      </c>
    </row>
    <row r="227">
      <c r="A227" t="inlineStr">
        <is>
          <t>226</t>
        </is>
      </c>
      <c r="B227" t="inlineStr">
        <is>
          <t>Keith Law</t>
        </is>
      </c>
      <c r="C227" t="inlineStr">
        <is>
          <t>Lakes RC</t>
        </is>
      </c>
      <c r="D227" t="inlineStr">
        <is>
          <t>34</t>
        </is>
      </c>
      <c r="E227">
        <f>HYPERLINK("https://www.britishcycling.org.uk/points?person_id=456234&amp;year=2022&amp;type=national&amp;d=6","Results")</f>
        <v/>
      </c>
    </row>
    <row r="228">
      <c r="A228" t="inlineStr">
        <is>
          <t>227</t>
        </is>
      </c>
      <c r="B228" t="inlineStr">
        <is>
          <t>George Roberts</t>
        </is>
      </c>
      <c r="C228" t="inlineStr">
        <is>
          <t>VC Glasgow South</t>
        </is>
      </c>
      <c r="D228" t="inlineStr">
        <is>
          <t>34</t>
        </is>
      </c>
      <c r="E228">
        <f>HYPERLINK("https://www.britishcycling.org.uk/points?person_id=105111&amp;year=2022&amp;type=national&amp;d=6","Results")</f>
        <v/>
      </c>
    </row>
    <row r="229">
      <c r="A229" t="inlineStr">
        <is>
          <t>228</t>
        </is>
      </c>
      <c r="B229" t="inlineStr">
        <is>
          <t>Gerard Scott</t>
        </is>
      </c>
      <c r="C229" t="inlineStr">
        <is>
          <t>Royal Leamington Spa CC (RLSCC)</t>
        </is>
      </c>
      <c r="D229" t="inlineStr">
        <is>
          <t>34</t>
        </is>
      </c>
      <c r="E229">
        <f>HYPERLINK("https://www.britishcycling.org.uk/points?person_id=408218&amp;year=2022&amp;type=national&amp;d=6","Results")</f>
        <v/>
      </c>
    </row>
    <row r="230">
      <c r="A230" t="inlineStr">
        <is>
          <t>229</t>
        </is>
      </c>
      <c r="B230" t="inlineStr">
        <is>
          <t>Edward Kelsall</t>
        </is>
      </c>
      <c r="C230" t="inlineStr">
        <is>
          <t>Hull Thursday RC</t>
        </is>
      </c>
      <c r="D230" t="inlineStr">
        <is>
          <t>33</t>
        </is>
      </c>
      <c r="E230">
        <f>HYPERLINK("https://www.britishcycling.org.uk/points?person_id=248758&amp;year=2022&amp;type=national&amp;d=6","Results")</f>
        <v/>
      </c>
    </row>
    <row r="231">
      <c r="A231" t="inlineStr">
        <is>
          <t>230</t>
        </is>
      </c>
      <c r="B231" t="inlineStr">
        <is>
          <t>David Menzies</t>
        </is>
      </c>
      <c r="C231" t="inlineStr">
        <is>
          <t>Aberdeen Wheelers Cycling Club</t>
        </is>
      </c>
      <c r="D231" t="inlineStr">
        <is>
          <t>33</t>
        </is>
      </c>
      <c r="E231">
        <f>HYPERLINK("https://www.britishcycling.org.uk/points?person_id=15030&amp;year=2022&amp;type=national&amp;d=6","Results")</f>
        <v/>
      </c>
    </row>
    <row r="232">
      <c r="A232" t="inlineStr">
        <is>
          <t>231</t>
        </is>
      </c>
      <c r="B232" t="inlineStr">
        <is>
          <t>Gary Strickland</t>
        </is>
      </c>
      <c r="C232" t="inlineStr">
        <is>
          <t>VC Long Eaton</t>
        </is>
      </c>
      <c r="D232" t="inlineStr">
        <is>
          <t>33</t>
        </is>
      </c>
      <c r="E232">
        <f>HYPERLINK("https://www.britishcycling.org.uk/points?person_id=33107&amp;year=2022&amp;type=national&amp;d=6","Results")</f>
        <v/>
      </c>
    </row>
    <row r="233">
      <c r="A233" t="inlineStr">
        <is>
          <t>232</t>
        </is>
      </c>
      <c r="B233" t="inlineStr">
        <is>
          <t>Russell Gordon</t>
        </is>
      </c>
      <c r="C233" t="inlineStr">
        <is>
          <t>Clifton CC</t>
        </is>
      </c>
      <c r="D233" t="inlineStr">
        <is>
          <t>32</t>
        </is>
      </c>
      <c r="E233">
        <f>HYPERLINK("https://www.britishcycling.org.uk/points?person_id=377253&amp;year=2022&amp;type=national&amp;d=6","Results")</f>
        <v/>
      </c>
    </row>
    <row r="234">
      <c r="A234" t="inlineStr">
        <is>
          <t>233</t>
        </is>
      </c>
      <c r="B234" t="inlineStr">
        <is>
          <t>Adrian Hoyle</t>
        </is>
      </c>
      <c r="C234" t="inlineStr">
        <is>
          <t>Royal Air Force CA</t>
        </is>
      </c>
      <c r="D234" t="inlineStr">
        <is>
          <t>32</t>
        </is>
      </c>
      <c r="E234">
        <f>HYPERLINK("https://www.britishcycling.org.uk/points?person_id=73229&amp;year=2022&amp;type=national&amp;d=6","Results")</f>
        <v/>
      </c>
    </row>
    <row r="235">
      <c r="A235" t="inlineStr">
        <is>
          <t>234</t>
        </is>
      </c>
      <c r="B235" t="inlineStr">
        <is>
          <t>Adrian Lyons</t>
        </is>
      </c>
      <c r="C235" t="inlineStr">
        <is>
          <t>GS Invicta-ELO-Herberts Cycles</t>
        </is>
      </c>
      <c r="D235" t="inlineStr">
        <is>
          <t>32</t>
        </is>
      </c>
      <c r="E235">
        <f>HYPERLINK("https://www.britishcycling.org.uk/points?person_id=23622&amp;year=2022&amp;type=national&amp;d=6","Results")</f>
        <v/>
      </c>
    </row>
    <row r="236">
      <c r="A236" t="inlineStr">
        <is>
          <t>235</t>
        </is>
      </c>
      <c r="B236" t="inlineStr">
        <is>
          <t>John McDowall</t>
        </is>
      </c>
      <c r="C236" t="inlineStr">
        <is>
          <t>North Road CC</t>
        </is>
      </c>
      <c r="D236" t="inlineStr">
        <is>
          <t>32</t>
        </is>
      </c>
      <c r="E236">
        <f>HYPERLINK("https://www.britishcycling.org.uk/points?person_id=5332&amp;year=2022&amp;type=national&amp;d=6","Results")</f>
        <v/>
      </c>
    </row>
    <row r="237">
      <c r="A237" t="inlineStr">
        <is>
          <t>236</t>
        </is>
      </c>
      <c r="B237" t="inlineStr">
        <is>
          <t>Mark Barnett</t>
        </is>
      </c>
      <c r="C237" t="inlineStr">
        <is>
          <t>Leslie Bike Shop-Bikers Boutique</t>
        </is>
      </c>
      <c r="D237" t="inlineStr">
        <is>
          <t>30</t>
        </is>
      </c>
      <c r="E237">
        <f>HYPERLINK("https://www.britishcycling.org.uk/points?person_id=103548&amp;year=2022&amp;type=national&amp;d=6","Results")</f>
        <v/>
      </c>
    </row>
    <row r="238">
      <c r="A238" t="inlineStr">
        <is>
          <t>237</t>
        </is>
      </c>
      <c r="B238" t="inlineStr">
        <is>
          <t>Stephen Crawford</t>
        </is>
      </c>
      <c r="C238" t="inlineStr">
        <is>
          <t>Dunfermline CC</t>
        </is>
      </c>
      <c r="D238" t="inlineStr">
        <is>
          <t>30</t>
        </is>
      </c>
      <c r="E238">
        <f>HYPERLINK("https://www.britishcycling.org.uk/points?person_id=439944&amp;year=2022&amp;type=national&amp;d=6","Results")</f>
        <v/>
      </c>
    </row>
    <row r="239">
      <c r="A239" t="inlineStr">
        <is>
          <t>238</t>
        </is>
      </c>
      <c r="B239" t="inlineStr">
        <is>
          <t>David Lindsay</t>
        </is>
      </c>
      <c r="C239" t="inlineStr">
        <is>
          <t>Musselburgh RCC</t>
        </is>
      </c>
      <c r="D239" t="inlineStr">
        <is>
          <t>30</t>
        </is>
      </c>
      <c r="E239">
        <f>HYPERLINK("https://www.britishcycling.org.uk/points?person_id=54665&amp;year=2022&amp;type=national&amp;d=6","Results")</f>
        <v/>
      </c>
    </row>
    <row r="240">
      <c r="A240" t="inlineStr">
        <is>
          <t>239</t>
        </is>
      </c>
      <c r="B240" t="inlineStr">
        <is>
          <t>David Jennaway</t>
        </is>
      </c>
      <c r="C240" t="inlineStr"/>
      <c r="D240" t="inlineStr">
        <is>
          <t>29</t>
        </is>
      </c>
      <c r="E240">
        <f>HYPERLINK("https://www.britishcycling.org.uk/points?person_id=101067&amp;year=2022&amp;type=national&amp;d=6","Results")</f>
        <v/>
      </c>
    </row>
    <row r="241">
      <c r="A241" t="inlineStr">
        <is>
          <t>240</t>
        </is>
      </c>
      <c r="B241" t="inlineStr">
        <is>
          <t>Richard House</t>
        </is>
      </c>
      <c r="C241" t="inlineStr">
        <is>
          <t>WarVena Racing Team</t>
        </is>
      </c>
      <c r="D241" t="inlineStr">
        <is>
          <t>28</t>
        </is>
      </c>
      <c r="E241">
        <f>HYPERLINK("https://www.britishcycling.org.uk/points?person_id=124029&amp;year=2022&amp;type=national&amp;d=6","Results")</f>
        <v/>
      </c>
    </row>
    <row r="242">
      <c r="A242" t="inlineStr">
        <is>
          <t>241</t>
        </is>
      </c>
      <c r="B242" t="inlineStr">
        <is>
          <t>Andrew Robbins</t>
        </is>
      </c>
      <c r="C242" t="inlineStr">
        <is>
          <t>Velo Club Walcot</t>
        </is>
      </c>
      <c r="D242" t="inlineStr">
        <is>
          <t>28</t>
        </is>
      </c>
      <c r="E242">
        <f>HYPERLINK("https://www.britishcycling.org.uk/points?person_id=26541&amp;year=2022&amp;type=national&amp;d=6","Results")</f>
        <v/>
      </c>
    </row>
    <row r="243">
      <c r="A243" t="inlineStr">
        <is>
          <t>242</t>
        </is>
      </c>
      <c r="B243" t="inlineStr">
        <is>
          <t>Christian Roberts</t>
        </is>
      </c>
      <c r="C243" t="inlineStr">
        <is>
          <t>Allen Valley Velo</t>
        </is>
      </c>
      <c r="D243" t="inlineStr">
        <is>
          <t>28</t>
        </is>
      </c>
      <c r="E243">
        <f>HYPERLINK("https://www.britishcycling.org.uk/points?person_id=244316&amp;year=2022&amp;type=national&amp;d=6","Results")</f>
        <v/>
      </c>
    </row>
    <row r="244">
      <c r="A244" t="inlineStr">
        <is>
          <t>243</t>
        </is>
      </c>
      <c r="B244" t="inlineStr">
        <is>
          <t>Dylan Bexley</t>
        </is>
      </c>
      <c r="C244" t="inlineStr">
        <is>
          <t>Dulwich Paragon CC</t>
        </is>
      </c>
      <c r="D244" t="inlineStr">
        <is>
          <t>27</t>
        </is>
      </c>
      <c r="E244">
        <f>HYPERLINK("https://www.britishcycling.org.uk/points?person_id=452837&amp;year=2022&amp;type=national&amp;d=6","Results")</f>
        <v/>
      </c>
    </row>
    <row r="245">
      <c r="A245" t="inlineStr">
        <is>
          <t>244</t>
        </is>
      </c>
      <c r="B245" t="inlineStr">
        <is>
          <t>Nick Pashley</t>
        </is>
      </c>
      <c r="C245" t="inlineStr">
        <is>
          <t>Bristol CX</t>
        </is>
      </c>
      <c r="D245" t="inlineStr">
        <is>
          <t>27</t>
        </is>
      </c>
      <c r="E245">
        <f>HYPERLINK("https://www.britishcycling.org.uk/points?person_id=667108&amp;year=2022&amp;type=national&amp;d=6","Results")</f>
        <v/>
      </c>
    </row>
    <row r="246">
      <c r="A246" t="inlineStr">
        <is>
          <t>245</t>
        </is>
      </c>
      <c r="B246" t="inlineStr">
        <is>
          <t>Andy Porter</t>
        </is>
      </c>
      <c r="C246" t="inlineStr">
        <is>
          <t>Horwich CC</t>
        </is>
      </c>
      <c r="D246" t="inlineStr">
        <is>
          <t>27</t>
        </is>
      </c>
      <c r="E246">
        <f>HYPERLINK("https://www.britishcycling.org.uk/points?person_id=292344&amp;year=2022&amp;type=national&amp;d=6","Results")</f>
        <v/>
      </c>
    </row>
    <row r="247">
      <c r="A247" t="inlineStr">
        <is>
          <t>246</t>
        </is>
      </c>
      <c r="B247" t="inlineStr">
        <is>
          <t>David Allen</t>
        </is>
      </c>
      <c r="C247" t="inlineStr">
        <is>
          <t>Bridgnorth Cycling Club</t>
        </is>
      </c>
      <c r="D247" t="inlineStr">
        <is>
          <t>26</t>
        </is>
      </c>
      <c r="E247">
        <f>HYPERLINK("https://www.britishcycling.org.uk/points?person_id=390086&amp;year=2022&amp;type=national&amp;d=6","Results")</f>
        <v/>
      </c>
    </row>
    <row r="248">
      <c r="A248" t="inlineStr">
        <is>
          <t>247</t>
        </is>
      </c>
      <c r="B248" t="inlineStr">
        <is>
          <t>Philip Connell</t>
        </is>
      </c>
      <c r="C248" t="inlineStr">
        <is>
          <t>Sotonia CC</t>
        </is>
      </c>
      <c r="D248" t="inlineStr">
        <is>
          <t>26</t>
        </is>
      </c>
      <c r="E248">
        <f>HYPERLINK("https://www.britishcycling.org.uk/points?person_id=121581&amp;year=2022&amp;type=national&amp;d=6","Results")</f>
        <v/>
      </c>
    </row>
    <row r="249">
      <c r="A249" t="inlineStr">
        <is>
          <t>248</t>
        </is>
      </c>
      <c r="B249" t="inlineStr">
        <is>
          <t>Jason Harrison</t>
        </is>
      </c>
      <c r="C249" t="inlineStr">
        <is>
          <t>Sotonia CC</t>
        </is>
      </c>
      <c r="D249" t="inlineStr">
        <is>
          <t>26</t>
        </is>
      </c>
      <c r="E249">
        <f>HYPERLINK("https://www.britishcycling.org.uk/points?person_id=191336&amp;year=2022&amp;type=national&amp;d=6","Results")</f>
        <v/>
      </c>
    </row>
    <row r="250">
      <c r="A250" t="inlineStr">
        <is>
          <t>249</t>
        </is>
      </c>
      <c r="B250" t="inlineStr">
        <is>
          <t>Darren Haynes</t>
        </is>
      </c>
      <c r="C250" t="inlineStr">
        <is>
          <t>Lewes Wanderers CC</t>
        </is>
      </c>
      <c r="D250" t="inlineStr">
        <is>
          <t>26</t>
        </is>
      </c>
      <c r="E250">
        <f>HYPERLINK("https://www.britishcycling.org.uk/points?person_id=211927&amp;year=2022&amp;type=national&amp;d=6","Results")</f>
        <v/>
      </c>
    </row>
    <row r="251">
      <c r="A251" t="inlineStr">
        <is>
          <t>250</t>
        </is>
      </c>
      <c r="B251" t="inlineStr">
        <is>
          <t>Michael Thomson</t>
        </is>
      </c>
      <c r="C251" t="inlineStr">
        <is>
          <t>Deeside Thistle CC</t>
        </is>
      </c>
      <c r="D251" t="inlineStr">
        <is>
          <t>26</t>
        </is>
      </c>
      <c r="E251">
        <f>HYPERLINK("https://www.britishcycling.org.uk/points?person_id=91594&amp;year=2022&amp;type=national&amp;d=6","Results")</f>
        <v/>
      </c>
    </row>
    <row r="252">
      <c r="A252" t="inlineStr">
        <is>
          <t>251</t>
        </is>
      </c>
      <c r="B252" t="inlineStr">
        <is>
          <t>Andrew Edmond</t>
        </is>
      </c>
      <c r="C252" t="inlineStr">
        <is>
          <t>Ashburn Wealth</t>
        </is>
      </c>
      <c r="D252" t="inlineStr">
        <is>
          <t>25</t>
        </is>
      </c>
      <c r="E252">
        <f>HYPERLINK("https://www.britishcycling.org.uk/points?person_id=75520&amp;year=2022&amp;type=national&amp;d=6","Results")</f>
        <v/>
      </c>
    </row>
    <row r="253">
      <c r="A253" t="inlineStr">
        <is>
          <t>252</t>
        </is>
      </c>
      <c r="B253" t="inlineStr">
        <is>
          <t>Neil Mansfield</t>
        </is>
      </c>
      <c r="C253" t="inlineStr">
        <is>
          <t>Magspeed Racing</t>
        </is>
      </c>
      <c r="D253" t="inlineStr">
        <is>
          <t>25</t>
        </is>
      </c>
      <c r="E253">
        <f>HYPERLINK("https://www.britishcycling.org.uk/points?person_id=69484&amp;year=2022&amp;type=national&amp;d=6","Results")</f>
        <v/>
      </c>
    </row>
    <row r="254">
      <c r="A254" t="inlineStr">
        <is>
          <t>253</t>
        </is>
      </c>
      <c r="B254" t="inlineStr">
        <is>
          <t>Duncan McIntosh</t>
        </is>
      </c>
      <c r="C254" t="inlineStr">
        <is>
          <t>Peebles CC</t>
        </is>
      </c>
      <c r="D254" t="inlineStr">
        <is>
          <t>25</t>
        </is>
      </c>
      <c r="E254">
        <f>HYPERLINK("https://www.britishcycling.org.uk/points?person_id=1019014&amp;year=2022&amp;type=national&amp;d=6","Results")</f>
        <v/>
      </c>
    </row>
    <row r="255">
      <c r="A255" t="inlineStr">
        <is>
          <t>254</t>
        </is>
      </c>
      <c r="B255" t="inlineStr">
        <is>
          <t>Craig Morris</t>
        </is>
      </c>
      <c r="C255" t="inlineStr">
        <is>
          <t>www.Zepnat.com RT - Lazer helmets</t>
        </is>
      </c>
      <c r="D255" t="inlineStr">
        <is>
          <t>25</t>
        </is>
      </c>
      <c r="E255">
        <f>HYPERLINK("https://www.britishcycling.org.uk/points?person_id=402005&amp;year=2022&amp;type=national&amp;d=6","Results")</f>
        <v/>
      </c>
    </row>
    <row r="256">
      <c r="A256" t="inlineStr">
        <is>
          <t>255</t>
        </is>
      </c>
      <c r="B256" t="inlineStr">
        <is>
          <t>Gary Webber</t>
        </is>
      </c>
      <c r="C256" t="inlineStr">
        <is>
          <t>North Devon Velo</t>
        </is>
      </c>
      <c r="D256" t="inlineStr">
        <is>
          <t>25</t>
        </is>
      </c>
      <c r="E256">
        <f>HYPERLINK("https://www.britishcycling.org.uk/points?person_id=516449&amp;year=2022&amp;type=national&amp;d=6","Results")</f>
        <v/>
      </c>
    </row>
    <row r="257">
      <c r="A257" t="inlineStr">
        <is>
          <t>256</t>
        </is>
      </c>
      <c r="B257" t="inlineStr">
        <is>
          <t>Sean Beswick</t>
        </is>
      </c>
      <c r="C257" t="inlineStr">
        <is>
          <t>www.Zepnat.com RT - Lazer helmets</t>
        </is>
      </c>
      <c r="D257" t="inlineStr">
        <is>
          <t>24</t>
        </is>
      </c>
      <c r="E257">
        <f>HYPERLINK("https://www.britishcycling.org.uk/points?person_id=22247&amp;year=2022&amp;type=national&amp;d=6","Results")</f>
        <v/>
      </c>
    </row>
    <row r="258">
      <c r="A258" t="inlineStr">
        <is>
          <t>257</t>
        </is>
      </c>
      <c r="B258" t="inlineStr">
        <is>
          <t>Adrian Butcher</t>
        </is>
      </c>
      <c r="C258" t="inlineStr">
        <is>
          <t>Thanet RC</t>
        </is>
      </c>
      <c r="D258" t="inlineStr">
        <is>
          <t>23</t>
        </is>
      </c>
      <c r="E258">
        <f>HYPERLINK("https://www.britishcycling.org.uk/points?person_id=939193&amp;year=2022&amp;type=national&amp;d=6","Results")</f>
        <v/>
      </c>
    </row>
    <row r="259">
      <c r="A259" t="inlineStr">
        <is>
          <t>258</t>
        </is>
      </c>
      <c r="B259" t="inlineStr">
        <is>
          <t>Matthew Butters</t>
        </is>
      </c>
      <c r="C259" t="inlineStr">
        <is>
          <t>Velo Club Walcot</t>
        </is>
      </c>
      <c r="D259" t="inlineStr">
        <is>
          <t>23</t>
        </is>
      </c>
      <c r="E259">
        <f>HYPERLINK("https://www.britishcycling.org.uk/points?person_id=256954&amp;year=2022&amp;type=national&amp;d=6","Results")</f>
        <v/>
      </c>
    </row>
    <row r="260">
      <c r="A260" t="inlineStr">
        <is>
          <t>259</t>
        </is>
      </c>
      <c r="B260" t="inlineStr">
        <is>
          <t>Peter Danby</t>
        </is>
      </c>
      <c r="C260" t="inlineStr"/>
      <c r="D260" t="inlineStr">
        <is>
          <t>23</t>
        </is>
      </c>
      <c r="E260">
        <f>HYPERLINK("https://www.britishcycling.org.uk/points?person_id=73624&amp;year=2022&amp;type=national&amp;d=6","Results")</f>
        <v/>
      </c>
    </row>
    <row r="261">
      <c r="A261" t="inlineStr">
        <is>
          <t>260</t>
        </is>
      </c>
      <c r="B261" t="inlineStr">
        <is>
          <t>Franco Porco</t>
        </is>
      </c>
      <c r="C261" t="inlineStr">
        <is>
          <t>Forth Valley Velo</t>
        </is>
      </c>
      <c r="D261" t="inlineStr">
        <is>
          <t>23</t>
        </is>
      </c>
      <c r="E261">
        <f>HYPERLINK("https://www.britishcycling.org.uk/points?person_id=702&amp;year=2022&amp;type=national&amp;d=6","Results")</f>
        <v/>
      </c>
    </row>
    <row r="262">
      <c r="A262" t="inlineStr">
        <is>
          <t>261</t>
        </is>
      </c>
      <c r="B262" t="inlineStr">
        <is>
          <t>Mark Shepherd</t>
        </is>
      </c>
      <c r="C262" t="inlineStr">
        <is>
          <t>Stafford Road Club</t>
        </is>
      </c>
      <c r="D262" t="inlineStr">
        <is>
          <t>23</t>
        </is>
      </c>
      <c r="E262">
        <f>HYPERLINK("https://www.britishcycling.org.uk/points?person_id=14516&amp;year=2022&amp;type=national&amp;d=6","Results")</f>
        <v/>
      </c>
    </row>
    <row r="263">
      <c r="A263" t="inlineStr">
        <is>
          <t>262</t>
        </is>
      </c>
      <c r="B263" t="inlineStr">
        <is>
          <t>Robert Wimble</t>
        </is>
      </c>
      <c r="C263" t="inlineStr">
        <is>
          <t>Drogon Racing Team</t>
        </is>
      </c>
      <c r="D263" t="inlineStr">
        <is>
          <t>22</t>
        </is>
      </c>
      <c r="E263">
        <f>HYPERLINK("https://www.britishcycling.org.uk/points?person_id=44798&amp;year=2022&amp;type=national&amp;d=6","Results")</f>
        <v/>
      </c>
    </row>
    <row r="264">
      <c r="A264" t="inlineStr">
        <is>
          <t>263</t>
        </is>
      </c>
      <c r="B264" t="inlineStr">
        <is>
          <t>Paul Champness</t>
        </is>
      </c>
      <c r="C264" t="inlineStr">
        <is>
          <t>Hadleigh MTB Club</t>
        </is>
      </c>
      <c r="D264" t="inlineStr">
        <is>
          <t>21</t>
        </is>
      </c>
      <c r="E264">
        <f>HYPERLINK("https://www.britishcycling.org.uk/points?person_id=6128&amp;year=2022&amp;type=national&amp;d=6","Results")</f>
        <v/>
      </c>
    </row>
    <row r="265">
      <c r="A265" t="inlineStr">
        <is>
          <t>264</t>
        </is>
      </c>
      <c r="B265" t="inlineStr">
        <is>
          <t>Michael Greaves</t>
        </is>
      </c>
      <c r="C265" t="inlineStr">
        <is>
          <t>Gannet CC</t>
        </is>
      </c>
      <c r="D265" t="inlineStr">
        <is>
          <t>21</t>
        </is>
      </c>
      <c r="E265">
        <f>HYPERLINK("https://www.britishcycling.org.uk/points?person_id=36411&amp;year=2022&amp;type=national&amp;d=6","Results")</f>
        <v/>
      </c>
    </row>
    <row r="266">
      <c r="A266" t="inlineStr">
        <is>
          <t>265</t>
        </is>
      </c>
      <c r="B266" t="inlineStr">
        <is>
          <t>Martin Page</t>
        </is>
      </c>
      <c r="C266" t="inlineStr">
        <is>
          <t>Ipswich Bicycle Club</t>
        </is>
      </c>
      <c r="D266" t="inlineStr">
        <is>
          <t>21</t>
        </is>
      </c>
      <c r="E266">
        <f>HYPERLINK("https://www.britishcycling.org.uk/points?person_id=136645&amp;year=2022&amp;type=national&amp;d=6","Results")</f>
        <v/>
      </c>
    </row>
    <row r="267">
      <c r="A267" t="inlineStr">
        <is>
          <t>266</t>
        </is>
      </c>
      <c r="B267" t="inlineStr">
        <is>
          <t>Neil Bowman</t>
        </is>
      </c>
      <c r="C267" t="inlineStr">
        <is>
          <t>Ely &amp; District CC</t>
        </is>
      </c>
      <c r="D267" t="inlineStr">
        <is>
          <t>20</t>
        </is>
      </c>
      <c r="E267">
        <f>HYPERLINK("https://www.britishcycling.org.uk/points?person_id=488021&amp;year=2022&amp;type=national&amp;d=6","Results")</f>
        <v/>
      </c>
    </row>
    <row r="268">
      <c r="A268" t="inlineStr">
        <is>
          <t>267</t>
        </is>
      </c>
      <c r="B268" t="inlineStr">
        <is>
          <t>Ian Loades</t>
        </is>
      </c>
      <c r="C268" t="inlineStr">
        <is>
          <t>Hart Evolution Racing Team</t>
        </is>
      </c>
      <c r="D268" t="inlineStr">
        <is>
          <t>20</t>
        </is>
      </c>
      <c r="E268">
        <f>HYPERLINK("https://www.britishcycling.org.uk/points?person_id=282003&amp;year=2022&amp;type=national&amp;d=6","Results")</f>
        <v/>
      </c>
    </row>
    <row r="269">
      <c r="A269" t="inlineStr">
        <is>
          <t>268</t>
        </is>
      </c>
      <c r="B269" t="inlineStr">
        <is>
          <t>Neil Cranston</t>
        </is>
      </c>
      <c r="C269" t="inlineStr">
        <is>
          <t>Barnesbury CC</t>
        </is>
      </c>
      <c r="D269" t="inlineStr">
        <is>
          <t>19</t>
        </is>
      </c>
      <c r="E269">
        <f>HYPERLINK("https://www.britishcycling.org.uk/points?person_id=324892&amp;year=2022&amp;type=national&amp;d=6","Results")</f>
        <v/>
      </c>
    </row>
    <row r="270">
      <c r="A270" t="inlineStr">
        <is>
          <t>269</t>
        </is>
      </c>
      <c r="B270" t="inlineStr">
        <is>
          <t>Stuart Gillies</t>
        </is>
      </c>
      <c r="C270" t="inlineStr">
        <is>
          <t>Twickenham CC</t>
        </is>
      </c>
      <c r="D270" t="inlineStr">
        <is>
          <t>19</t>
        </is>
      </c>
      <c r="E270">
        <f>HYPERLINK("https://www.britishcycling.org.uk/points?person_id=341676&amp;year=2022&amp;type=national&amp;d=6","Results")</f>
        <v/>
      </c>
    </row>
    <row r="271">
      <c r="A271" t="inlineStr">
        <is>
          <t>270</t>
        </is>
      </c>
      <c r="B271" t="inlineStr">
        <is>
          <t>Michael Nally</t>
        </is>
      </c>
      <c r="C271" t="inlineStr">
        <is>
          <t>Dunfermline CC</t>
        </is>
      </c>
      <c r="D271" t="inlineStr">
        <is>
          <t>19</t>
        </is>
      </c>
      <c r="E271">
        <f>HYPERLINK("https://www.britishcycling.org.uk/points?person_id=64211&amp;year=2022&amp;type=national&amp;d=6","Results")</f>
        <v/>
      </c>
    </row>
    <row r="272">
      <c r="A272" t="inlineStr">
        <is>
          <t>271</t>
        </is>
      </c>
      <c r="B272" t="inlineStr">
        <is>
          <t>Steve Nicholson</t>
        </is>
      </c>
      <c r="C272" t="inlineStr">
        <is>
          <t>Dunfermline CC</t>
        </is>
      </c>
      <c r="D272" t="inlineStr">
        <is>
          <t>19</t>
        </is>
      </c>
      <c r="E272">
        <f>HYPERLINK("https://www.britishcycling.org.uk/points?person_id=78906&amp;year=2022&amp;type=national&amp;d=6","Results")</f>
        <v/>
      </c>
    </row>
    <row r="273">
      <c r="A273" t="inlineStr">
        <is>
          <t>272</t>
        </is>
      </c>
      <c r="B273" t="inlineStr">
        <is>
          <t>Andrew Prince</t>
        </is>
      </c>
      <c r="C273" t="inlineStr">
        <is>
          <t>Ilkeston Cycle Club</t>
        </is>
      </c>
      <c r="D273" t="inlineStr">
        <is>
          <t>19</t>
        </is>
      </c>
      <c r="E273">
        <f>HYPERLINK("https://www.britishcycling.org.uk/points?person_id=209356&amp;year=2022&amp;type=national&amp;d=6","Results")</f>
        <v/>
      </c>
    </row>
    <row r="274">
      <c r="A274" t="inlineStr">
        <is>
          <t>273</t>
        </is>
      </c>
      <c r="B274" t="inlineStr">
        <is>
          <t>Steven Smales</t>
        </is>
      </c>
      <c r="C274" t="inlineStr">
        <is>
          <t>Bioracer UK RT</t>
        </is>
      </c>
      <c r="D274" t="inlineStr">
        <is>
          <t>19</t>
        </is>
      </c>
      <c r="E274">
        <f>HYPERLINK("https://www.britishcycling.org.uk/points?person_id=59398&amp;year=2022&amp;type=national&amp;d=6","Results")</f>
        <v/>
      </c>
    </row>
    <row r="275">
      <c r="A275" t="inlineStr">
        <is>
          <t>274</t>
        </is>
      </c>
      <c r="B275" t="inlineStr">
        <is>
          <t>Mark James</t>
        </is>
      </c>
      <c r="C275" t="inlineStr">
        <is>
          <t>Abergavenny Road Club</t>
        </is>
      </c>
      <c r="D275" t="inlineStr">
        <is>
          <t>18</t>
        </is>
      </c>
      <c r="E275">
        <f>HYPERLINK("https://www.britishcycling.org.uk/points?person_id=331848&amp;year=2022&amp;type=national&amp;d=6","Results")</f>
        <v/>
      </c>
    </row>
    <row r="276">
      <c r="A276" t="inlineStr">
        <is>
          <t>275</t>
        </is>
      </c>
      <c r="B276" t="inlineStr">
        <is>
          <t>Sean Quarmby</t>
        </is>
      </c>
      <c r="C276" t="inlineStr">
        <is>
          <t>Aylsham Road Club</t>
        </is>
      </c>
      <c r="D276" t="inlineStr">
        <is>
          <t>18</t>
        </is>
      </c>
      <c r="E276">
        <f>HYPERLINK("https://www.britishcycling.org.uk/points?person_id=195808&amp;year=2022&amp;type=national&amp;d=6","Results")</f>
        <v/>
      </c>
    </row>
    <row r="277">
      <c r="A277" t="inlineStr">
        <is>
          <t>276</t>
        </is>
      </c>
      <c r="B277" t="inlineStr">
        <is>
          <t>Keith Ashbridge</t>
        </is>
      </c>
      <c r="C277" t="inlineStr">
        <is>
          <t>Velo Club Cumbria</t>
        </is>
      </c>
      <c r="D277" t="inlineStr">
        <is>
          <t>16</t>
        </is>
      </c>
      <c r="E277">
        <f>HYPERLINK("https://www.britishcycling.org.uk/points?person_id=101426&amp;year=2022&amp;type=national&amp;d=6","Results")</f>
        <v/>
      </c>
    </row>
    <row r="278">
      <c r="A278" t="inlineStr">
        <is>
          <t>277</t>
        </is>
      </c>
      <c r="B278" t="inlineStr">
        <is>
          <t>Tim Gill</t>
        </is>
      </c>
      <c r="C278" t="inlineStr">
        <is>
          <t>Shibden Cycling Club</t>
        </is>
      </c>
      <c r="D278" t="inlineStr">
        <is>
          <t>16</t>
        </is>
      </c>
      <c r="E278">
        <f>HYPERLINK("https://www.britishcycling.org.uk/points?person_id=24141&amp;year=2022&amp;type=national&amp;d=6","Results")</f>
        <v/>
      </c>
    </row>
    <row r="279">
      <c r="A279" t="inlineStr">
        <is>
          <t>278</t>
        </is>
      </c>
      <c r="B279" t="inlineStr">
        <is>
          <t>Mark Goulsbra</t>
        </is>
      </c>
      <c r="C279" t="inlineStr">
        <is>
          <t>Louth Cycle Centre RT</t>
        </is>
      </c>
      <c r="D279" t="inlineStr">
        <is>
          <t>16</t>
        </is>
      </c>
      <c r="E279">
        <f>HYPERLINK("https://www.britishcycling.org.uk/points?person_id=250244&amp;year=2022&amp;type=national&amp;d=6","Results")</f>
        <v/>
      </c>
    </row>
    <row r="280">
      <c r="A280" t="inlineStr">
        <is>
          <t>279</t>
        </is>
      </c>
      <c r="B280" t="inlineStr">
        <is>
          <t>Kevin Hayward</t>
        </is>
      </c>
      <c r="C280" t="inlineStr">
        <is>
          <t>Stourbridge CC</t>
        </is>
      </c>
      <c r="D280" t="inlineStr">
        <is>
          <t>16</t>
        </is>
      </c>
      <c r="E280">
        <f>HYPERLINK("https://www.britishcycling.org.uk/points?person_id=256107&amp;year=2022&amp;type=national&amp;d=6","Results")</f>
        <v/>
      </c>
    </row>
    <row r="281">
      <c r="A281" t="inlineStr">
        <is>
          <t>280</t>
        </is>
      </c>
      <c r="B281" t="inlineStr">
        <is>
          <t>Nicholas Kershaw</t>
        </is>
      </c>
      <c r="C281" t="inlineStr">
        <is>
          <t>Welland Valley CC</t>
        </is>
      </c>
      <c r="D281" t="inlineStr">
        <is>
          <t>16</t>
        </is>
      </c>
      <c r="E281">
        <f>HYPERLINK("https://www.britishcycling.org.uk/points?person_id=18653&amp;year=2022&amp;type=national&amp;d=6","Results")</f>
        <v/>
      </c>
    </row>
    <row r="282">
      <c r="A282" t="inlineStr">
        <is>
          <t>281</t>
        </is>
      </c>
      <c r="B282" t="inlineStr">
        <is>
          <t>Sean Davey</t>
        </is>
      </c>
      <c r="C282" t="inlineStr">
        <is>
          <t>Newport Phoenix CC</t>
        </is>
      </c>
      <c r="D282" t="inlineStr">
        <is>
          <t>15</t>
        </is>
      </c>
      <c r="E282">
        <f>HYPERLINK("https://www.britishcycling.org.uk/points?person_id=305332&amp;year=2022&amp;type=national&amp;d=6","Results")</f>
        <v/>
      </c>
    </row>
    <row r="283">
      <c r="A283" t="inlineStr">
        <is>
          <t>282</t>
        </is>
      </c>
      <c r="B283" t="inlineStr">
        <is>
          <t>Martyn Dymond</t>
        </is>
      </c>
      <c r="C283" t="inlineStr">
        <is>
          <t>Pedalon.co.uk</t>
        </is>
      </c>
      <c r="D283" t="inlineStr">
        <is>
          <t>15</t>
        </is>
      </c>
      <c r="E283">
        <f>HYPERLINK("https://www.britishcycling.org.uk/points?person_id=36044&amp;year=2022&amp;type=national&amp;d=6","Results")</f>
        <v/>
      </c>
    </row>
    <row r="284">
      <c r="A284" t="inlineStr">
        <is>
          <t>283</t>
        </is>
      </c>
      <c r="B284" t="inlineStr">
        <is>
          <t>Peter Farrell</t>
        </is>
      </c>
      <c r="C284" t="inlineStr">
        <is>
          <t>East Coast Riders</t>
        </is>
      </c>
      <c r="D284" t="inlineStr">
        <is>
          <t>15</t>
        </is>
      </c>
      <c r="E284">
        <f>HYPERLINK("https://www.britishcycling.org.uk/points?person_id=198834&amp;year=2022&amp;type=national&amp;d=6","Results")</f>
        <v/>
      </c>
    </row>
    <row r="285">
      <c r="A285" t="inlineStr">
        <is>
          <t>284</t>
        </is>
      </c>
      <c r="B285" t="inlineStr">
        <is>
          <t>Duncan Fortune</t>
        </is>
      </c>
      <c r="C285" t="inlineStr">
        <is>
          <t>EH Star Cycling</t>
        </is>
      </c>
      <c r="D285" t="inlineStr">
        <is>
          <t>15</t>
        </is>
      </c>
      <c r="E285">
        <f>HYPERLINK("https://www.britishcycling.org.uk/points?person_id=604811&amp;year=2022&amp;type=national&amp;d=6","Results")</f>
        <v/>
      </c>
    </row>
    <row r="286">
      <c r="A286" t="inlineStr">
        <is>
          <t>285</t>
        </is>
      </c>
      <c r="B286" t="inlineStr">
        <is>
          <t>Jonathan Gall</t>
        </is>
      </c>
      <c r="C286" t="inlineStr">
        <is>
          <t>Clevedon &amp; District RC</t>
        </is>
      </c>
      <c r="D286" t="inlineStr">
        <is>
          <t>15</t>
        </is>
      </c>
      <c r="E286">
        <f>HYPERLINK("https://www.britishcycling.org.uk/points?person_id=24203&amp;year=2022&amp;type=national&amp;d=6","Results")</f>
        <v/>
      </c>
    </row>
    <row r="287">
      <c r="A287" t="inlineStr">
        <is>
          <t>286</t>
        </is>
      </c>
      <c r="B287" t="inlineStr">
        <is>
          <t>Paul Mace</t>
        </is>
      </c>
      <c r="C287" t="inlineStr">
        <is>
          <t>Royal Air Force CA</t>
        </is>
      </c>
      <c r="D287" t="inlineStr">
        <is>
          <t>15</t>
        </is>
      </c>
      <c r="E287">
        <f>HYPERLINK("https://www.britishcycling.org.uk/points?person_id=29535&amp;year=2022&amp;type=national&amp;d=6","Results")</f>
        <v/>
      </c>
    </row>
    <row r="288">
      <c r="A288" t="inlineStr">
        <is>
          <t>287</t>
        </is>
      </c>
      <c r="B288" t="inlineStr">
        <is>
          <t>Ian Megginson</t>
        </is>
      </c>
      <c r="C288" t="inlineStr">
        <is>
          <t>St Ives CC</t>
        </is>
      </c>
      <c r="D288" t="inlineStr">
        <is>
          <t>15</t>
        </is>
      </c>
      <c r="E288">
        <f>HYPERLINK("https://www.britishcycling.org.uk/points?person_id=192194&amp;year=2022&amp;type=national&amp;d=6","Results")</f>
        <v/>
      </c>
    </row>
    <row r="289">
      <c r="A289" t="inlineStr">
        <is>
          <t>288</t>
        </is>
      </c>
      <c r="B289" t="inlineStr">
        <is>
          <t>Ian O'Brien</t>
        </is>
      </c>
      <c r="C289" t="inlineStr">
        <is>
          <t>Cero - Cycle Division Racing Team</t>
        </is>
      </c>
      <c r="D289" t="inlineStr">
        <is>
          <t>15</t>
        </is>
      </c>
      <c r="E289">
        <f>HYPERLINK("https://www.britishcycling.org.uk/points?person_id=18306&amp;year=2022&amp;type=national&amp;d=6","Results")</f>
        <v/>
      </c>
    </row>
    <row r="290">
      <c r="A290" t="inlineStr">
        <is>
          <t>289</t>
        </is>
      </c>
      <c r="B290" t="inlineStr">
        <is>
          <t>Jeff Roberts</t>
        </is>
      </c>
      <c r="C290" t="inlineStr">
        <is>
          <t>High Wycombe Cycling Club</t>
        </is>
      </c>
      <c r="D290" t="inlineStr">
        <is>
          <t>15</t>
        </is>
      </c>
      <c r="E290">
        <f>HYPERLINK("https://www.britishcycling.org.uk/points?person_id=127512&amp;year=2022&amp;type=national&amp;d=6","Results")</f>
        <v/>
      </c>
    </row>
    <row r="291">
      <c r="A291" t="inlineStr">
        <is>
          <t>290</t>
        </is>
      </c>
      <c r="B291" t="inlineStr">
        <is>
          <t>Simon Titmuss</t>
        </is>
      </c>
      <c r="C291" t="inlineStr">
        <is>
          <t>Ronde Cycling Club</t>
        </is>
      </c>
      <c r="D291" t="inlineStr">
        <is>
          <t>15</t>
        </is>
      </c>
      <c r="E291">
        <f>HYPERLINK("https://www.britishcycling.org.uk/points?person_id=282969&amp;year=2022&amp;type=national&amp;d=6","Results")</f>
        <v/>
      </c>
    </row>
    <row r="292">
      <c r="A292" t="inlineStr">
        <is>
          <t>291</t>
        </is>
      </c>
      <c r="B292" t="inlineStr">
        <is>
          <t>Alan Younger</t>
        </is>
      </c>
      <c r="C292" t="inlineStr">
        <is>
          <t>North Tyneside Riders</t>
        </is>
      </c>
      <c r="D292" t="inlineStr">
        <is>
          <t>15</t>
        </is>
      </c>
      <c r="E292">
        <f>HYPERLINK("https://www.britishcycling.org.uk/points?person_id=332630&amp;year=2022&amp;type=national&amp;d=6","Results")</f>
        <v/>
      </c>
    </row>
    <row r="293">
      <c r="A293" t="inlineStr">
        <is>
          <t>292</t>
        </is>
      </c>
      <c r="B293" t="inlineStr">
        <is>
          <t>Kevin Chadwick</t>
        </is>
      </c>
      <c r="C293" t="inlineStr">
        <is>
          <t>Lakes RC</t>
        </is>
      </c>
      <c r="D293" t="inlineStr">
        <is>
          <t>14</t>
        </is>
      </c>
      <c r="E293">
        <f>HYPERLINK("https://www.britishcycling.org.uk/points?person_id=204907&amp;year=2022&amp;type=national&amp;d=6","Results")</f>
        <v/>
      </c>
    </row>
    <row r="294">
      <c r="A294" t="inlineStr">
        <is>
          <t>293</t>
        </is>
      </c>
      <c r="B294" t="inlineStr">
        <is>
          <t>Darren Fearns</t>
        </is>
      </c>
      <c r="C294" t="inlineStr"/>
      <c r="D294" t="inlineStr">
        <is>
          <t>14</t>
        </is>
      </c>
      <c r="E294">
        <f>HYPERLINK("https://www.britishcycling.org.uk/points?person_id=185347&amp;year=2022&amp;type=national&amp;d=6","Results")</f>
        <v/>
      </c>
    </row>
    <row r="295">
      <c r="A295" t="inlineStr">
        <is>
          <t>294</t>
        </is>
      </c>
      <c r="B295" t="inlineStr">
        <is>
          <t>Mike Lawrence</t>
        </is>
      </c>
      <c r="C295" t="inlineStr"/>
      <c r="D295" t="inlineStr">
        <is>
          <t>14</t>
        </is>
      </c>
      <c r="E295">
        <f>HYPERLINK("https://www.britishcycling.org.uk/points?person_id=190776&amp;year=2022&amp;type=national&amp;d=6","Results")</f>
        <v/>
      </c>
    </row>
    <row r="296">
      <c r="A296" t="inlineStr">
        <is>
          <t>295</t>
        </is>
      </c>
      <c r="B296" t="inlineStr">
        <is>
          <t>Vincent Plosky</t>
        </is>
      </c>
      <c r="C296" t="inlineStr">
        <is>
          <t>Cycle Club Ashwell (CCA)</t>
        </is>
      </c>
      <c r="D296" t="inlineStr">
        <is>
          <t>14</t>
        </is>
      </c>
      <c r="E296">
        <f>HYPERLINK("https://www.britishcycling.org.uk/points?person_id=556611&amp;year=2022&amp;type=national&amp;d=6","Results")</f>
        <v/>
      </c>
    </row>
    <row r="297">
      <c r="A297" t="inlineStr">
        <is>
          <t>296</t>
        </is>
      </c>
      <c r="B297" t="inlineStr">
        <is>
          <t>Keith Siddle</t>
        </is>
      </c>
      <c r="C297" t="inlineStr">
        <is>
          <t>Reifen Racing</t>
        </is>
      </c>
      <c r="D297" t="inlineStr">
        <is>
          <t>14</t>
        </is>
      </c>
      <c r="E297">
        <f>HYPERLINK("https://www.britishcycling.org.uk/points?person_id=408822&amp;year=2022&amp;type=national&amp;d=6","Results")</f>
        <v/>
      </c>
    </row>
    <row r="298">
      <c r="A298" t="inlineStr">
        <is>
          <t>297</t>
        </is>
      </c>
      <c r="B298" t="inlineStr">
        <is>
          <t>Ian Bale</t>
        </is>
      </c>
      <c r="C298" t="inlineStr">
        <is>
          <t>Sherwood Pines Cycles Forme</t>
        </is>
      </c>
      <c r="D298" t="inlineStr">
        <is>
          <t>13</t>
        </is>
      </c>
      <c r="E298">
        <f>HYPERLINK("https://www.britishcycling.org.uk/points?person_id=659420&amp;year=2022&amp;type=national&amp;d=6","Results")</f>
        <v/>
      </c>
    </row>
    <row r="299">
      <c r="A299" t="inlineStr">
        <is>
          <t>298</t>
        </is>
      </c>
      <c r="B299" t="inlineStr">
        <is>
          <t>David Tate</t>
        </is>
      </c>
      <c r="C299" t="inlineStr">
        <is>
          <t>Arctic Aircon RT</t>
        </is>
      </c>
      <c r="D299" t="inlineStr">
        <is>
          <t>13</t>
        </is>
      </c>
      <c r="E299">
        <f>HYPERLINK("https://www.britishcycling.org.uk/points?person_id=77250&amp;year=2022&amp;type=national&amp;d=6","Results")</f>
        <v/>
      </c>
    </row>
    <row r="300">
      <c r="A300" t="inlineStr">
        <is>
          <t>299</t>
        </is>
      </c>
      <c r="B300" t="inlineStr">
        <is>
          <t>Stephen Brown</t>
        </is>
      </c>
      <c r="C300" t="inlineStr">
        <is>
          <t>Dream Cycling</t>
        </is>
      </c>
      <c r="D300" t="inlineStr">
        <is>
          <t>12</t>
        </is>
      </c>
      <c r="E300">
        <f>HYPERLINK("https://www.britishcycling.org.uk/points?person_id=106005&amp;year=2022&amp;type=national&amp;d=6","Results")</f>
        <v/>
      </c>
    </row>
    <row r="301">
      <c r="A301" t="inlineStr">
        <is>
          <t>300</t>
        </is>
      </c>
      <c r="B301" t="inlineStr">
        <is>
          <t>Rich Cutsforth</t>
        </is>
      </c>
      <c r="C301" t="inlineStr">
        <is>
          <t>Wilsons Wheels Race Team</t>
        </is>
      </c>
      <c r="D301" t="inlineStr">
        <is>
          <t>12</t>
        </is>
      </c>
      <c r="E301">
        <f>HYPERLINK("https://www.britishcycling.org.uk/points?person_id=134774&amp;year=2022&amp;type=national&amp;d=6","Results")</f>
        <v/>
      </c>
    </row>
    <row r="302">
      <c r="A302" t="inlineStr">
        <is>
          <t>301</t>
        </is>
      </c>
      <c r="B302" t="inlineStr">
        <is>
          <t>David Grindley</t>
        </is>
      </c>
      <c r="C302" t="inlineStr">
        <is>
          <t>North Cheshire Clarion</t>
        </is>
      </c>
      <c r="D302" t="inlineStr">
        <is>
          <t>12</t>
        </is>
      </c>
      <c r="E302">
        <f>HYPERLINK("https://www.britishcycling.org.uk/points?person_id=196688&amp;year=2022&amp;type=national&amp;d=6","Results")</f>
        <v/>
      </c>
    </row>
    <row r="303">
      <c r="A303" t="inlineStr">
        <is>
          <t>302</t>
        </is>
      </c>
      <c r="B303" t="inlineStr">
        <is>
          <t>Scott Heyhoe</t>
        </is>
      </c>
      <c r="C303" t="inlineStr">
        <is>
          <t>Handsling Racing</t>
        </is>
      </c>
      <c r="D303" t="inlineStr">
        <is>
          <t>12</t>
        </is>
      </c>
      <c r="E303">
        <f>HYPERLINK("https://www.britishcycling.org.uk/points?person_id=199561&amp;year=2022&amp;type=national&amp;d=6","Results")</f>
        <v/>
      </c>
    </row>
    <row r="304">
      <c r="A304" t="inlineStr">
        <is>
          <t>303</t>
        </is>
      </c>
      <c r="B304" t="inlineStr">
        <is>
          <t>John Reid</t>
        </is>
      </c>
      <c r="C304" t="inlineStr"/>
      <c r="D304" t="inlineStr">
        <is>
          <t>12</t>
        </is>
      </c>
      <c r="E304">
        <f>HYPERLINK("https://www.britishcycling.org.uk/points?person_id=107854&amp;year=2022&amp;type=national&amp;d=6","Results")</f>
        <v/>
      </c>
    </row>
    <row r="305">
      <c r="A305" t="inlineStr">
        <is>
          <t>304</t>
        </is>
      </c>
      <c r="B305" t="inlineStr">
        <is>
          <t>Mark Vooght</t>
        </is>
      </c>
      <c r="C305" t="inlineStr">
        <is>
          <t>Stevenage CC</t>
        </is>
      </c>
      <c r="D305" t="inlineStr">
        <is>
          <t>12</t>
        </is>
      </c>
      <c r="E305">
        <f>HYPERLINK("https://www.britishcycling.org.uk/points?person_id=174829&amp;year=2022&amp;type=national&amp;d=6","Results")</f>
        <v/>
      </c>
    </row>
    <row r="306">
      <c r="A306" t="inlineStr">
        <is>
          <t>305</t>
        </is>
      </c>
      <c r="B306" t="inlineStr">
        <is>
          <t>Stephen Wilkinson</t>
        </is>
      </c>
      <c r="C306" t="inlineStr">
        <is>
          <t>TWB - ON TIME RACE TEAM</t>
        </is>
      </c>
      <c r="D306" t="inlineStr">
        <is>
          <t>12</t>
        </is>
      </c>
      <c r="E306">
        <f>HYPERLINK("https://www.britishcycling.org.uk/points?person_id=51576&amp;year=2022&amp;type=national&amp;d=6","Results")</f>
        <v/>
      </c>
    </row>
    <row r="307">
      <c r="A307" t="inlineStr">
        <is>
          <t>306</t>
        </is>
      </c>
      <c r="B307" t="inlineStr">
        <is>
          <t>Alan Yule</t>
        </is>
      </c>
      <c r="C307" t="inlineStr">
        <is>
          <t>Crawley Wheelers</t>
        </is>
      </c>
      <c r="D307" t="inlineStr">
        <is>
          <t>12</t>
        </is>
      </c>
      <c r="E307">
        <f>HYPERLINK("https://www.britishcycling.org.uk/points?person_id=180906&amp;year=2022&amp;type=national&amp;d=6","Results")</f>
        <v/>
      </c>
    </row>
    <row r="308">
      <c r="A308" t="inlineStr">
        <is>
          <t>307</t>
        </is>
      </c>
      <c r="B308" t="inlineStr">
        <is>
          <t>Benjamin Box</t>
        </is>
      </c>
      <c r="C308" t="inlineStr">
        <is>
          <t>NSP Cycling Team</t>
        </is>
      </c>
      <c r="D308" t="inlineStr">
        <is>
          <t>11</t>
        </is>
      </c>
      <c r="E308">
        <f>HYPERLINK("https://www.britishcycling.org.uk/points?person_id=516611&amp;year=2022&amp;type=national&amp;d=6","Results")</f>
        <v/>
      </c>
    </row>
    <row r="309">
      <c r="A309" t="inlineStr">
        <is>
          <t>308</t>
        </is>
      </c>
      <c r="B309" t="inlineStr">
        <is>
          <t>Andy Collins</t>
        </is>
      </c>
      <c r="C309" t="inlineStr">
        <is>
          <t>Mid Shropshire Wheelers</t>
        </is>
      </c>
      <c r="D309" t="inlineStr">
        <is>
          <t>11</t>
        </is>
      </c>
      <c r="E309">
        <f>HYPERLINK("https://www.britishcycling.org.uk/points?person_id=416383&amp;year=2022&amp;type=national&amp;d=6","Results")</f>
        <v/>
      </c>
    </row>
    <row r="310">
      <c r="A310" t="inlineStr">
        <is>
          <t>309</t>
        </is>
      </c>
      <c r="B310" t="inlineStr">
        <is>
          <t>Lee Edmonds</t>
        </is>
      </c>
      <c r="C310" t="inlineStr">
        <is>
          <t>Mercedes AMG PETRONAS</t>
        </is>
      </c>
      <c r="D310" t="inlineStr">
        <is>
          <t>11</t>
        </is>
      </c>
      <c r="E310">
        <f>HYPERLINK("https://www.britishcycling.org.uk/points?person_id=44913&amp;year=2022&amp;type=national&amp;d=6","Results")</f>
        <v/>
      </c>
    </row>
    <row r="311">
      <c r="A311" t="inlineStr">
        <is>
          <t>310</t>
        </is>
      </c>
      <c r="B311" t="inlineStr">
        <is>
          <t>Craige Goodson</t>
        </is>
      </c>
      <c r="C311" t="inlineStr">
        <is>
          <t>Cotswold Veldrijden</t>
        </is>
      </c>
      <c r="D311" t="inlineStr">
        <is>
          <t>11</t>
        </is>
      </c>
      <c r="E311">
        <f>HYPERLINK("https://www.britishcycling.org.uk/points?person_id=291464&amp;year=2022&amp;type=national&amp;d=6","Results")</f>
        <v/>
      </c>
    </row>
    <row r="312">
      <c r="A312" t="inlineStr">
        <is>
          <t>311</t>
        </is>
      </c>
      <c r="B312" t="inlineStr">
        <is>
          <t>Martin Jones</t>
        </is>
      </c>
      <c r="C312" t="inlineStr"/>
      <c r="D312" t="inlineStr">
        <is>
          <t>11</t>
        </is>
      </c>
      <c r="E312">
        <f>HYPERLINK("https://www.britishcycling.org.uk/points?person_id=263563&amp;year=2022&amp;type=national&amp;d=6","Results")</f>
        <v/>
      </c>
    </row>
    <row r="313">
      <c r="A313" t="inlineStr">
        <is>
          <t>312</t>
        </is>
      </c>
      <c r="B313" t="inlineStr">
        <is>
          <t>Ian Kendall</t>
        </is>
      </c>
      <c r="C313" t="inlineStr">
        <is>
          <t>Liverpool Century RC</t>
        </is>
      </c>
      <c r="D313" t="inlineStr">
        <is>
          <t>11</t>
        </is>
      </c>
      <c r="E313">
        <f>HYPERLINK("https://www.britishcycling.org.uk/points?person_id=35811&amp;year=2022&amp;type=national&amp;d=6","Results")</f>
        <v/>
      </c>
    </row>
    <row r="314">
      <c r="A314" t="inlineStr">
        <is>
          <t>313</t>
        </is>
      </c>
      <c r="B314" t="inlineStr">
        <is>
          <t>Robert Kennison</t>
        </is>
      </c>
      <c r="C314" t="inlineStr">
        <is>
          <t>Medway Velo</t>
        </is>
      </c>
      <c r="D314" t="inlineStr">
        <is>
          <t>11</t>
        </is>
      </c>
      <c r="E314">
        <f>HYPERLINK("https://www.britishcycling.org.uk/points?person_id=27468&amp;year=2022&amp;type=national&amp;d=6","Results")</f>
        <v/>
      </c>
    </row>
    <row r="315">
      <c r="A315" t="inlineStr">
        <is>
          <t>314</t>
        </is>
      </c>
      <c r="B315" t="inlineStr">
        <is>
          <t>Michael Aspey</t>
        </is>
      </c>
      <c r="C315" t="inlineStr">
        <is>
          <t>Reifen Racing</t>
        </is>
      </c>
      <c r="D315" t="inlineStr">
        <is>
          <t>10</t>
        </is>
      </c>
      <c r="E315">
        <f>HYPERLINK("https://www.britishcycling.org.uk/points?person_id=186930&amp;year=2022&amp;type=national&amp;d=6","Results")</f>
        <v/>
      </c>
    </row>
    <row r="316">
      <c r="A316" t="inlineStr">
        <is>
          <t>315</t>
        </is>
      </c>
      <c r="B316" t="inlineStr">
        <is>
          <t>Stuart Burke</t>
        </is>
      </c>
      <c r="C316" t="inlineStr">
        <is>
          <t>45 Road Club</t>
        </is>
      </c>
      <c r="D316" t="inlineStr">
        <is>
          <t>10</t>
        </is>
      </c>
      <c r="E316">
        <f>HYPERLINK("https://www.britishcycling.org.uk/points?person_id=413917&amp;year=2022&amp;type=national&amp;d=6","Results")</f>
        <v/>
      </c>
    </row>
    <row r="317">
      <c r="A317" t="inlineStr">
        <is>
          <t>316</t>
        </is>
      </c>
      <c r="B317" t="inlineStr">
        <is>
          <t>Alan Green</t>
        </is>
      </c>
      <c r="C317" t="inlineStr">
        <is>
          <t>Magspeed Racing</t>
        </is>
      </c>
      <c r="D317" t="inlineStr">
        <is>
          <t>10</t>
        </is>
      </c>
      <c r="E317">
        <f>HYPERLINK("https://www.britishcycling.org.uk/points?person_id=14900&amp;year=2022&amp;type=national&amp;d=6","Results")</f>
        <v/>
      </c>
    </row>
    <row r="318">
      <c r="A318" t="inlineStr">
        <is>
          <t>317</t>
        </is>
      </c>
      <c r="B318" t="inlineStr">
        <is>
          <t>Neil Hall</t>
        </is>
      </c>
      <c r="C318" t="inlineStr"/>
      <c r="D318" t="inlineStr">
        <is>
          <t>10</t>
        </is>
      </c>
      <c r="E318">
        <f>HYPERLINK("https://www.britishcycling.org.uk/points?person_id=958246&amp;year=2022&amp;type=national&amp;d=6","Results")</f>
        <v/>
      </c>
    </row>
    <row r="319">
      <c r="A319" t="inlineStr">
        <is>
          <t>318</t>
        </is>
      </c>
      <c r="B319" t="inlineStr">
        <is>
          <t>Nigel Holl</t>
        </is>
      </c>
      <c r="C319" t="inlineStr">
        <is>
          <t>RT23</t>
        </is>
      </c>
      <c r="D319" t="inlineStr">
        <is>
          <t>10</t>
        </is>
      </c>
      <c r="E319">
        <f>HYPERLINK("https://www.britishcycling.org.uk/points?person_id=128099&amp;year=2022&amp;type=national&amp;d=6","Results")</f>
        <v/>
      </c>
    </row>
    <row r="320">
      <c r="A320" t="inlineStr">
        <is>
          <t>319</t>
        </is>
      </c>
      <c r="B320" t="inlineStr">
        <is>
          <t>Paul Steadman</t>
        </is>
      </c>
      <c r="C320" t="inlineStr">
        <is>
          <t>South Shields Velo Cycling Club</t>
        </is>
      </c>
      <c r="D320" t="inlineStr">
        <is>
          <t>10</t>
        </is>
      </c>
      <c r="E320">
        <f>HYPERLINK("https://www.britishcycling.org.uk/points?person_id=172572&amp;year=2022&amp;type=national&amp;d=6","Results")</f>
        <v/>
      </c>
    </row>
    <row r="321">
      <c r="A321" t="inlineStr">
        <is>
          <t>320</t>
        </is>
      </c>
      <c r="B321" t="inlineStr">
        <is>
          <t>Robert Tutt</t>
        </is>
      </c>
      <c r="C321" t="inlineStr">
        <is>
          <t>Velo Club Venta</t>
        </is>
      </c>
      <c r="D321" t="inlineStr">
        <is>
          <t>10</t>
        </is>
      </c>
      <c r="E321">
        <f>HYPERLINK("https://www.britishcycling.org.uk/points?person_id=38053&amp;year=2022&amp;type=national&amp;d=6","Results")</f>
        <v/>
      </c>
    </row>
    <row r="322">
      <c r="A322" t="inlineStr">
        <is>
          <t>321</t>
        </is>
      </c>
      <c r="B322" t="inlineStr">
        <is>
          <t>Darrell Bradbury</t>
        </is>
      </c>
      <c r="C322" t="inlineStr">
        <is>
          <t>Norton Wheelers</t>
        </is>
      </c>
      <c r="D322" t="inlineStr">
        <is>
          <t>9</t>
        </is>
      </c>
      <c r="E322">
        <f>HYPERLINK("https://www.britishcycling.org.uk/points?person_id=1551&amp;year=2022&amp;type=national&amp;d=6","Results")</f>
        <v/>
      </c>
    </row>
    <row r="323">
      <c r="A323" t="inlineStr">
        <is>
          <t>322</t>
        </is>
      </c>
      <c r="B323" t="inlineStr">
        <is>
          <t>Rene Coupek</t>
        </is>
      </c>
      <c r="C323" t="inlineStr">
        <is>
          <t>Kelso Wheelers</t>
        </is>
      </c>
      <c r="D323" t="inlineStr">
        <is>
          <t>9</t>
        </is>
      </c>
      <c r="E323">
        <f>HYPERLINK("https://www.britishcycling.org.uk/points?person_id=564273&amp;year=2022&amp;type=national&amp;d=6","Results")</f>
        <v/>
      </c>
    </row>
    <row r="324">
      <c r="A324" t="inlineStr">
        <is>
          <t>323</t>
        </is>
      </c>
      <c r="B324" t="inlineStr">
        <is>
          <t>James Goodwin</t>
        </is>
      </c>
      <c r="C324" t="inlineStr"/>
      <c r="D324" t="inlineStr">
        <is>
          <t>9</t>
        </is>
      </c>
      <c r="E324">
        <f>HYPERLINK("https://www.britishcycling.org.uk/points?person_id=106172&amp;year=2022&amp;type=national&amp;d=6","Results")</f>
        <v/>
      </c>
    </row>
    <row r="325">
      <c r="A325" t="inlineStr">
        <is>
          <t>324</t>
        </is>
      </c>
      <c r="B325" t="inlineStr">
        <is>
          <t>Julian Howell</t>
        </is>
      </c>
      <c r="C325" t="inlineStr">
        <is>
          <t>Gala Cycling Club</t>
        </is>
      </c>
      <c r="D325" t="inlineStr">
        <is>
          <t>9</t>
        </is>
      </c>
      <c r="E325">
        <f>HYPERLINK("https://www.britishcycling.org.uk/points?person_id=498930&amp;year=2022&amp;type=national&amp;d=6","Results")</f>
        <v/>
      </c>
    </row>
    <row r="326">
      <c r="A326" t="inlineStr">
        <is>
          <t>325</t>
        </is>
      </c>
      <c r="B326" t="inlineStr">
        <is>
          <t>Spencer Laborde</t>
        </is>
      </c>
      <c r="C326" t="inlineStr">
        <is>
          <t>Iceni Velo</t>
        </is>
      </c>
      <c r="D326" t="inlineStr">
        <is>
          <t>9</t>
        </is>
      </c>
      <c r="E326">
        <f>HYPERLINK("https://www.britishcycling.org.uk/points?person_id=124767&amp;year=2022&amp;type=national&amp;d=6","Results")</f>
        <v/>
      </c>
    </row>
    <row r="327">
      <c r="A327" t="inlineStr">
        <is>
          <t>326</t>
        </is>
      </c>
      <c r="B327" t="inlineStr">
        <is>
          <t>Steve Large</t>
        </is>
      </c>
      <c r="C327" t="inlineStr">
        <is>
          <t>Royal Leamington Spa CC (RLSCC)</t>
        </is>
      </c>
      <c r="D327" t="inlineStr">
        <is>
          <t>9</t>
        </is>
      </c>
      <c r="E327">
        <f>HYPERLINK("https://www.britishcycling.org.uk/points?person_id=225906&amp;year=2022&amp;type=national&amp;d=6","Results")</f>
        <v/>
      </c>
    </row>
    <row r="328">
      <c r="A328" t="inlineStr">
        <is>
          <t>327</t>
        </is>
      </c>
      <c r="B328" t="inlineStr">
        <is>
          <t>Crad Lowe</t>
        </is>
      </c>
      <c r="C328" t="inlineStr"/>
      <c r="D328" t="inlineStr">
        <is>
          <t>9</t>
        </is>
      </c>
      <c r="E328">
        <f>HYPERLINK("https://www.britishcycling.org.uk/points?person_id=24514&amp;year=2022&amp;type=national&amp;d=6","Results")</f>
        <v/>
      </c>
    </row>
    <row r="329">
      <c r="A329" t="inlineStr">
        <is>
          <t>328</t>
        </is>
      </c>
      <c r="B329" t="inlineStr">
        <is>
          <t>Warren Mason</t>
        </is>
      </c>
      <c r="C329" t="inlineStr"/>
      <c r="D329" t="inlineStr">
        <is>
          <t>9</t>
        </is>
      </c>
      <c r="E329">
        <f>HYPERLINK("https://www.britishcycling.org.uk/points?person_id=685269&amp;year=2022&amp;type=national&amp;d=6","Results")</f>
        <v/>
      </c>
    </row>
    <row r="330">
      <c r="A330" t="inlineStr">
        <is>
          <t>329</t>
        </is>
      </c>
      <c r="B330" t="inlineStr">
        <is>
          <t>Giles Barringham</t>
        </is>
      </c>
      <c r="C330" t="inlineStr">
        <is>
          <t>Rockingham Forest Whls</t>
        </is>
      </c>
      <c r="D330" t="inlineStr">
        <is>
          <t>8</t>
        </is>
      </c>
      <c r="E330">
        <f>HYPERLINK("https://www.britishcycling.org.uk/points?person_id=1026219&amp;year=2022&amp;type=national&amp;d=6","Results")</f>
        <v/>
      </c>
    </row>
    <row r="331">
      <c r="A331" t="inlineStr">
        <is>
          <t>330</t>
        </is>
      </c>
      <c r="B331" t="inlineStr">
        <is>
          <t>Fraser Blain</t>
        </is>
      </c>
      <c r="C331" t="inlineStr">
        <is>
          <t>Embark - Bikestrong</t>
        </is>
      </c>
      <c r="D331" t="inlineStr">
        <is>
          <t>8</t>
        </is>
      </c>
      <c r="E331">
        <f>HYPERLINK("https://www.britishcycling.org.uk/points?person_id=132710&amp;year=2022&amp;type=national&amp;d=6","Results")</f>
        <v/>
      </c>
    </row>
    <row r="332">
      <c r="A332" t="inlineStr">
        <is>
          <t>331</t>
        </is>
      </c>
      <c r="B332" t="inlineStr">
        <is>
          <t>Ian Bradley</t>
        </is>
      </c>
      <c r="C332" t="inlineStr">
        <is>
          <t>Ilkeston Cycle Club</t>
        </is>
      </c>
      <c r="D332" t="inlineStr">
        <is>
          <t>8</t>
        </is>
      </c>
      <c r="E332">
        <f>HYPERLINK("https://www.britishcycling.org.uk/points?person_id=125696&amp;year=2022&amp;type=national&amp;d=6","Results")</f>
        <v/>
      </c>
    </row>
    <row r="333">
      <c r="A333" t="inlineStr">
        <is>
          <t>332</t>
        </is>
      </c>
      <c r="B333" t="inlineStr">
        <is>
          <t>Philip Bromwich</t>
        </is>
      </c>
      <c r="C333" t="inlineStr">
        <is>
          <t>Stratford CC</t>
        </is>
      </c>
      <c r="D333" t="inlineStr">
        <is>
          <t>8</t>
        </is>
      </c>
      <c r="E333">
        <f>HYPERLINK("https://www.britishcycling.org.uk/points?person_id=36126&amp;year=2022&amp;type=national&amp;d=6","Results")</f>
        <v/>
      </c>
    </row>
    <row r="334">
      <c r="A334" t="inlineStr">
        <is>
          <t>333</t>
        </is>
      </c>
      <c r="B334" t="inlineStr">
        <is>
          <t>Nigel Brown</t>
        </is>
      </c>
      <c r="C334" t="inlineStr"/>
      <c r="D334" t="inlineStr">
        <is>
          <t>8</t>
        </is>
      </c>
      <c r="E334">
        <f>HYPERLINK("https://www.britishcycling.org.uk/points?person_id=106950&amp;year=2022&amp;type=national&amp;d=6","Results")</f>
        <v/>
      </c>
    </row>
    <row r="335">
      <c r="A335" t="inlineStr">
        <is>
          <t>334</t>
        </is>
      </c>
      <c r="B335" t="inlineStr">
        <is>
          <t>Andrew Cracknell</t>
        </is>
      </c>
      <c r="C335" t="inlineStr">
        <is>
          <t>Pedalon.co.uk</t>
        </is>
      </c>
      <c r="D335" t="inlineStr">
        <is>
          <t>8</t>
        </is>
      </c>
      <c r="E335">
        <f>HYPERLINK("https://www.britishcycling.org.uk/points?person_id=47789&amp;year=2022&amp;type=national&amp;d=6","Results")</f>
        <v/>
      </c>
    </row>
    <row r="336">
      <c r="A336" t="inlineStr">
        <is>
          <t>335</t>
        </is>
      </c>
      <c r="B336" t="inlineStr">
        <is>
          <t>Ashley Dunn</t>
        </is>
      </c>
      <c r="C336" t="inlineStr">
        <is>
          <t>Velo Club Bristol</t>
        </is>
      </c>
      <c r="D336" t="inlineStr">
        <is>
          <t>8</t>
        </is>
      </c>
      <c r="E336">
        <f>HYPERLINK("https://www.britishcycling.org.uk/points?person_id=599616&amp;year=2022&amp;type=national&amp;d=6","Results")</f>
        <v/>
      </c>
    </row>
    <row r="337">
      <c r="A337" t="inlineStr">
        <is>
          <t>336</t>
        </is>
      </c>
      <c r="B337" t="inlineStr">
        <is>
          <t>Mark Fisher</t>
        </is>
      </c>
      <c r="C337" t="inlineStr">
        <is>
          <t>Yeovil CC</t>
        </is>
      </c>
      <c r="D337" t="inlineStr">
        <is>
          <t>8</t>
        </is>
      </c>
      <c r="E337">
        <f>HYPERLINK("https://www.britishcycling.org.uk/points?person_id=33453&amp;year=2022&amp;type=national&amp;d=6","Results")</f>
        <v/>
      </c>
    </row>
    <row r="338">
      <c r="A338" t="inlineStr">
        <is>
          <t>337</t>
        </is>
      </c>
      <c r="B338" t="inlineStr">
        <is>
          <t>Charles Gray</t>
        </is>
      </c>
      <c r="C338" t="inlineStr">
        <is>
          <t>Manchester Wheelers Club</t>
        </is>
      </c>
      <c r="D338" t="inlineStr">
        <is>
          <t>8</t>
        </is>
      </c>
      <c r="E338">
        <f>HYPERLINK("https://www.britishcycling.org.uk/points?person_id=42964&amp;year=2022&amp;type=national&amp;d=6","Results")</f>
        <v/>
      </c>
    </row>
    <row r="339">
      <c r="A339" t="inlineStr">
        <is>
          <t>338</t>
        </is>
      </c>
      <c r="B339" t="inlineStr">
        <is>
          <t>Mike Higgins</t>
        </is>
      </c>
      <c r="C339" t="inlineStr">
        <is>
          <t>Welland Valley CC</t>
        </is>
      </c>
      <c r="D339" t="inlineStr">
        <is>
          <t>8</t>
        </is>
      </c>
      <c r="E339">
        <f>HYPERLINK("https://www.britishcycling.org.uk/points?person_id=241641&amp;year=2022&amp;type=national&amp;d=6","Results")</f>
        <v/>
      </c>
    </row>
    <row r="340">
      <c r="A340" t="inlineStr">
        <is>
          <t>339</t>
        </is>
      </c>
      <c r="B340" t="inlineStr">
        <is>
          <t>Simon Reynolds</t>
        </is>
      </c>
      <c r="C340" t="inlineStr">
        <is>
          <t>South Shields Velo Cycling Club</t>
        </is>
      </c>
      <c r="D340" t="inlineStr">
        <is>
          <t>8</t>
        </is>
      </c>
      <c r="E340">
        <f>HYPERLINK("https://www.britishcycling.org.uk/points?person_id=387521&amp;year=2022&amp;type=national&amp;d=6","Results")</f>
        <v/>
      </c>
    </row>
    <row r="341">
      <c r="A341" t="inlineStr">
        <is>
          <t>340</t>
        </is>
      </c>
      <c r="B341" t="inlineStr">
        <is>
          <t>Peter Smith</t>
        </is>
      </c>
      <c r="C341" t="inlineStr">
        <is>
          <t>Wilsons Wheels Race Team</t>
        </is>
      </c>
      <c r="D341" t="inlineStr">
        <is>
          <t>8</t>
        </is>
      </c>
      <c r="E341">
        <f>HYPERLINK("https://www.britishcycling.org.uk/points?person_id=261227&amp;year=2022&amp;type=national&amp;d=6","Results")</f>
        <v/>
      </c>
    </row>
    <row r="342">
      <c r="A342" t="inlineStr">
        <is>
          <t>341</t>
        </is>
      </c>
      <c r="B342" t="inlineStr">
        <is>
          <t>Edward Wenlock</t>
        </is>
      </c>
      <c r="C342" t="inlineStr">
        <is>
          <t>G!RO Cycles</t>
        </is>
      </c>
      <c r="D342" t="inlineStr">
        <is>
          <t>8</t>
        </is>
      </c>
      <c r="E342">
        <f>HYPERLINK("https://www.britishcycling.org.uk/points?person_id=543578&amp;year=2022&amp;type=national&amp;d=6","Results")</f>
        <v/>
      </c>
    </row>
    <row r="343">
      <c r="A343" t="inlineStr">
        <is>
          <t>342</t>
        </is>
      </c>
      <c r="B343" t="inlineStr">
        <is>
          <t>Andrew Bonwick</t>
        </is>
      </c>
      <c r="C343" t="inlineStr">
        <is>
          <t>Basildon CC</t>
        </is>
      </c>
      <c r="D343" t="inlineStr">
        <is>
          <t>7</t>
        </is>
      </c>
      <c r="E343">
        <f>HYPERLINK("https://www.britishcycling.org.uk/points?person_id=382221&amp;year=2022&amp;type=national&amp;d=6","Results")</f>
        <v/>
      </c>
    </row>
    <row r="344">
      <c r="A344" t="inlineStr">
        <is>
          <t>343</t>
        </is>
      </c>
      <c r="B344" t="inlineStr">
        <is>
          <t>Jason Fowler</t>
        </is>
      </c>
      <c r="C344" t="inlineStr">
        <is>
          <t>West Suffolk Wheelers</t>
        </is>
      </c>
      <c r="D344" t="inlineStr">
        <is>
          <t>7</t>
        </is>
      </c>
      <c r="E344">
        <f>HYPERLINK("https://www.britishcycling.org.uk/points?person_id=663623&amp;year=2022&amp;type=national&amp;d=6","Results")</f>
        <v/>
      </c>
    </row>
    <row r="345">
      <c r="A345" t="inlineStr">
        <is>
          <t>344</t>
        </is>
      </c>
      <c r="B345" t="inlineStr">
        <is>
          <t>Tim Phillips</t>
        </is>
      </c>
      <c r="C345" t="inlineStr">
        <is>
          <t>St Ives CC</t>
        </is>
      </c>
      <c r="D345" t="inlineStr">
        <is>
          <t>7</t>
        </is>
      </c>
      <c r="E345">
        <f>HYPERLINK("https://www.britishcycling.org.uk/points?person_id=426606&amp;year=2022&amp;type=national&amp;d=6","Results")</f>
        <v/>
      </c>
    </row>
    <row r="346">
      <c r="A346" t="inlineStr">
        <is>
          <t>345</t>
        </is>
      </c>
      <c r="B346" t="inlineStr">
        <is>
          <t>Chris Schroder</t>
        </is>
      </c>
      <c r="C346" t="inlineStr"/>
      <c r="D346" t="inlineStr">
        <is>
          <t>7</t>
        </is>
      </c>
      <c r="E346">
        <f>HYPERLINK("https://www.britishcycling.org.uk/points?person_id=187898&amp;year=2022&amp;type=national&amp;d=6","Results")</f>
        <v/>
      </c>
    </row>
    <row r="347">
      <c r="A347" t="inlineStr">
        <is>
          <t>346</t>
        </is>
      </c>
      <c r="B347" t="inlineStr">
        <is>
          <t>Andrew Seltzer</t>
        </is>
      </c>
      <c r="C347" t="inlineStr">
        <is>
          <t>East Grinstead CC</t>
        </is>
      </c>
      <c r="D347" t="inlineStr">
        <is>
          <t>7</t>
        </is>
      </c>
      <c r="E347">
        <f>HYPERLINK("https://www.britishcycling.org.uk/points?person_id=63054&amp;year=2022&amp;type=national&amp;d=6","Results")</f>
        <v/>
      </c>
    </row>
    <row r="348">
      <c r="A348" t="inlineStr">
        <is>
          <t>347</t>
        </is>
      </c>
      <c r="B348" t="inlineStr">
        <is>
          <t>Andrew Strathdee</t>
        </is>
      </c>
      <c r="C348" t="inlineStr">
        <is>
          <t>Nevis Cycles Racing Team</t>
        </is>
      </c>
      <c r="D348" t="inlineStr">
        <is>
          <t>7</t>
        </is>
      </c>
      <c r="E348">
        <f>HYPERLINK("https://www.britishcycling.org.uk/points?person_id=73690&amp;year=2022&amp;type=national&amp;d=6","Results")</f>
        <v/>
      </c>
    </row>
    <row r="349">
      <c r="A349" t="inlineStr">
        <is>
          <t>348</t>
        </is>
      </c>
      <c r="B349" t="inlineStr">
        <is>
          <t>Simon Croft</t>
        </is>
      </c>
      <c r="C349" t="inlineStr">
        <is>
          <t>Ellmore Factory Racing</t>
        </is>
      </c>
      <c r="D349" t="inlineStr">
        <is>
          <t>6</t>
        </is>
      </c>
      <c r="E349">
        <f>HYPERLINK("https://www.britishcycling.org.uk/points?person_id=191120&amp;year=2022&amp;type=national&amp;d=6","Results")</f>
        <v/>
      </c>
    </row>
    <row r="350">
      <c r="A350" t="inlineStr">
        <is>
          <t>349</t>
        </is>
      </c>
      <c r="B350" t="inlineStr">
        <is>
          <t>Steve Glass</t>
        </is>
      </c>
      <c r="C350" t="inlineStr">
        <is>
          <t>Salt &amp; Sham Cycle Club</t>
        </is>
      </c>
      <c r="D350" t="inlineStr">
        <is>
          <t>6</t>
        </is>
      </c>
      <c r="E350">
        <f>HYPERLINK("https://www.britishcycling.org.uk/points?person_id=137074&amp;year=2022&amp;type=national&amp;d=6","Results")</f>
        <v/>
      </c>
    </row>
    <row r="351">
      <c r="A351" t="inlineStr">
        <is>
          <t>350</t>
        </is>
      </c>
      <c r="B351" t="inlineStr">
        <is>
          <t>Michael Kay</t>
        </is>
      </c>
      <c r="C351" t="inlineStr"/>
      <c r="D351" t="inlineStr">
        <is>
          <t>6</t>
        </is>
      </c>
      <c r="E351">
        <f>HYPERLINK("https://www.britishcycling.org.uk/points?person_id=54398&amp;year=2022&amp;type=national&amp;d=6","Results")</f>
        <v/>
      </c>
    </row>
    <row r="352">
      <c r="A352" t="inlineStr">
        <is>
          <t>351</t>
        </is>
      </c>
      <c r="B352" t="inlineStr">
        <is>
          <t>Stuart Kinnon</t>
        </is>
      </c>
      <c r="C352" t="inlineStr">
        <is>
          <t>GS Invicta-ELO-Herberts Cycles</t>
        </is>
      </c>
      <c r="D352" t="inlineStr">
        <is>
          <t>6</t>
        </is>
      </c>
      <c r="E352">
        <f>HYPERLINK("https://www.britishcycling.org.uk/points?person_id=1721&amp;year=2022&amp;type=national&amp;d=6","Results")</f>
        <v/>
      </c>
    </row>
    <row r="353">
      <c r="A353" t="inlineStr">
        <is>
          <t>352</t>
        </is>
      </c>
      <c r="B353" t="inlineStr">
        <is>
          <t>Gregory Needham</t>
        </is>
      </c>
      <c r="C353" t="inlineStr">
        <is>
          <t>Lea Valley CC</t>
        </is>
      </c>
      <c r="D353" t="inlineStr">
        <is>
          <t>6</t>
        </is>
      </c>
      <c r="E353">
        <f>HYPERLINK("https://www.britishcycling.org.uk/points?person_id=43373&amp;year=2022&amp;type=national&amp;d=6","Results")</f>
        <v/>
      </c>
    </row>
    <row r="354">
      <c r="A354" t="inlineStr">
        <is>
          <t>353</t>
        </is>
      </c>
      <c r="B354" t="inlineStr">
        <is>
          <t>Rob Nicholson</t>
        </is>
      </c>
      <c r="C354" t="inlineStr">
        <is>
          <t>Classic Racing Team</t>
        </is>
      </c>
      <c r="D354" t="inlineStr">
        <is>
          <t>6</t>
        </is>
      </c>
      <c r="E354">
        <f>HYPERLINK("https://www.britishcycling.org.uk/points?person_id=6615&amp;year=2022&amp;type=national&amp;d=6","Results")</f>
        <v/>
      </c>
    </row>
    <row r="355">
      <c r="A355" t="inlineStr">
        <is>
          <t>354</t>
        </is>
      </c>
      <c r="B355" t="inlineStr">
        <is>
          <t>Mark Van Adrichem</t>
        </is>
      </c>
      <c r="C355" t="inlineStr">
        <is>
          <t>Matlock CC</t>
        </is>
      </c>
      <c r="D355" t="inlineStr">
        <is>
          <t>6</t>
        </is>
      </c>
      <c r="E355">
        <f>HYPERLINK("https://www.britishcycling.org.uk/points?person_id=294676&amp;year=2022&amp;type=national&amp;d=6","Results")</f>
        <v/>
      </c>
    </row>
    <row r="356">
      <c r="A356" t="inlineStr">
        <is>
          <t>355</t>
        </is>
      </c>
      <c r="B356" t="inlineStr">
        <is>
          <t>Paul Wright</t>
        </is>
      </c>
      <c r="C356" t="inlineStr">
        <is>
          <t>Velo Club Baracchi</t>
        </is>
      </c>
      <c r="D356" t="inlineStr">
        <is>
          <t>6</t>
        </is>
      </c>
      <c r="E356">
        <f>HYPERLINK("https://www.britishcycling.org.uk/points?person_id=453086&amp;year=2022&amp;type=national&amp;d=6","Results")</f>
        <v/>
      </c>
    </row>
    <row r="357">
      <c r="A357" t="inlineStr">
        <is>
          <t>356</t>
        </is>
      </c>
      <c r="B357" t="inlineStr">
        <is>
          <t>Nick Chilton</t>
        </is>
      </c>
      <c r="C357" t="inlineStr">
        <is>
          <t>Derby Mercury RC</t>
        </is>
      </c>
      <c r="D357" t="inlineStr">
        <is>
          <t>5</t>
        </is>
      </c>
      <c r="E357">
        <f>HYPERLINK("https://www.britishcycling.org.uk/points?person_id=194735&amp;year=2022&amp;type=national&amp;d=6","Results")</f>
        <v/>
      </c>
    </row>
    <row r="358">
      <c r="A358" t="inlineStr">
        <is>
          <t>357</t>
        </is>
      </c>
      <c r="B358" t="inlineStr">
        <is>
          <t>Derek Gallacher</t>
        </is>
      </c>
      <c r="C358" t="inlineStr">
        <is>
          <t>Newmarket Cycling &amp;Triathlon Club</t>
        </is>
      </c>
      <c r="D358" t="inlineStr">
        <is>
          <t>5</t>
        </is>
      </c>
      <c r="E358">
        <f>HYPERLINK("https://www.britishcycling.org.uk/points?person_id=347253&amp;year=2022&amp;type=national&amp;d=6","Results")</f>
        <v/>
      </c>
    </row>
    <row r="359">
      <c r="A359" t="inlineStr">
        <is>
          <t>358</t>
        </is>
      </c>
      <c r="B359" t="inlineStr">
        <is>
          <t>Norman Gillan</t>
        </is>
      </c>
      <c r="C359" t="inlineStr"/>
      <c r="D359" t="inlineStr">
        <is>
          <t>5</t>
        </is>
      </c>
      <c r="E359">
        <f>HYPERLINK("https://www.britishcycling.org.uk/points?person_id=391037&amp;year=2022&amp;type=national&amp;d=6","Results")</f>
        <v/>
      </c>
    </row>
    <row r="360">
      <c r="A360" t="inlineStr">
        <is>
          <t>359</t>
        </is>
      </c>
      <c r="B360" t="inlineStr">
        <is>
          <t>Colin Murray</t>
        </is>
      </c>
      <c r="C360" t="inlineStr">
        <is>
          <t>Tyneside Vagabonds CC</t>
        </is>
      </c>
      <c r="D360" t="inlineStr">
        <is>
          <t>5</t>
        </is>
      </c>
      <c r="E360">
        <f>HYPERLINK("https://www.britishcycling.org.uk/points?person_id=189031&amp;year=2022&amp;type=national&amp;d=6","Results")</f>
        <v/>
      </c>
    </row>
    <row r="361">
      <c r="A361" t="inlineStr">
        <is>
          <t>360</t>
        </is>
      </c>
      <c r="B361" t="inlineStr">
        <is>
          <t>Paul Neville</t>
        </is>
      </c>
      <c r="C361" t="inlineStr">
        <is>
          <t>C and N Cycles RT</t>
        </is>
      </c>
      <c r="D361" t="inlineStr">
        <is>
          <t>5</t>
        </is>
      </c>
      <c r="E361">
        <f>HYPERLINK("https://www.britishcycling.org.uk/points?person_id=122455&amp;year=2022&amp;type=national&amp;d=6","Results")</f>
        <v/>
      </c>
    </row>
    <row r="362">
      <c r="A362" t="inlineStr">
        <is>
          <t>361</t>
        </is>
      </c>
      <c r="B362" t="inlineStr">
        <is>
          <t>Daniel Smith</t>
        </is>
      </c>
      <c r="C362" t="inlineStr">
        <is>
          <t>The Ark Cycles</t>
        </is>
      </c>
      <c r="D362" t="inlineStr">
        <is>
          <t>5</t>
        </is>
      </c>
      <c r="E362">
        <f>HYPERLINK("https://www.britishcycling.org.uk/points?person_id=42192&amp;year=2022&amp;type=national&amp;d=6","Results")</f>
        <v/>
      </c>
    </row>
    <row r="363">
      <c r="A363" t="inlineStr">
        <is>
          <t>362</t>
        </is>
      </c>
      <c r="B363" t="inlineStr">
        <is>
          <t>Derek Billham</t>
        </is>
      </c>
      <c r="C363" t="inlineStr">
        <is>
          <t>North Tyneside Riders</t>
        </is>
      </c>
      <c r="D363" t="inlineStr">
        <is>
          <t>4</t>
        </is>
      </c>
      <c r="E363">
        <f>HYPERLINK("https://www.britishcycling.org.uk/points?person_id=321373&amp;year=2022&amp;type=national&amp;d=6","Results")</f>
        <v/>
      </c>
    </row>
    <row r="364">
      <c r="A364" t="inlineStr">
        <is>
          <t>363</t>
        </is>
      </c>
      <c r="B364" t="inlineStr">
        <is>
          <t>John Blunsdon</t>
        </is>
      </c>
      <c r="C364" t="inlineStr">
        <is>
          <t>Deeside Thistle CC</t>
        </is>
      </c>
      <c r="D364" t="inlineStr">
        <is>
          <t>4</t>
        </is>
      </c>
      <c r="E364">
        <f>HYPERLINK("https://www.britishcycling.org.uk/points?person_id=62127&amp;year=2022&amp;type=national&amp;d=6","Results")</f>
        <v/>
      </c>
    </row>
    <row r="365">
      <c r="A365" t="inlineStr">
        <is>
          <t>364</t>
        </is>
      </c>
      <c r="B365" t="inlineStr">
        <is>
          <t>Jez Hart</t>
        </is>
      </c>
      <c r="C365" t="inlineStr">
        <is>
          <t>Sotonia CC</t>
        </is>
      </c>
      <c r="D365" t="inlineStr">
        <is>
          <t>4</t>
        </is>
      </c>
      <c r="E365">
        <f>HYPERLINK("https://www.britishcycling.org.uk/points?person_id=132305&amp;year=2022&amp;type=national&amp;d=6","Results")</f>
        <v/>
      </c>
    </row>
    <row r="366">
      <c r="A366" t="inlineStr">
        <is>
          <t>365</t>
        </is>
      </c>
      <c r="B366" t="inlineStr">
        <is>
          <t>Andy Jukes</t>
        </is>
      </c>
      <c r="C366" t="inlineStr">
        <is>
          <t>Wheal Velocity</t>
        </is>
      </c>
      <c r="D366" t="inlineStr">
        <is>
          <t>4</t>
        </is>
      </c>
      <c r="E366">
        <f>HYPERLINK("https://www.britishcycling.org.uk/points?person_id=756125&amp;year=2022&amp;type=national&amp;d=6","Results")</f>
        <v/>
      </c>
    </row>
    <row r="367">
      <c r="A367" t="inlineStr">
        <is>
          <t>366</t>
        </is>
      </c>
      <c r="B367" t="inlineStr">
        <is>
          <t>David Smith</t>
        </is>
      </c>
      <c r="C367" t="inlineStr">
        <is>
          <t>Kendal Cycle Club</t>
        </is>
      </c>
      <c r="D367" t="inlineStr">
        <is>
          <t>4</t>
        </is>
      </c>
      <c r="E367">
        <f>HYPERLINK("https://www.britishcycling.org.uk/points?person_id=613985&amp;year=2022&amp;type=national&amp;d=6","Results")</f>
        <v/>
      </c>
    </row>
    <row r="368">
      <c r="A368" t="inlineStr">
        <is>
          <t>367</t>
        </is>
      </c>
      <c r="B368" t="inlineStr">
        <is>
          <t>Jonathan Watson</t>
        </is>
      </c>
      <c r="C368" t="inlineStr">
        <is>
          <t>SCOTT Racing</t>
        </is>
      </c>
      <c r="D368" t="inlineStr">
        <is>
          <t>4</t>
        </is>
      </c>
      <c r="E368">
        <f>HYPERLINK("https://www.britishcycling.org.uk/points?person_id=63650&amp;year=2022&amp;type=national&amp;d=6","Results")</f>
        <v/>
      </c>
    </row>
    <row r="369">
      <c r="A369" t="inlineStr">
        <is>
          <t>368</t>
        </is>
      </c>
      <c r="B369" t="inlineStr">
        <is>
          <t>Daniel Wood</t>
        </is>
      </c>
      <c r="C369" t="inlineStr">
        <is>
          <t>Stevenage CC</t>
        </is>
      </c>
      <c r="D369" t="inlineStr">
        <is>
          <t>4</t>
        </is>
      </c>
      <c r="E369">
        <f>HYPERLINK("https://www.britishcycling.org.uk/points?person_id=136449&amp;year=2022&amp;type=national&amp;d=6","Results")</f>
        <v/>
      </c>
    </row>
    <row r="370">
      <c r="A370" t="inlineStr">
        <is>
          <t>369</t>
        </is>
      </c>
      <c r="B370" t="inlineStr">
        <is>
          <t>Desmond Astley</t>
        </is>
      </c>
      <c r="C370" t="inlineStr">
        <is>
          <t>Merthyr Cycling Club</t>
        </is>
      </c>
      <c r="D370" t="inlineStr">
        <is>
          <t>3</t>
        </is>
      </c>
      <c r="E370">
        <f>HYPERLINK("https://www.britishcycling.org.uk/points?person_id=47955&amp;year=2022&amp;type=national&amp;d=6","Results")</f>
        <v/>
      </c>
    </row>
    <row r="371">
      <c r="A371" t="inlineStr">
        <is>
          <t>370</t>
        </is>
      </c>
      <c r="B371" t="inlineStr">
        <is>
          <t>Andrew Ayears</t>
        </is>
      </c>
      <c r="C371" t="inlineStr">
        <is>
          <t>Welland Valley CC</t>
        </is>
      </c>
      <c r="D371" t="inlineStr">
        <is>
          <t>3</t>
        </is>
      </c>
      <c r="E371">
        <f>HYPERLINK("https://www.britishcycling.org.uk/points?person_id=106066&amp;year=2022&amp;type=national&amp;d=6","Results")</f>
        <v/>
      </c>
    </row>
    <row r="372">
      <c r="A372" t="inlineStr">
        <is>
          <t>371</t>
        </is>
      </c>
      <c r="B372" t="inlineStr">
        <is>
          <t>Mark Botteley</t>
        </is>
      </c>
      <c r="C372" t="inlineStr">
        <is>
          <t>Brother UK-Orientation Marketing</t>
        </is>
      </c>
      <c r="D372" t="inlineStr">
        <is>
          <t>3</t>
        </is>
      </c>
      <c r="E372">
        <f>HYPERLINK("https://www.britishcycling.org.uk/points?person_id=6382&amp;year=2022&amp;type=national&amp;d=6","Results")</f>
        <v/>
      </c>
    </row>
    <row r="373">
      <c r="A373" t="inlineStr">
        <is>
          <t>372</t>
        </is>
      </c>
      <c r="B373" t="inlineStr">
        <is>
          <t>Paul Gilbert</t>
        </is>
      </c>
      <c r="C373" t="inlineStr">
        <is>
          <t>High Wycombe Cycling Club</t>
        </is>
      </c>
      <c r="D373" t="inlineStr">
        <is>
          <t>3</t>
        </is>
      </c>
      <c r="E373">
        <f>HYPERLINK("https://www.britishcycling.org.uk/points?person_id=85472&amp;year=2022&amp;type=national&amp;d=6","Results")</f>
        <v/>
      </c>
    </row>
    <row r="374">
      <c r="A374" t="inlineStr">
        <is>
          <t>373</t>
        </is>
      </c>
      <c r="B374" t="inlineStr">
        <is>
          <t>Clive Heard</t>
        </is>
      </c>
      <c r="C374" t="inlineStr">
        <is>
          <t>Axe Valley Pedallers</t>
        </is>
      </c>
      <c r="D374" t="inlineStr">
        <is>
          <t>3</t>
        </is>
      </c>
      <c r="E374">
        <f>HYPERLINK("https://www.britishcycling.org.uk/points?person_id=132172&amp;year=2022&amp;type=national&amp;d=6","Results")</f>
        <v/>
      </c>
    </row>
    <row r="375">
      <c r="A375" t="inlineStr">
        <is>
          <t>374</t>
        </is>
      </c>
      <c r="B375" t="inlineStr">
        <is>
          <t>Simon Jones</t>
        </is>
      </c>
      <c r="C375" t="inlineStr">
        <is>
          <t>Fred Williams Cycles</t>
        </is>
      </c>
      <c r="D375" t="inlineStr">
        <is>
          <t>3</t>
        </is>
      </c>
      <c r="E375">
        <f>HYPERLINK("https://www.britishcycling.org.uk/points?person_id=17938&amp;year=2022&amp;type=national&amp;d=6","Results")</f>
        <v/>
      </c>
    </row>
    <row r="376">
      <c r="A376" t="inlineStr">
        <is>
          <t>375</t>
        </is>
      </c>
      <c r="B376" t="inlineStr">
        <is>
          <t>Phil Kirby</t>
        </is>
      </c>
      <c r="C376" t="inlineStr">
        <is>
          <t>VC Londres</t>
        </is>
      </c>
      <c r="D376" t="inlineStr">
        <is>
          <t>3</t>
        </is>
      </c>
      <c r="E376">
        <f>HYPERLINK("https://www.britishcycling.org.uk/points?person_id=283147&amp;year=2022&amp;type=national&amp;d=6","Results")</f>
        <v/>
      </c>
    </row>
    <row r="377">
      <c r="A377" t="inlineStr">
        <is>
          <t>376</t>
        </is>
      </c>
      <c r="B377" t="inlineStr">
        <is>
          <t>Paul Milner</t>
        </is>
      </c>
      <c r="C377" t="inlineStr">
        <is>
          <t>Worcester St Johns CC</t>
        </is>
      </c>
      <c r="D377" t="inlineStr">
        <is>
          <t>3</t>
        </is>
      </c>
      <c r="E377">
        <f>HYPERLINK("https://www.britishcycling.org.uk/points?person_id=136092&amp;year=2022&amp;type=national&amp;d=6","Results")</f>
        <v/>
      </c>
    </row>
    <row r="378">
      <c r="A378" t="inlineStr">
        <is>
          <t>377</t>
        </is>
      </c>
      <c r="B378" t="inlineStr">
        <is>
          <t>John Owen</t>
        </is>
      </c>
      <c r="C378" t="inlineStr">
        <is>
          <t>Ronde Cycling Club</t>
        </is>
      </c>
      <c r="D378" t="inlineStr">
        <is>
          <t>3</t>
        </is>
      </c>
      <c r="E378">
        <f>HYPERLINK("https://www.britishcycling.org.uk/points?person_id=29184&amp;year=2022&amp;type=national&amp;d=6","Results")</f>
        <v/>
      </c>
    </row>
    <row r="379">
      <c r="A379" t="inlineStr">
        <is>
          <t>378</t>
        </is>
      </c>
      <c r="B379" t="inlineStr">
        <is>
          <t>Rob Pettitt</t>
        </is>
      </c>
      <c r="C379" t="inlineStr">
        <is>
          <t>Chester RC</t>
        </is>
      </c>
      <c r="D379" t="inlineStr">
        <is>
          <t>3</t>
        </is>
      </c>
      <c r="E379">
        <f>HYPERLINK("https://www.britishcycling.org.uk/points?person_id=417285&amp;year=2022&amp;type=national&amp;d=6","Results")</f>
        <v/>
      </c>
    </row>
    <row r="380">
      <c r="A380" t="inlineStr">
        <is>
          <t>379</t>
        </is>
      </c>
      <c r="B380" t="inlineStr">
        <is>
          <t>Sam Phillips</t>
        </is>
      </c>
      <c r="C380" t="inlineStr">
        <is>
          <t>WDMBC</t>
        </is>
      </c>
      <c r="D380" t="inlineStr">
        <is>
          <t>3</t>
        </is>
      </c>
      <c r="E380">
        <f>HYPERLINK("https://www.britishcycling.org.uk/points?person_id=345399&amp;year=2022&amp;type=national&amp;d=6","Results")</f>
        <v/>
      </c>
    </row>
    <row r="381">
      <c r="A381" t="inlineStr">
        <is>
          <t>380</t>
        </is>
      </c>
      <c r="B381" t="inlineStr">
        <is>
          <t>Alastair Ross</t>
        </is>
      </c>
      <c r="C381" t="inlineStr"/>
      <c r="D381" t="inlineStr">
        <is>
          <t>3</t>
        </is>
      </c>
      <c r="E381">
        <f>HYPERLINK("https://www.britishcycling.org.uk/points?person_id=658938&amp;year=2022&amp;type=national&amp;d=6","Results")</f>
        <v/>
      </c>
    </row>
    <row r="382">
      <c r="A382" t="inlineStr">
        <is>
          <t>381</t>
        </is>
      </c>
      <c r="B382" t="inlineStr">
        <is>
          <t>Adrian Smith</t>
        </is>
      </c>
      <c r="C382" t="inlineStr"/>
      <c r="D382" t="inlineStr">
        <is>
          <t>3</t>
        </is>
      </c>
      <c r="E382">
        <f>HYPERLINK("https://www.britishcycling.org.uk/points?person_id=619725&amp;year=2022&amp;type=national&amp;d=6","Results")</f>
        <v/>
      </c>
    </row>
    <row r="383">
      <c r="A383" t="inlineStr">
        <is>
          <t>382</t>
        </is>
      </c>
      <c r="B383" t="inlineStr">
        <is>
          <t>James Tredray</t>
        </is>
      </c>
      <c r="C383" t="inlineStr">
        <is>
          <t>Dulwich Paragon CC</t>
        </is>
      </c>
      <c r="D383" t="inlineStr">
        <is>
          <t>3</t>
        </is>
      </c>
      <c r="E383">
        <f>HYPERLINK("https://www.britishcycling.org.uk/points?person_id=402934&amp;year=2022&amp;type=national&amp;d=6","Results")</f>
        <v/>
      </c>
    </row>
    <row r="384">
      <c r="A384" t="inlineStr">
        <is>
          <t>383</t>
        </is>
      </c>
      <c r="B384" t="inlineStr">
        <is>
          <t>Dave Woodvine</t>
        </is>
      </c>
      <c r="C384" t="inlineStr">
        <is>
          <t>Mid Shropshire Wheelers</t>
        </is>
      </c>
      <c r="D384" t="inlineStr">
        <is>
          <t>3</t>
        </is>
      </c>
      <c r="E384">
        <f>HYPERLINK("https://www.britishcycling.org.uk/points?person_id=220369&amp;year=2022&amp;type=national&amp;d=6","Results")</f>
        <v/>
      </c>
    </row>
    <row r="385">
      <c r="A385" t="inlineStr">
        <is>
          <t>384</t>
        </is>
      </c>
      <c r="B385" t="inlineStr">
        <is>
          <t>Ian Chatten</t>
        </is>
      </c>
      <c r="C385" t="inlineStr">
        <is>
          <t>Aylsham Road Club</t>
        </is>
      </c>
      <c r="D385" t="inlineStr">
        <is>
          <t>2</t>
        </is>
      </c>
      <c r="E385">
        <f>HYPERLINK("https://www.britishcycling.org.uk/points?person_id=224552&amp;year=2022&amp;type=national&amp;d=6","Results")</f>
        <v/>
      </c>
    </row>
    <row r="386">
      <c r="A386" t="inlineStr">
        <is>
          <t>385</t>
        </is>
      </c>
      <c r="B386" t="inlineStr">
        <is>
          <t>Charles Codrington</t>
        </is>
      </c>
      <c r="C386" t="inlineStr">
        <is>
          <t>Dulwich Paragon CC</t>
        </is>
      </c>
      <c r="D386" t="inlineStr">
        <is>
          <t>2</t>
        </is>
      </c>
      <c r="E386">
        <f>HYPERLINK("https://www.britishcycling.org.uk/points?person_id=18732&amp;year=2022&amp;type=national&amp;d=6","Results")</f>
        <v/>
      </c>
    </row>
    <row r="387">
      <c r="A387" t="inlineStr">
        <is>
          <t>386</t>
        </is>
      </c>
      <c r="B387" t="inlineStr">
        <is>
          <t>John Dixon</t>
        </is>
      </c>
      <c r="C387" t="inlineStr">
        <is>
          <t>Bolsover &amp; District Cycling Club</t>
        </is>
      </c>
      <c r="D387" t="inlineStr">
        <is>
          <t>2</t>
        </is>
      </c>
      <c r="E387">
        <f>HYPERLINK("https://www.britishcycling.org.uk/points?person_id=542638&amp;year=2022&amp;type=national&amp;d=6","Results")</f>
        <v/>
      </c>
    </row>
    <row r="388">
      <c r="A388" t="inlineStr">
        <is>
          <t>387</t>
        </is>
      </c>
      <c r="B388" t="inlineStr">
        <is>
          <t>Mike Giles</t>
        </is>
      </c>
      <c r="C388" t="inlineStr">
        <is>
          <t>Ythan CC</t>
        </is>
      </c>
      <c r="D388" t="inlineStr">
        <is>
          <t>2</t>
        </is>
      </c>
      <c r="E388">
        <f>HYPERLINK("https://www.britishcycling.org.uk/points?person_id=136073&amp;year=2022&amp;type=national&amp;d=6","Results")</f>
        <v/>
      </c>
    </row>
    <row r="389">
      <c r="A389" t="inlineStr">
        <is>
          <t>388</t>
        </is>
      </c>
      <c r="B389" t="inlineStr">
        <is>
          <t>Richard Gostick</t>
        </is>
      </c>
      <c r="C389" t="inlineStr">
        <is>
          <t>Reading CC</t>
        </is>
      </c>
      <c r="D389" t="inlineStr">
        <is>
          <t>2</t>
        </is>
      </c>
      <c r="E389">
        <f>HYPERLINK("https://www.britishcycling.org.uk/points?person_id=265&amp;year=2022&amp;type=national&amp;d=6","Results")</f>
        <v/>
      </c>
    </row>
    <row r="390">
      <c r="A390" t="inlineStr">
        <is>
          <t>389</t>
        </is>
      </c>
      <c r="B390" t="inlineStr">
        <is>
          <t>Oisin Kelly</t>
        </is>
      </c>
      <c r="C390" t="inlineStr">
        <is>
          <t>Cotswold Veldrijden</t>
        </is>
      </c>
      <c r="D390" t="inlineStr">
        <is>
          <t>2</t>
        </is>
      </c>
      <c r="E390">
        <f>HYPERLINK("https://www.britishcycling.org.uk/points?person_id=258375&amp;year=2022&amp;type=national&amp;d=6","Results")</f>
        <v/>
      </c>
    </row>
    <row r="391">
      <c r="A391" t="inlineStr">
        <is>
          <t>390</t>
        </is>
      </c>
      <c r="B391" t="inlineStr">
        <is>
          <t>Lee King</t>
        </is>
      </c>
      <c r="C391" t="inlineStr"/>
      <c r="D391" t="inlineStr">
        <is>
          <t>2</t>
        </is>
      </c>
      <c r="E391">
        <f>HYPERLINK("https://www.britishcycling.org.uk/points?person_id=37010&amp;year=2022&amp;type=national&amp;d=6","Results")</f>
        <v/>
      </c>
    </row>
    <row r="392">
      <c r="A392" t="inlineStr">
        <is>
          <t>391</t>
        </is>
      </c>
      <c r="B392" t="inlineStr">
        <is>
          <t>Colin Knox</t>
        </is>
      </c>
      <c r="C392" t="inlineStr"/>
      <c r="D392" t="inlineStr">
        <is>
          <t>2</t>
        </is>
      </c>
      <c r="E392">
        <f>HYPERLINK("https://www.britishcycling.org.uk/points?person_id=568076&amp;year=2022&amp;type=national&amp;d=6","Results")</f>
        <v/>
      </c>
    </row>
    <row r="393">
      <c r="A393" t="inlineStr">
        <is>
          <t>392</t>
        </is>
      </c>
      <c r="B393" t="inlineStr">
        <is>
          <t>John Lemonius</t>
        </is>
      </c>
      <c r="C393" t="inlineStr"/>
      <c r="D393" t="inlineStr">
        <is>
          <t>2</t>
        </is>
      </c>
      <c r="E393">
        <f>HYPERLINK("https://www.britishcycling.org.uk/points?person_id=421824&amp;year=2022&amp;type=national&amp;d=6","Results")</f>
        <v/>
      </c>
    </row>
    <row r="394">
      <c r="A394" t="inlineStr">
        <is>
          <t>393</t>
        </is>
      </c>
      <c r="B394" t="inlineStr">
        <is>
          <t>Marcus Spencer</t>
        </is>
      </c>
      <c r="C394" t="inlineStr"/>
      <c r="D394" t="inlineStr">
        <is>
          <t>2</t>
        </is>
      </c>
      <c r="E394">
        <f>HYPERLINK("https://www.britishcycling.org.uk/points?person_id=22144&amp;year=2022&amp;type=national&amp;d=6","Results")</f>
        <v/>
      </c>
    </row>
    <row r="395">
      <c r="A395" t="inlineStr">
        <is>
          <t>394</t>
        </is>
      </c>
      <c r="B395" t="inlineStr">
        <is>
          <t>Paul Stockwell</t>
        </is>
      </c>
      <c r="C395" t="inlineStr">
        <is>
          <t>West Yorkshire Police CC</t>
        </is>
      </c>
      <c r="D395" t="inlineStr">
        <is>
          <t>2</t>
        </is>
      </c>
      <c r="E395">
        <f>HYPERLINK("https://www.britishcycling.org.uk/points?person_id=63882&amp;year=2022&amp;type=national&amp;d=6","Results")</f>
        <v/>
      </c>
    </row>
    <row r="396">
      <c r="A396" t="inlineStr">
        <is>
          <t>395</t>
        </is>
      </c>
      <c r="B396" t="inlineStr">
        <is>
          <t>Martyn Wisken</t>
        </is>
      </c>
      <c r="C396" t="inlineStr">
        <is>
          <t>Hemel Hempstead CC</t>
        </is>
      </c>
      <c r="D396" t="inlineStr">
        <is>
          <t>2</t>
        </is>
      </c>
      <c r="E396">
        <f>HYPERLINK("https://www.britishcycling.org.uk/points?person_id=430755&amp;year=2022&amp;type=national&amp;d=6","Results")</f>
        <v/>
      </c>
    </row>
    <row r="397">
      <c r="A397" t="inlineStr">
        <is>
          <t>396</t>
        </is>
      </c>
      <c r="B397" t="inlineStr">
        <is>
          <t>Jonathon Bister</t>
        </is>
      </c>
      <c r="C397" t="inlineStr"/>
      <c r="D397" t="inlineStr">
        <is>
          <t>1</t>
        </is>
      </c>
      <c r="E397">
        <f>HYPERLINK("https://www.britishcycling.org.uk/points?person_id=20801&amp;year=2022&amp;type=national&amp;d=6","Results")</f>
        <v/>
      </c>
    </row>
    <row r="398">
      <c r="A398" t="inlineStr">
        <is>
          <t>397</t>
        </is>
      </c>
      <c r="B398" t="inlineStr">
        <is>
          <t>Garry Bolton</t>
        </is>
      </c>
      <c r="C398" t="inlineStr">
        <is>
          <t>Wolverhampton Wheelers</t>
        </is>
      </c>
      <c r="D398" t="inlineStr">
        <is>
          <t>1</t>
        </is>
      </c>
      <c r="E398">
        <f>HYPERLINK("https://www.britishcycling.org.uk/points?person_id=100414&amp;year=2022&amp;type=national&amp;d=6","Results")</f>
        <v/>
      </c>
    </row>
    <row r="399">
      <c r="A399" t="inlineStr">
        <is>
          <t>398</t>
        </is>
      </c>
      <c r="B399" t="inlineStr">
        <is>
          <t>James Brown</t>
        </is>
      </c>
      <c r="C399" t="inlineStr">
        <is>
          <t>VC Deal</t>
        </is>
      </c>
      <c r="D399" t="inlineStr">
        <is>
          <t>1</t>
        </is>
      </c>
      <c r="E399">
        <f>HYPERLINK("https://www.britishcycling.org.uk/points?person_id=242417&amp;year=2022&amp;type=national&amp;d=6","Results")</f>
        <v/>
      </c>
    </row>
    <row r="400">
      <c r="A400" t="inlineStr">
        <is>
          <t>399</t>
        </is>
      </c>
      <c r="B400" t="inlineStr">
        <is>
          <t>Graham Galvin</t>
        </is>
      </c>
      <c r="C400" t="inlineStr">
        <is>
          <t>East London Velo</t>
        </is>
      </c>
      <c r="D400" t="inlineStr">
        <is>
          <t>1</t>
        </is>
      </c>
      <c r="E400">
        <f>HYPERLINK("https://www.britishcycling.org.uk/points?person_id=13146&amp;year=2022&amp;type=national&amp;d=6","Results")</f>
        <v/>
      </c>
    </row>
    <row r="401">
      <c r="A401" t="inlineStr">
        <is>
          <t>400</t>
        </is>
      </c>
      <c r="B401" t="inlineStr">
        <is>
          <t>Mark Garrett</t>
        </is>
      </c>
      <c r="C401" t="inlineStr">
        <is>
          <t>Ride Coventry</t>
        </is>
      </c>
      <c r="D401" t="inlineStr">
        <is>
          <t>1</t>
        </is>
      </c>
      <c r="E401">
        <f>HYPERLINK("https://www.britishcycling.org.uk/points?person_id=74190&amp;year=2022&amp;type=national&amp;d=6","Results")</f>
        <v/>
      </c>
    </row>
    <row r="402">
      <c r="A402" t="inlineStr">
        <is>
          <t>401</t>
        </is>
      </c>
      <c r="B402" t="inlineStr">
        <is>
          <t>Geoff Giddings</t>
        </is>
      </c>
      <c r="C402" t="inlineStr">
        <is>
          <t>Team Ohten Aveas</t>
        </is>
      </c>
      <c r="D402" t="inlineStr">
        <is>
          <t>1</t>
        </is>
      </c>
      <c r="E402">
        <f>HYPERLINK("https://www.britishcycling.org.uk/points?person_id=40427&amp;year=2022&amp;type=national&amp;d=6","Results")</f>
        <v/>
      </c>
    </row>
    <row r="403">
      <c r="A403" t="inlineStr">
        <is>
          <t>402</t>
        </is>
      </c>
      <c r="B403" t="inlineStr">
        <is>
          <t>Nigel Langridge</t>
        </is>
      </c>
      <c r="C403" t="inlineStr">
        <is>
          <t>Crawley Wheelers Race Team</t>
        </is>
      </c>
      <c r="D403" t="inlineStr">
        <is>
          <t>1</t>
        </is>
      </c>
      <c r="E403">
        <f>HYPERLINK("https://www.britishcycling.org.uk/points?person_id=30796&amp;year=2022&amp;type=national&amp;d=6","Results")</f>
        <v/>
      </c>
    </row>
    <row r="404">
      <c r="A404" t="inlineStr">
        <is>
          <t>403</t>
        </is>
      </c>
      <c r="B404" t="inlineStr">
        <is>
          <t>Stuart McGhee</t>
        </is>
      </c>
      <c r="C404" t="inlineStr"/>
      <c r="D404" t="inlineStr">
        <is>
          <t>1</t>
        </is>
      </c>
      <c r="E404">
        <f>HYPERLINK("https://www.britishcycling.org.uk/points?person_id=35340&amp;year=2022&amp;type=national&amp;d=6","Results")</f>
        <v/>
      </c>
    </row>
    <row r="405">
      <c r="A405" t="inlineStr">
        <is>
          <t>404</t>
        </is>
      </c>
      <c r="B405" t="inlineStr">
        <is>
          <t>Chris Montagu</t>
        </is>
      </c>
      <c r="C405" t="inlineStr">
        <is>
          <t>Kingston Wheelers CC</t>
        </is>
      </c>
      <c r="D405" t="inlineStr">
        <is>
          <t>1</t>
        </is>
      </c>
      <c r="E405">
        <f>HYPERLINK("https://www.britishcycling.org.uk/points?person_id=391212&amp;year=2022&amp;type=national&amp;d=6","Results")</f>
        <v/>
      </c>
    </row>
    <row r="406">
      <c r="A406" t="inlineStr">
        <is>
          <t>405</t>
        </is>
      </c>
      <c r="B406" t="inlineStr">
        <is>
          <t>Paul Munday</t>
        </is>
      </c>
      <c r="C406" t="inlineStr"/>
      <c r="D406" t="inlineStr">
        <is>
          <t>1</t>
        </is>
      </c>
      <c r="E406">
        <f>HYPERLINK("https://www.britishcycling.org.uk/points?person_id=465309&amp;year=2022&amp;type=national&amp;d=6","Results")</f>
        <v/>
      </c>
    </row>
    <row r="407">
      <c r="A407" t="inlineStr">
        <is>
          <t>406</t>
        </is>
      </c>
      <c r="B407" t="inlineStr">
        <is>
          <t>Martin Peace</t>
        </is>
      </c>
      <c r="C407" t="inlineStr">
        <is>
          <t>Shibden Cycling Club</t>
        </is>
      </c>
      <c r="D407" t="inlineStr">
        <is>
          <t>1</t>
        </is>
      </c>
      <c r="E407">
        <f>HYPERLINK("https://www.britishcycling.org.uk/points?person_id=538165&amp;year=2022&amp;type=national&amp;d=6","Results")</f>
        <v/>
      </c>
    </row>
    <row r="408">
      <c r="A408" t="inlineStr">
        <is>
          <t>407</t>
        </is>
      </c>
      <c r="B408" t="inlineStr">
        <is>
          <t>Peter Phillips</t>
        </is>
      </c>
      <c r="C408" t="inlineStr">
        <is>
          <t>Bath Cycling Club</t>
        </is>
      </c>
      <c r="D408" t="inlineStr">
        <is>
          <t>1</t>
        </is>
      </c>
      <c r="E408">
        <f>HYPERLINK("https://www.britishcycling.org.uk/points?person_id=19771&amp;year=2022&amp;type=national&amp;d=6","Results")</f>
        <v/>
      </c>
    </row>
    <row r="409">
      <c r="A409" t="inlineStr">
        <is>
          <t>408</t>
        </is>
      </c>
      <c r="B409" t="inlineStr">
        <is>
          <t>Simon Scarsbrook</t>
        </is>
      </c>
      <c r="C409" t="inlineStr">
        <is>
          <t>C and N Cycles RT</t>
        </is>
      </c>
      <c r="D409" t="inlineStr">
        <is>
          <t>1</t>
        </is>
      </c>
      <c r="E409">
        <f>HYPERLINK("https://www.britishcycling.org.uk/points?person_id=52268&amp;year=2022&amp;type=national&amp;d=6","Results")</f>
        <v/>
      </c>
    </row>
    <row r="410">
      <c r="A410" t="inlineStr">
        <is>
          <t>409</t>
        </is>
      </c>
      <c r="B410" t="inlineStr">
        <is>
          <t>Steve Shepherd</t>
        </is>
      </c>
      <c r="C410" t="inlineStr"/>
      <c r="D410" t="inlineStr">
        <is>
          <t>1</t>
        </is>
      </c>
      <c r="E410">
        <f>HYPERLINK("https://www.britishcycling.org.uk/points?person_id=69953&amp;year=2022&amp;type=national&amp;d=6","Results")</f>
        <v/>
      </c>
    </row>
    <row r="411">
      <c r="A411" t="inlineStr">
        <is>
          <t>410</t>
        </is>
      </c>
      <c r="B411" t="inlineStr">
        <is>
          <t>Finn Spicer</t>
        </is>
      </c>
      <c r="C411" t="inlineStr"/>
      <c r="D411" t="inlineStr">
        <is>
          <t>1</t>
        </is>
      </c>
      <c r="E411">
        <f>HYPERLINK("https://www.britishcycling.org.uk/points?person_id=50195&amp;year=2022&amp;type=national&amp;d=6","Results")</f>
        <v/>
      </c>
    </row>
    <row r="412">
      <c r="A412" t="inlineStr">
        <is>
          <t>411</t>
        </is>
      </c>
      <c r="B412" t="inlineStr">
        <is>
          <t>Graham Veal</t>
        </is>
      </c>
      <c r="C412" t="inlineStr">
        <is>
          <t>Weaver Valley CC</t>
        </is>
      </c>
      <c r="D412" t="inlineStr">
        <is>
          <t>1</t>
        </is>
      </c>
      <c r="E412">
        <f>HYPERLINK("https://www.britishcycling.org.uk/points?person_id=13219&amp;year=2022&amp;type=national&amp;d=6","Results")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Paul Caton</t>
        </is>
      </c>
      <c r="C2" t="inlineStr">
        <is>
          <t>Verulam - reallymoving.com</t>
        </is>
      </c>
      <c r="D2" t="inlineStr">
        <is>
          <t>624</t>
        </is>
      </c>
      <c r="E2">
        <f>HYPERLINK("https://www.britishcycling.org.uk/points?person_id=60973&amp;year=2022&amp;type=national&amp;d=6","Results")</f>
        <v/>
      </c>
    </row>
    <row r="3">
      <c r="A3" t="inlineStr">
        <is>
          <t>2</t>
        </is>
      </c>
      <c r="B3" t="inlineStr">
        <is>
          <t>Dave McMullen</t>
        </is>
      </c>
      <c r="C3" t="inlineStr">
        <is>
          <t>Cotswold Veldrijden</t>
        </is>
      </c>
      <c r="D3" t="inlineStr">
        <is>
          <t>550</t>
        </is>
      </c>
      <c r="E3">
        <f>HYPERLINK("https://www.britishcycling.org.uk/points?person_id=78823&amp;year=2022&amp;type=national&amp;d=6","Results")</f>
        <v/>
      </c>
    </row>
    <row r="4">
      <c r="A4" t="inlineStr">
        <is>
          <t>3</t>
        </is>
      </c>
      <c r="B4" t="inlineStr">
        <is>
          <t>Anthony Matthews</t>
        </is>
      </c>
      <c r="C4" t="inlineStr">
        <is>
          <t>Paul Milnes - Bradford Olympic RC</t>
        </is>
      </c>
      <c r="D4" t="inlineStr">
        <is>
          <t>476</t>
        </is>
      </c>
      <c r="E4">
        <f>HYPERLINK("https://www.britishcycling.org.uk/points?person_id=630429&amp;year=2022&amp;type=national&amp;d=6","Results")</f>
        <v/>
      </c>
    </row>
    <row r="5">
      <c r="A5" t="inlineStr">
        <is>
          <t>4</t>
        </is>
      </c>
      <c r="B5" t="inlineStr">
        <is>
          <t>Grant Johnson</t>
        </is>
      </c>
      <c r="C5" t="inlineStr"/>
      <c r="D5" t="inlineStr">
        <is>
          <t>472</t>
        </is>
      </c>
      <c r="E5">
        <f>HYPERLINK("https://www.britishcycling.org.uk/points?person_id=184707&amp;year=2022&amp;type=national&amp;d=6","Results")</f>
        <v/>
      </c>
    </row>
    <row r="6">
      <c r="A6" t="inlineStr">
        <is>
          <t>5</t>
        </is>
      </c>
      <c r="B6" t="inlineStr">
        <is>
          <t>Timothy Stowe</t>
        </is>
      </c>
      <c r="C6" t="inlineStr">
        <is>
          <t>Team Jewson-M.I.Racing</t>
        </is>
      </c>
      <c r="D6" t="inlineStr">
        <is>
          <t>400</t>
        </is>
      </c>
      <c r="E6">
        <f>HYPERLINK("https://www.britishcycling.org.uk/points?person_id=72690&amp;year=2022&amp;type=national&amp;d=6","Results")</f>
        <v/>
      </c>
    </row>
    <row r="7">
      <c r="A7" t="inlineStr">
        <is>
          <t>6</t>
        </is>
      </c>
      <c r="B7" t="inlineStr">
        <is>
          <t>Peter Golding</t>
        </is>
      </c>
      <c r="C7" t="inlineStr">
        <is>
          <t>West Suffolk Wheelers</t>
        </is>
      </c>
      <c r="D7" t="inlineStr">
        <is>
          <t>362</t>
        </is>
      </c>
      <c r="E7">
        <f>HYPERLINK("https://www.britishcycling.org.uk/points?person_id=293971&amp;year=2022&amp;type=national&amp;d=6","Results")</f>
        <v/>
      </c>
    </row>
    <row r="8">
      <c r="A8" t="inlineStr">
        <is>
          <t>7</t>
        </is>
      </c>
      <c r="B8" t="inlineStr">
        <is>
          <t>John Galway</t>
        </is>
      </c>
      <c r="C8" t="inlineStr">
        <is>
          <t>Scarborough Coast Cycle Club</t>
        </is>
      </c>
      <c r="D8" t="inlineStr">
        <is>
          <t>358</t>
        </is>
      </c>
      <c r="E8">
        <f>HYPERLINK("https://www.britishcycling.org.uk/points?person_id=65029&amp;year=2022&amp;type=national&amp;d=6","Results")</f>
        <v/>
      </c>
    </row>
    <row r="9">
      <c r="A9" t="inlineStr">
        <is>
          <t>8</t>
        </is>
      </c>
      <c r="B9" t="inlineStr">
        <is>
          <t>Brendan Roe</t>
        </is>
      </c>
      <c r="C9" t="inlineStr">
        <is>
          <t>Ryan's Bike Surgery-Thomson Homes</t>
        </is>
      </c>
      <c r="D9" t="inlineStr">
        <is>
          <t>356</t>
        </is>
      </c>
      <c r="E9">
        <f>HYPERLINK("https://www.britishcycling.org.uk/points?person_id=31707&amp;year=2022&amp;type=national&amp;d=6","Results")</f>
        <v/>
      </c>
    </row>
    <row r="10">
      <c r="A10" t="inlineStr">
        <is>
          <t>9</t>
        </is>
      </c>
      <c r="B10" t="inlineStr">
        <is>
          <t>Kevin Payton</t>
        </is>
      </c>
      <c r="C10" t="inlineStr">
        <is>
          <t>Stourbridge CC</t>
        </is>
      </c>
      <c r="D10" t="inlineStr">
        <is>
          <t>308</t>
        </is>
      </c>
      <c r="E10">
        <f>HYPERLINK("https://www.britishcycling.org.uk/points?person_id=73598&amp;year=2022&amp;type=national&amp;d=6","Results")</f>
        <v/>
      </c>
    </row>
    <row r="11">
      <c r="A11" t="inlineStr">
        <is>
          <t>10</t>
        </is>
      </c>
      <c r="B11" t="inlineStr">
        <is>
          <t>Tim Costello</t>
        </is>
      </c>
      <c r="C11" t="inlineStr">
        <is>
          <t>GS Vecchi</t>
        </is>
      </c>
      <c r="D11" t="inlineStr">
        <is>
          <t>300</t>
        </is>
      </c>
      <c r="E11">
        <f>HYPERLINK("https://www.britishcycling.org.uk/points?person_id=12047&amp;year=2022&amp;type=national&amp;d=6","Results")</f>
        <v/>
      </c>
    </row>
    <row r="12">
      <c r="A12" t="inlineStr">
        <is>
          <t>11</t>
        </is>
      </c>
      <c r="B12" t="inlineStr">
        <is>
          <t>Nigel Jones</t>
        </is>
      </c>
      <c r="C12" t="inlineStr">
        <is>
          <t>ROTOR Race Team</t>
        </is>
      </c>
      <c r="D12" t="inlineStr">
        <is>
          <t>298</t>
        </is>
      </c>
      <c r="E12">
        <f>HYPERLINK("https://www.britishcycling.org.uk/points?person_id=52045&amp;year=2022&amp;type=national&amp;d=6","Results")</f>
        <v/>
      </c>
    </row>
    <row r="13">
      <c r="A13" t="inlineStr">
        <is>
          <t>12</t>
        </is>
      </c>
      <c r="B13" t="inlineStr">
        <is>
          <t>Michael Davies</t>
        </is>
      </c>
      <c r="C13" t="inlineStr">
        <is>
          <t>Pedal Power Loughborough</t>
        </is>
      </c>
      <c r="D13" t="inlineStr">
        <is>
          <t>296</t>
        </is>
      </c>
      <c r="E13">
        <f>HYPERLINK("https://www.britishcycling.org.uk/points?person_id=1814&amp;year=2022&amp;type=national&amp;d=6","Results")</f>
        <v/>
      </c>
    </row>
    <row r="14">
      <c r="A14" t="inlineStr">
        <is>
          <t>13</t>
        </is>
      </c>
      <c r="B14" t="inlineStr">
        <is>
          <t>Jan Kardasz</t>
        </is>
      </c>
      <c r="C14" t="inlineStr">
        <is>
          <t>Fibrax Wrexham Roads Club</t>
        </is>
      </c>
      <c r="D14" t="inlineStr">
        <is>
          <t>280</t>
        </is>
      </c>
      <c r="E14">
        <f>HYPERLINK("https://www.britishcycling.org.uk/points?person_id=176276&amp;year=2022&amp;type=national&amp;d=6","Results")</f>
        <v/>
      </c>
    </row>
    <row r="15">
      <c r="A15" t="inlineStr">
        <is>
          <t>14</t>
        </is>
      </c>
      <c r="B15" t="inlineStr">
        <is>
          <t>Tom Nicholson</t>
        </is>
      </c>
      <c r="C15" t="inlineStr"/>
      <c r="D15" t="inlineStr">
        <is>
          <t>247</t>
        </is>
      </c>
      <c r="E15">
        <f>HYPERLINK("https://www.britishcycling.org.uk/points?person_id=243597&amp;year=2022&amp;type=national&amp;d=6","Results")</f>
        <v/>
      </c>
    </row>
    <row r="16">
      <c r="A16" t="inlineStr">
        <is>
          <t>15</t>
        </is>
      </c>
      <c r="B16" t="inlineStr">
        <is>
          <t>Robin Delve</t>
        </is>
      </c>
      <c r="C16" t="inlineStr">
        <is>
          <t>Mid Devon CC</t>
        </is>
      </c>
      <c r="D16" t="inlineStr">
        <is>
          <t>244</t>
        </is>
      </c>
      <c r="E16">
        <f>HYPERLINK("https://www.britishcycling.org.uk/points?person_id=38272&amp;year=2022&amp;type=national&amp;d=6","Results")</f>
        <v/>
      </c>
    </row>
    <row r="17">
      <c r="A17" t="inlineStr">
        <is>
          <t>16</t>
        </is>
      </c>
      <c r="B17" t="inlineStr">
        <is>
          <t>Luciano Colella</t>
        </is>
      </c>
      <c r="C17" t="inlineStr">
        <is>
          <t>North Hampshire RC</t>
        </is>
      </c>
      <c r="D17" t="inlineStr">
        <is>
          <t>242</t>
        </is>
      </c>
      <c r="E17">
        <f>HYPERLINK("https://www.britishcycling.org.uk/points?person_id=677108&amp;year=2022&amp;type=national&amp;d=6","Results")</f>
        <v/>
      </c>
    </row>
    <row r="18">
      <c r="A18" t="inlineStr">
        <is>
          <t>17</t>
        </is>
      </c>
      <c r="B18" t="inlineStr">
        <is>
          <t>Peter Harris</t>
        </is>
      </c>
      <c r="C18" t="inlineStr">
        <is>
          <t>Pearce Cycles RT</t>
        </is>
      </c>
      <c r="D18" t="inlineStr">
        <is>
          <t>237</t>
        </is>
      </c>
      <c r="E18">
        <f>HYPERLINK("https://www.britishcycling.org.uk/points?person_id=66894&amp;year=2022&amp;type=national&amp;d=6","Results")</f>
        <v/>
      </c>
    </row>
    <row r="19">
      <c r="A19" t="inlineStr">
        <is>
          <t>18</t>
        </is>
      </c>
      <c r="B19" t="inlineStr">
        <is>
          <t>Nigel Herrod</t>
        </is>
      </c>
      <c r="C19" t="inlineStr">
        <is>
          <t>ROTOR Race Team</t>
        </is>
      </c>
      <c r="D19" t="inlineStr">
        <is>
          <t>229</t>
        </is>
      </c>
      <c r="E19">
        <f>HYPERLINK("https://www.britishcycling.org.uk/points?person_id=189099&amp;year=2022&amp;type=national&amp;d=6","Results")</f>
        <v/>
      </c>
    </row>
    <row r="20">
      <c r="A20" t="inlineStr">
        <is>
          <t>19</t>
        </is>
      </c>
      <c r="B20" t="inlineStr">
        <is>
          <t>Ian Robson</t>
        </is>
      </c>
      <c r="C20" t="inlineStr">
        <is>
          <t>ProSport UK</t>
        </is>
      </c>
      <c r="D20" t="inlineStr">
        <is>
          <t>229</t>
        </is>
      </c>
      <c r="E20">
        <f>HYPERLINK("https://www.britishcycling.org.uk/points?person_id=18439&amp;year=2022&amp;type=national&amp;d=6","Results")</f>
        <v/>
      </c>
    </row>
    <row r="21">
      <c r="A21" t="inlineStr">
        <is>
          <t>20</t>
        </is>
      </c>
      <c r="B21" t="inlineStr">
        <is>
          <t>Alistair Dow</t>
        </is>
      </c>
      <c r="C21" t="inlineStr">
        <is>
          <t>Peebles CC</t>
        </is>
      </c>
      <c r="D21" t="inlineStr">
        <is>
          <t>225</t>
        </is>
      </c>
      <c r="E21">
        <f>HYPERLINK("https://www.britishcycling.org.uk/points?person_id=63434&amp;year=2022&amp;type=national&amp;d=6","Results")</f>
        <v/>
      </c>
    </row>
    <row r="22">
      <c r="A22" t="inlineStr">
        <is>
          <t>21</t>
        </is>
      </c>
      <c r="B22" t="inlineStr">
        <is>
          <t>Kirby Bennett</t>
        </is>
      </c>
      <c r="C22" t="inlineStr">
        <is>
          <t>Team Jewson-M.I.Racing</t>
        </is>
      </c>
      <c r="D22" t="inlineStr">
        <is>
          <t>224</t>
        </is>
      </c>
      <c r="E22">
        <f>HYPERLINK("https://www.britishcycling.org.uk/points?person_id=393549&amp;year=2022&amp;type=national&amp;d=6","Results")</f>
        <v/>
      </c>
    </row>
    <row r="23">
      <c r="A23" t="inlineStr">
        <is>
          <t>22</t>
        </is>
      </c>
      <c r="B23" t="inlineStr">
        <is>
          <t>Peter Busby</t>
        </is>
      </c>
      <c r="C23" t="inlineStr">
        <is>
          <t>Team Jewson-M.I.Racing</t>
        </is>
      </c>
      <c r="D23" t="inlineStr">
        <is>
          <t>224</t>
        </is>
      </c>
      <c r="E23">
        <f>HYPERLINK("https://www.britishcycling.org.uk/points?person_id=109091&amp;year=2022&amp;type=national&amp;d=6","Results")</f>
        <v/>
      </c>
    </row>
    <row r="24">
      <c r="A24" t="inlineStr">
        <is>
          <t>23</t>
        </is>
      </c>
      <c r="B24" t="inlineStr">
        <is>
          <t>Colin Shearer</t>
        </is>
      </c>
      <c r="C24" t="inlineStr">
        <is>
          <t>Musselburgh RCC</t>
        </is>
      </c>
      <c r="D24" t="inlineStr">
        <is>
          <t>224</t>
        </is>
      </c>
      <c r="E24">
        <f>HYPERLINK("https://www.britishcycling.org.uk/points?person_id=71218&amp;year=2022&amp;type=national&amp;d=6","Results")</f>
        <v/>
      </c>
    </row>
    <row r="25">
      <c r="A25" t="inlineStr">
        <is>
          <t>24</t>
        </is>
      </c>
      <c r="B25" t="inlineStr">
        <is>
          <t>David Collins</t>
        </is>
      </c>
      <c r="C25" t="inlineStr">
        <is>
          <t>Here Come The Belgians</t>
        </is>
      </c>
      <c r="D25" t="inlineStr">
        <is>
          <t>219</t>
        </is>
      </c>
      <c r="E25">
        <f>HYPERLINK("https://www.britishcycling.org.uk/points?person_id=533554&amp;year=2022&amp;type=national&amp;d=6","Results")</f>
        <v/>
      </c>
    </row>
    <row r="26">
      <c r="A26" t="inlineStr">
        <is>
          <t>25</t>
        </is>
      </c>
      <c r="B26" t="inlineStr">
        <is>
          <t>Andrew Barlow</t>
        </is>
      </c>
      <c r="C26" t="inlineStr">
        <is>
          <t>Kent Valley RC</t>
        </is>
      </c>
      <c r="D26" t="inlineStr">
        <is>
          <t>210</t>
        </is>
      </c>
      <c r="E26">
        <f>HYPERLINK("https://www.britishcycling.org.uk/points?person_id=70543&amp;year=2022&amp;type=national&amp;d=6","Results")</f>
        <v/>
      </c>
    </row>
    <row r="27">
      <c r="A27" t="inlineStr">
        <is>
          <t>26</t>
        </is>
      </c>
      <c r="B27" t="inlineStr">
        <is>
          <t>Jimmy Bringlow</t>
        </is>
      </c>
      <c r="C27" t="inlineStr">
        <is>
          <t>Crawley Wheelers</t>
        </is>
      </c>
      <c r="D27" t="inlineStr">
        <is>
          <t>210</t>
        </is>
      </c>
      <c r="E27">
        <f>HYPERLINK("https://www.britishcycling.org.uk/points?person_id=737995&amp;year=2022&amp;type=national&amp;d=6","Results")</f>
        <v/>
      </c>
    </row>
    <row r="28">
      <c r="A28" t="inlineStr">
        <is>
          <t>27</t>
        </is>
      </c>
      <c r="B28" t="inlineStr">
        <is>
          <t>Peter Bromwich</t>
        </is>
      </c>
      <c r="C28" t="inlineStr"/>
      <c r="D28" t="inlineStr">
        <is>
          <t>209</t>
        </is>
      </c>
      <c r="E28">
        <f>HYPERLINK("https://www.britishcycling.org.uk/points?person_id=36647&amp;year=2022&amp;type=national&amp;d=6","Results")</f>
        <v/>
      </c>
    </row>
    <row r="29">
      <c r="A29" t="inlineStr">
        <is>
          <t>28</t>
        </is>
      </c>
      <c r="B29" t="inlineStr">
        <is>
          <t>Donald Gray</t>
        </is>
      </c>
      <c r="C29" t="inlineStr">
        <is>
          <t>Cardiff JIF</t>
        </is>
      </c>
      <c r="D29" t="inlineStr">
        <is>
          <t>209</t>
        </is>
      </c>
      <c r="E29">
        <f>HYPERLINK("https://www.britishcycling.org.uk/points?person_id=42451&amp;year=2022&amp;type=national&amp;d=6","Results")</f>
        <v/>
      </c>
    </row>
    <row r="30">
      <c r="A30" t="inlineStr">
        <is>
          <t>29</t>
        </is>
      </c>
      <c r="B30" t="inlineStr">
        <is>
          <t>Philip Watkins</t>
        </is>
      </c>
      <c r="C30" t="inlineStr">
        <is>
          <t>North Norfolk Wheelers CC</t>
        </is>
      </c>
      <c r="D30" t="inlineStr">
        <is>
          <t>208</t>
        </is>
      </c>
      <c r="E30">
        <f>HYPERLINK("https://www.britishcycling.org.uk/points?person_id=65887&amp;year=2022&amp;type=national&amp;d=6","Results")</f>
        <v/>
      </c>
    </row>
    <row r="31">
      <c r="A31" t="inlineStr">
        <is>
          <t>30</t>
        </is>
      </c>
      <c r="B31" t="inlineStr">
        <is>
          <t>John Alderman</t>
        </is>
      </c>
      <c r="C31" t="inlineStr">
        <is>
          <t>GS Vecchi</t>
        </is>
      </c>
      <c r="D31" t="inlineStr">
        <is>
          <t>207</t>
        </is>
      </c>
      <c r="E31">
        <f>HYPERLINK("https://www.britishcycling.org.uk/points?person_id=71013&amp;year=2022&amp;type=national&amp;d=6","Results")</f>
        <v/>
      </c>
    </row>
    <row r="32">
      <c r="A32" t="inlineStr">
        <is>
          <t>31</t>
        </is>
      </c>
      <c r="B32" t="inlineStr">
        <is>
          <t>John Risby</t>
        </is>
      </c>
      <c r="C32" t="inlineStr">
        <is>
          <t>Team Milton Keynes</t>
        </is>
      </c>
      <c r="D32" t="inlineStr">
        <is>
          <t>198</t>
        </is>
      </c>
      <c r="E32">
        <f>HYPERLINK("https://www.britishcycling.org.uk/points?person_id=516298&amp;year=2022&amp;type=national&amp;d=6","Results")</f>
        <v/>
      </c>
    </row>
    <row r="33">
      <c r="A33" t="inlineStr">
        <is>
          <t>32</t>
        </is>
      </c>
      <c r="B33" t="inlineStr">
        <is>
          <t>Chris Wreghitt</t>
        </is>
      </c>
      <c r="C33" t="inlineStr">
        <is>
          <t>Second Wind</t>
        </is>
      </c>
      <c r="D33" t="inlineStr">
        <is>
          <t>198</t>
        </is>
      </c>
      <c r="E33">
        <f>HYPERLINK("https://www.britishcycling.org.uk/points?person_id=731466&amp;year=2022&amp;type=national&amp;d=6","Results")</f>
        <v/>
      </c>
    </row>
    <row r="34">
      <c r="A34" t="inlineStr">
        <is>
          <t>33</t>
        </is>
      </c>
      <c r="B34" t="inlineStr">
        <is>
          <t>Paul Watson</t>
        </is>
      </c>
      <c r="C34" t="inlineStr">
        <is>
          <t>West Suffolk Wheelers</t>
        </is>
      </c>
      <c r="D34" t="inlineStr">
        <is>
          <t>192</t>
        </is>
      </c>
      <c r="E34">
        <f>HYPERLINK("https://www.britishcycling.org.uk/points?person_id=192003&amp;year=2022&amp;type=national&amp;d=6","Results")</f>
        <v/>
      </c>
    </row>
    <row r="35">
      <c r="A35" t="inlineStr">
        <is>
          <t>34</t>
        </is>
      </c>
      <c r="B35" t="inlineStr">
        <is>
          <t>Brian Gough</t>
        </is>
      </c>
      <c r="C35" t="inlineStr">
        <is>
          <t>Southport CC</t>
        </is>
      </c>
      <c r="D35" t="inlineStr">
        <is>
          <t>190</t>
        </is>
      </c>
      <c r="E35">
        <f>HYPERLINK("https://www.britishcycling.org.uk/points?person_id=175244&amp;year=2022&amp;type=national&amp;d=6","Results")</f>
        <v/>
      </c>
    </row>
    <row r="36">
      <c r="A36" t="inlineStr">
        <is>
          <t>35</t>
        </is>
      </c>
      <c r="B36" t="inlineStr">
        <is>
          <t>Malcolm Cross</t>
        </is>
      </c>
      <c r="C36" t="inlineStr">
        <is>
          <t>Velo Club Venta</t>
        </is>
      </c>
      <c r="D36" t="inlineStr">
        <is>
          <t>189</t>
        </is>
      </c>
      <c r="E36">
        <f>HYPERLINK("https://www.britishcycling.org.uk/points?person_id=5898&amp;year=2022&amp;type=national&amp;d=6","Results")</f>
        <v/>
      </c>
    </row>
    <row r="37">
      <c r="A37" t="inlineStr">
        <is>
          <t>36</t>
        </is>
      </c>
      <c r="B37" t="inlineStr">
        <is>
          <t>Colin Blacklock</t>
        </is>
      </c>
      <c r="C37" t="inlineStr">
        <is>
          <t>Muckle Cycle Club</t>
        </is>
      </c>
      <c r="D37" t="inlineStr">
        <is>
          <t>186</t>
        </is>
      </c>
      <c r="E37">
        <f>HYPERLINK("https://www.britishcycling.org.uk/points?person_id=45752&amp;year=2022&amp;type=national&amp;d=6","Results")</f>
        <v/>
      </c>
    </row>
    <row r="38">
      <c r="A38" t="inlineStr">
        <is>
          <t>37</t>
        </is>
      </c>
      <c r="B38" t="inlineStr">
        <is>
          <t>Roy Hunt</t>
        </is>
      </c>
      <c r="C38" t="inlineStr">
        <is>
          <t>Team Bottecchia</t>
        </is>
      </c>
      <c r="D38" t="inlineStr">
        <is>
          <t>181</t>
        </is>
      </c>
      <c r="E38">
        <f>HYPERLINK("https://www.britishcycling.org.uk/points?person_id=49858&amp;year=2022&amp;type=national&amp;d=6","Results")</f>
        <v/>
      </c>
    </row>
    <row r="39">
      <c r="A39" t="inlineStr">
        <is>
          <t>38</t>
        </is>
      </c>
      <c r="B39" t="inlineStr">
        <is>
          <t>Kevin Bodley</t>
        </is>
      </c>
      <c r="C39" t="inlineStr">
        <is>
          <t>Fred Williams Cycles</t>
        </is>
      </c>
      <c r="D39" t="inlineStr">
        <is>
          <t>178</t>
        </is>
      </c>
      <c r="E39">
        <f>HYPERLINK("https://www.britishcycling.org.uk/points?person_id=3460&amp;year=2022&amp;type=national&amp;d=6","Results")</f>
        <v/>
      </c>
    </row>
    <row r="40">
      <c r="A40" t="inlineStr">
        <is>
          <t>39</t>
        </is>
      </c>
      <c r="B40" t="inlineStr">
        <is>
          <t>Mark Booth</t>
        </is>
      </c>
      <c r="C40" t="inlineStr">
        <is>
          <t>Club Corley Cycles RC</t>
        </is>
      </c>
      <c r="D40" t="inlineStr">
        <is>
          <t>176</t>
        </is>
      </c>
      <c r="E40">
        <f>HYPERLINK("https://www.britishcycling.org.uk/points?person_id=76582&amp;year=2022&amp;type=national&amp;d=6","Results")</f>
        <v/>
      </c>
    </row>
    <row r="41">
      <c r="A41" t="inlineStr">
        <is>
          <t>40</t>
        </is>
      </c>
      <c r="B41" t="inlineStr">
        <is>
          <t>Philip Roach</t>
        </is>
      </c>
      <c r="C41" t="inlineStr">
        <is>
          <t>Team Jewson-M.I.Racing</t>
        </is>
      </c>
      <c r="D41" t="inlineStr">
        <is>
          <t>166</t>
        </is>
      </c>
      <c r="E41">
        <f>HYPERLINK("https://www.britishcycling.org.uk/points?person_id=64679&amp;year=2022&amp;type=national&amp;d=6","Results")</f>
        <v/>
      </c>
    </row>
    <row r="42">
      <c r="A42" t="inlineStr">
        <is>
          <t>41</t>
        </is>
      </c>
      <c r="B42" t="inlineStr">
        <is>
          <t>Timothy Beachill</t>
        </is>
      </c>
      <c r="C42" t="inlineStr">
        <is>
          <t>Geared Up Apex RT</t>
        </is>
      </c>
      <c r="D42" t="inlineStr">
        <is>
          <t>157</t>
        </is>
      </c>
      <c r="E42">
        <f>HYPERLINK("https://www.britishcycling.org.uk/points?person_id=17860&amp;year=2022&amp;type=national&amp;d=6","Results")</f>
        <v/>
      </c>
    </row>
    <row r="43">
      <c r="A43" t="inlineStr">
        <is>
          <t>42</t>
        </is>
      </c>
      <c r="B43" t="inlineStr">
        <is>
          <t>Stephen Walker</t>
        </is>
      </c>
      <c r="C43" t="inlineStr">
        <is>
          <t>RTD - J'sCycleShack</t>
        </is>
      </c>
      <c r="D43" t="inlineStr">
        <is>
          <t>157</t>
        </is>
      </c>
      <c r="E43">
        <f>HYPERLINK("https://www.britishcycling.org.uk/points?person_id=510171&amp;year=2022&amp;type=national&amp;d=6","Results")</f>
        <v/>
      </c>
    </row>
    <row r="44">
      <c r="A44" t="inlineStr">
        <is>
          <t>43</t>
        </is>
      </c>
      <c r="B44" t="inlineStr">
        <is>
          <t>Clive Evans</t>
        </is>
      </c>
      <c r="C44" t="inlineStr">
        <is>
          <t>WDMBC</t>
        </is>
      </c>
      <c r="D44" t="inlineStr">
        <is>
          <t>152</t>
        </is>
      </c>
      <c r="E44">
        <f>HYPERLINK("https://www.britishcycling.org.uk/points?person_id=50540&amp;year=2022&amp;type=national&amp;d=6","Results")</f>
        <v/>
      </c>
    </row>
    <row r="45">
      <c r="A45" t="inlineStr">
        <is>
          <t>44</t>
        </is>
      </c>
      <c r="B45" t="inlineStr">
        <is>
          <t>Peter Payton</t>
        </is>
      </c>
      <c r="C45" t="inlineStr"/>
      <c r="D45" t="inlineStr">
        <is>
          <t>143</t>
        </is>
      </c>
      <c r="E45">
        <f>HYPERLINK("https://www.britishcycling.org.uk/points?person_id=102716&amp;year=2022&amp;type=national&amp;d=6","Results")</f>
        <v/>
      </c>
    </row>
    <row r="46">
      <c r="A46" t="inlineStr">
        <is>
          <t>45</t>
        </is>
      </c>
      <c r="B46" t="inlineStr">
        <is>
          <t>Clifford Featherstone</t>
        </is>
      </c>
      <c r="C46" t="inlineStr">
        <is>
          <t>MTS Cycle Sport</t>
        </is>
      </c>
      <c r="D46" t="inlineStr">
        <is>
          <t>141</t>
        </is>
      </c>
      <c r="E46">
        <f>HYPERLINK("https://www.britishcycling.org.uk/points?person_id=34157&amp;year=2022&amp;type=national&amp;d=6","Results")</f>
        <v/>
      </c>
    </row>
    <row r="47">
      <c r="A47" t="inlineStr">
        <is>
          <t>46</t>
        </is>
      </c>
      <c r="B47" t="inlineStr">
        <is>
          <t>Christopher Rowe</t>
        </is>
      </c>
      <c r="C47" t="inlineStr">
        <is>
          <t>www.Zepnat.com RT - Lazer helmets</t>
        </is>
      </c>
      <c r="D47" t="inlineStr">
        <is>
          <t>140</t>
        </is>
      </c>
      <c r="E47">
        <f>HYPERLINK("https://www.britishcycling.org.uk/points?person_id=4072&amp;year=2022&amp;type=national&amp;d=6","Results")</f>
        <v/>
      </c>
    </row>
    <row r="48">
      <c r="A48" t="inlineStr">
        <is>
          <t>47</t>
        </is>
      </c>
      <c r="B48" t="inlineStr">
        <is>
          <t>Clive Goadby</t>
        </is>
      </c>
      <c r="C48" t="inlineStr">
        <is>
          <t>Dulwich Paragon CC</t>
        </is>
      </c>
      <c r="D48" t="inlineStr">
        <is>
          <t>128</t>
        </is>
      </c>
      <c r="E48">
        <f>HYPERLINK("https://www.britishcycling.org.uk/points?person_id=267463&amp;year=2022&amp;type=national&amp;d=6","Results")</f>
        <v/>
      </c>
    </row>
    <row r="49">
      <c r="A49" t="inlineStr">
        <is>
          <t>48</t>
        </is>
      </c>
      <c r="B49" t="inlineStr">
        <is>
          <t>Jeremy Toy</t>
        </is>
      </c>
      <c r="C49" t="inlineStr">
        <is>
          <t>Dundee Wheelers CC</t>
        </is>
      </c>
      <c r="D49" t="inlineStr">
        <is>
          <t>126</t>
        </is>
      </c>
      <c r="E49">
        <f>HYPERLINK("https://www.britishcycling.org.uk/points?person_id=13781&amp;year=2022&amp;type=national&amp;d=6","Results")</f>
        <v/>
      </c>
    </row>
    <row r="50">
      <c r="A50" t="inlineStr">
        <is>
          <t>49</t>
        </is>
      </c>
      <c r="B50" t="inlineStr">
        <is>
          <t>Christopher Beales</t>
        </is>
      </c>
      <c r="C50" t="inlineStr">
        <is>
          <t>Velo 1860</t>
        </is>
      </c>
      <c r="D50" t="inlineStr">
        <is>
          <t>116</t>
        </is>
      </c>
      <c r="E50">
        <f>HYPERLINK("https://www.britishcycling.org.uk/points?person_id=103795&amp;year=2022&amp;type=national&amp;d=6","Results")</f>
        <v/>
      </c>
    </row>
    <row r="51">
      <c r="A51" t="inlineStr">
        <is>
          <t>50</t>
        </is>
      </c>
      <c r="B51" t="inlineStr">
        <is>
          <t>Jonathan Dudley</t>
        </is>
      </c>
      <c r="C51" t="inlineStr">
        <is>
          <t>Sotonia CC</t>
        </is>
      </c>
      <c r="D51" t="inlineStr">
        <is>
          <t>116</t>
        </is>
      </c>
      <c r="E51">
        <f>HYPERLINK("https://www.britishcycling.org.uk/points?person_id=116303&amp;year=2022&amp;type=national&amp;d=6","Results")</f>
        <v/>
      </c>
    </row>
    <row r="52">
      <c r="A52" t="inlineStr">
        <is>
          <t>51</t>
        </is>
      </c>
      <c r="B52" t="inlineStr">
        <is>
          <t>David Martin</t>
        </is>
      </c>
      <c r="C52" t="inlineStr">
        <is>
          <t>Velo Club Venta</t>
        </is>
      </c>
      <c r="D52" t="inlineStr">
        <is>
          <t>116</t>
        </is>
      </c>
      <c r="E52">
        <f>HYPERLINK("https://www.britishcycling.org.uk/points?person_id=265629&amp;year=2022&amp;type=national&amp;d=6","Results")</f>
        <v/>
      </c>
    </row>
    <row r="53">
      <c r="A53" t="inlineStr">
        <is>
          <t>52</t>
        </is>
      </c>
      <c r="B53" t="inlineStr">
        <is>
          <t>David Robinson</t>
        </is>
      </c>
      <c r="C53" t="inlineStr">
        <is>
          <t>VC VELDRIJDEN</t>
        </is>
      </c>
      <c r="D53" t="inlineStr">
        <is>
          <t>112</t>
        </is>
      </c>
      <c r="E53">
        <f>HYPERLINK("https://www.britishcycling.org.uk/points?person_id=21227&amp;year=2022&amp;type=national&amp;d=6","Results")</f>
        <v/>
      </c>
    </row>
    <row r="54">
      <c r="A54" t="inlineStr">
        <is>
          <t>53</t>
        </is>
      </c>
      <c r="B54" t="inlineStr">
        <is>
          <t>Andrew Roberts</t>
        </is>
      </c>
      <c r="C54" t="inlineStr">
        <is>
          <t>Cycling Team Dakservice</t>
        </is>
      </c>
      <c r="D54" t="inlineStr">
        <is>
          <t>110</t>
        </is>
      </c>
      <c r="E54">
        <f>HYPERLINK("https://www.britishcycling.org.uk/points?person_id=51384&amp;year=2022&amp;type=national&amp;d=6","Results")</f>
        <v/>
      </c>
    </row>
    <row r="55">
      <c r="A55" t="inlineStr">
        <is>
          <t>54</t>
        </is>
      </c>
      <c r="B55" t="inlineStr">
        <is>
          <t>Derek Schofield</t>
        </is>
      </c>
      <c r="C55" t="inlineStr">
        <is>
          <t>Rossendale RC</t>
        </is>
      </c>
      <c r="D55" t="inlineStr">
        <is>
          <t>110</t>
        </is>
      </c>
      <c r="E55">
        <f>HYPERLINK("https://www.britishcycling.org.uk/points?person_id=8720&amp;year=2022&amp;type=national&amp;d=6","Results")</f>
        <v/>
      </c>
    </row>
    <row r="56">
      <c r="A56" t="inlineStr">
        <is>
          <t>55</t>
        </is>
      </c>
      <c r="B56" t="inlineStr">
        <is>
          <t>Philip Hargreaves</t>
        </is>
      </c>
      <c r="C56" t="inlineStr">
        <is>
          <t>VC Norwich</t>
        </is>
      </c>
      <c r="D56" t="inlineStr">
        <is>
          <t>105</t>
        </is>
      </c>
      <c r="E56">
        <f>HYPERLINK("https://www.britishcycling.org.uk/points?person_id=50666&amp;year=2022&amp;type=national&amp;d=6","Results")</f>
        <v/>
      </c>
    </row>
    <row r="57">
      <c r="A57" t="inlineStr">
        <is>
          <t>56</t>
        </is>
      </c>
      <c r="B57" t="inlineStr">
        <is>
          <t>Chris Watts</t>
        </is>
      </c>
      <c r="C57" t="inlineStr">
        <is>
          <t>Matlock CC</t>
        </is>
      </c>
      <c r="D57" t="inlineStr">
        <is>
          <t>98</t>
        </is>
      </c>
      <c r="E57">
        <f>HYPERLINK("https://www.britishcycling.org.uk/points?person_id=104514&amp;year=2022&amp;type=national&amp;d=6","Results")</f>
        <v/>
      </c>
    </row>
    <row r="58">
      <c r="A58" t="inlineStr">
        <is>
          <t>57</t>
        </is>
      </c>
      <c r="B58" t="inlineStr">
        <is>
          <t>Robin Worman</t>
        </is>
      </c>
      <c r="C58" t="inlineStr"/>
      <c r="D58" t="inlineStr">
        <is>
          <t>98</t>
        </is>
      </c>
      <c r="E58">
        <f>HYPERLINK("https://www.britishcycling.org.uk/points?person_id=43307&amp;year=2022&amp;type=national&amp;d=6","Results")</f>
        <v/>
      </c>
    </row>
    <row r="59">
      <c r="A59" t="inlineStr">
        <is>
          <t>58</t>
        </is>
      </c>
      <c r="B59" t="inlineStr">
        <is>
          <t>Alan Kingshott</t>
        </is>
      </c>
      <c r="C59" t="inlineStr">
        <is>
          <t>Solent Pirates</t>
        </is>
      </c>
      <c r="D59" t="inlineStr">
        <is>
          <t>94</t>
        </is>
      </c>
      <c r="E59">
        <f>HYPERLINK("https://www.britishcycling.org.uk/points?person_id=408191&amp;year=2022&amp;type=national&amp;d=6","Results")</f>
        <v/>
      </c>
    </row>
    <row r="60">
      <c r="A60" t="inlineStr">
        <is>
          <t>59</t>
        </is>
      </c>
      <c r="B60" t="inlineStr">
        <is>
          <t>Iain Macdonald</t>
        </is>
      </c>
      <c r="C60" t="inlineStr">
        <is>
          <t>Ross-Shire RCC</t>
        </is>
      </c>
      <c r="D60" t="inlineStr">
        <is>
          <t>92</t>
        </is>
      </c>
      <c r="E60">
        <f>HYPERLINK("https://www.britishcycling.org.uk/points?person_id=425205&amp;year=2022&amp;type=national&amp;d=6","Results")</f>
        <v/>
      </c>
    </row>
    <row r="61">
      <c r="A61" t="inlineStr">
        <is>
          <t>60</t>
        </is>
      </c>
      <c r="B61" t="inlineStr">
        <is>
          <t>Alistair Hardy</t>
        </is>
      </c>
      <c r="C61" t="inlineStr">
        <is>
          <t>Cheltenham &amp; County Cycling Club</t>
        </is>
      </c>
      <c r="D61" t="inlineStr">
        <is>
          <t>87</t>
        </is>
      </c>
      <c r="E61">
        <f>HYPERLINK("https://www.britishcycling.org.uk/points?person_id=347575&amp;year=2022&amp;type=national&amp;d=6","Results")</f>
        <v/>
      </c>
    </row>
    <row r="62">
      <c r="A62" t="inlineStr">
        <is>
          <t>61</t>
        </is>
      </c>
      <c r="B62" t="inlineStr">
        <is>
          <t>Steve Smith</t>
        </is>
      </c>
      <c r="C62" t="inlineStr">
        <is>
          <t>Gower Riders</t>
        </is>
      </c>
      <c r="D62" t="inlineStr">
        <is>
          <t>86</t>
        </is>
      </c>
      <c r="E62">
        <f>HYPERLINK("https://www.britishcycling.org.uk/points?person_id=380531&amp;year=2022&amp;type=national&amp;d=6","Results")</f>
        <v/>
      </c>
    </row>
    <row r="63">
      <c r="A63" t="inlineStr">
        <is>
          <t>62</t>
        </is>
      </c>
      <c r="B63" t="inlineStr">
        <is>
          <t>Stuart Lockyear</t>
        </is>
      </c>
      <c r="C63" t="inlineStr">
        <is>
          <t>Dulwich Paragon CC</t>
        </is>
      </c>
      <c r="D63" t="inlineStr">
        <is>
          <t>85</t>
        </is>
      </c>
      <c r="E63">
        <f>HYPERLINK("https://www.britishcycling.org.uk/points?person_id=51613&amp;year=2022&amp;type=national&amp;d=6","Results")</f>
        <v/>
      </c>
    </row>
    <row r="64">
      <c r="A64" t="inlineStr">
        <is>
          <t>63</t>
        </is>
      </c>
      <c r="B64" t="inlineStr">
        <is>
          <t>Ned Potter</t>
        </is>
      </c>
      <c r="C64" t="inlineStr">
        <is>
          <t>Gannet CC</t>
        </is>
      </c>
      <c r="D64" t="inlineStr">
        <is>
          <t>83</t>
        </is>
      </c>
      <c r="E64">
        <f>HYPERLINK("https://www.britishcycling.org.uk/points?person_id=77781&amp;year=2022&amp;type=national&amp;d=6","Results")</f>
        <v/>
      </c>
    </row>
    <row r="65">
      <c r="A65" t="inlineStr">
        <is>
          <t>64</t>
        </is>
      </c>
      <c r="B65" t="inlineStr">
        <is>
          <t>Geoff Bores</t>
        </is>
      </c>
      <c r="C65" t="inlineStr">
        <is>
          <t>Ford Cycling Club</t>
        </is>
      </c>
      <c r="D65" t="inlineStr">
        <is>
          <t>81</t>
        </is>
      </c>
      <c r="E65">
        <f>HYPERLINK("https://www.britishcycling.org.uk/points?person_id=72585&amp;year=2022&amp;type=national&amp;d=6","Results")</f>
        <v/>
      </c>
    </row>
    <row r="66">
      <c r="A66" t="inlineStr">
        <is>
          <t>65</t>
        </is>
      </c>
      <c r="B66" t="inlineStr">
        <is>
          <t>Peter Murray</t>
        </is>
      </c>
      <c r="C66" t="inlineStr">
        <is>
          <t>Salford Cycling Club</t>
        </is>
      </c>
      <c r="D66" t="inlineStr">
        <is>
          <t>80</t>
        </is>
      </c>
      <c r="E66">
        <f>HYPERLINK("https://www.britishcycling.org.uk/points?person_id=277083&amp;year=2022&amp;type=national&amp;d=6","Results")</f>
        <v/>
      </c>
    </row>
    <row r="67">
      <c r="A67" t="inlineStr">
        <is>
          <t>66</t>
        </is>
      </c>
      <c r="B67" t="inlineStr">
        <is>
          <t>Martin ONeill</t>
        </is>
      </c>
      <c r="C67" t="inlineStr">
        <is>
          <t>Brighton Mitre CC</t>
        </is>
      </c>
      <c r="D67" t="inlineStr">
        <is>
          <t>79</t>
        </is>
      </c>
      <c r="E67">
        <f>HYPERLINK("https://www.britishcycling.org.uk/points?person_id=259541&amp;year=2022&amp;type=national&amp;d=6","Results")</f>
        <v/>
      </c>
    </row>
    <row r="68">
      <c r="A68" t="inlineStr">
        <is>
          <t>67</t>
        </is>
      </c>
      <c r="B68" t="inlineStr">
        <is>
          <t>David Garrett</t>
        </is>
      </c>
      <c r="C68" t="inlineStr">
        <is>
          <t>Rugby Velo</t>
        </is>
      </c>
      <c r="D68" t="inlineStr">
        <is>
          <t>78</t>
        </is>
      </c>
      <c r="E68">
        <f>HYPERLINK("https://www.britishcycling.org.uk/points?person_id=51702&amp;year=2022&amp;type=national&amp;d=6","Results")</f>
        <v/>
      </c>
    </row>
    <row r="69">
      <c r="A69" t="inlineStr">
        <is>
          <t>68</t>
        </is>
      </c>
      <c r="B69" t="inlineStr">
        <is>
          <t>Gary Rowing-Parker</t>
        </is>
      </c>
      <c r="C69" t="inlineStr">
        <is>
          <t>Solihull CC</t>
        </is>
      </c>
      <c r="D69" t="inlineStr">
        <is>
          <t>76</t>
        </is>
      </c>
      <c r="E69">
        <f>HYPERLINK("https://www.britishcycling.org.uk/points?person_id=705&amp;year=2022&amp;type=national&amp;d=6","Results")</f>
        <v/>
      </c>
    </row>
    <row r="70">
      <c r="A70" t="inlineStr">
        <is>
          <t>69</t>
        </is>
      </c>
      <c r="B70" t="inlineStr">
        <is>
          <t>Ray Pugh</t>
        </is>
      </c>
      <c r="C70" t="inlineStr">
        <is>
          <t>St Helens CRC</t>
        </is>
      </c>
      <c r="D70" t="inlineStr">
        <is>
          <t>75</t>
        </is>
      </c>
      <c r="E70">
        <f>HYPERLINK("https://www.britishcycling.org.uk/points?person_id=68429&amp;year=2022&amp;type=national&amp;d=6","Results")</f>
        <v/>
      </c>
    </row>
    <row r="71">
      <c r="A71" t="inlineStr">
        <is>
          <t>70</t>
        </is>
      </c>
      <c r="B71" t="inlineStr">
        <is>
          <t>Robert Smith</t>
        </is>
      </c>
      <c r="C71" t="inlineStr">
        <is>
          <t>Stowmarket &amp; District CC</t>
        </is>
      </c>
      <c r="D71" t="inlineStr">
        <is>
          <t>71</t>
        </is>
      </c>
      <c r="E71">
        <f>HYPERLINK("https://www.britishcycling.org.uk/points?person_id=60740&amp;year=2022&amp;type=national&amp;d=6","Results")</f>
        <v/>
      </c>
    </row>
    <row r="72">
      <c r="A72" t="inlineStr">
        <is>
          <t>71</t>
        </is>
      </c>
      <c r="B72" t="inlineStr">
        <is>
          <t>Neil Blessitt</t>
        </is>
      </c>
      <c r="C72" t="inlineStr">
        <is>
          <t>Severn RC</t>
        </is>
      </c>
      <c r="D72" t="inlineStr">
        <is>
          <t>70</t>
        </is>
      </c>
      <c r="E72">
        <f>HYPERLINK("https://www.britishcycling.org.uk/points?person_id=541591&amp;year=2022&amp;type=national&amp;d=6","Results")</f>
        <v/>
      </c>
    </row>
    <row r="73">
      <c r="A73" t="inlineStr">
        <is>
          <t>72</t>
        </is>
      </c>
      <c r="B73" t="inlineStr">
        <is>
          <t>Paul Sleaford</t>
        </is>
      </c>
      <c r="C73" t="inlineStr">
        <is>
          <t>Norton Wheelers</t>
        </is>
      </c>
      <c r="D73" t="inlineStr">
        <is>
          <t>68</t>
        </is>
      </c>
      <c r="E73">
        <f>HYPERLINK("https://www.britishcycling.org.uk/points?person_id=63700&amp;year=2022&amp;type=national&amp;d=6","Results")</f>
        <v/>
      </c>
    </row>
    <row r="74">
      <c r="A74" t="inlineStr">
        <is>
          <t>73</t>
        </is>
      </c>
      <c r="B74" t="inlineStr">
        <is>
          <t>Alan Parsons</t>
        </is>
      </c>
      <c r="C74" t="inlineStr">
        <is>
          <t>Team Jewson-M.I.Racing</t>
        </is>
      </c>
      <c r="D74" t="inlineStr">
        <is>
          <t>66</t>
        </is>
      </c>
      <c r="E74">
        <f>HYPERLINK("https://www.britishcycling.org.uk/points?person_id=385333&amp;year=2022&amp;type=national&amp;d=6","Results")</f>
        <v/>
      </c>
    </row>
    <row r="75">
      <c r="A75" t="inlineStr">
        <is>
          <t>74</t>
        </is>
      </c>
      <c r="B75" t="inlineStr">
        <is>
          <t>Russell Tribley</t>
        </is>
      </c>
      <c r="C75" t="inlineStr">
        <is>
          <t>Chelmer CC</t>
        </is>
      </c>
      <c r="D75" t="inlineStr">
        <is>
          <t>65</t>
        </is>
      </c>
      <c r="E75">
        <f>HYPERLINK("https://www.britishcycling.org.uk/points?person_id=2199&amp;year=2022&amp;type=national&amp;d=6","Results")</f>
        <v/>
      </c>
    </row>
    <row r="76">
      <c r="A76" t="inlineStr">
        <is>
          <t>75</t>
        </is>
      </c>
      <c r="B76" t="inlineStr">
        <is>
          <t>Mark Mullender</t>
        </is>
      </c>
      <c r="C76" t="inlineStr"/>
      <c r="D76" t="inlineStr">
        <is>
          <t>60</t>
        </is>
      </c>
      <c r="E76">
        <f>HYPERLINK("https://www.britishcycling.org.uk/points?person_id=540665&amp;year=2022&amp;type=national&amp;d=6","Results")</f>
        <v/>
      </c>
    </row>
    <row r="77">
      <c r="A77" t="inlineStr">
        <is>
          <t>76</t>
        </is>
      </c>
      <c r="B77" t="inlineStr">
        <is>
          <t>Ian Wright</t>
        </is>
      </c>
      <c r="C77" t="inlineStr">
        <is>
          <t>Cero - Cycle Division Racing Team</t>
        </is>
      </c>
      <c r="D77" t="inlineStr">
        <is>
          <t>60</t>
        </is>
      </c>
      <c r="E77">
        <f>HYPERLINK("https://www.britishcycling.org.uk/points?person_id=46172&amp;year=2022&amp;type=national&amp;d=6","Results")</f>
        <v/>
      </c>
    </row>
    <row r="78">
      <c r="A78" t="inlineStr">
        <is>
          <t>77</t>
        </is>
      </c>
      <c r="B78" t="inlineStr">
        <is>
          <t>Graham Atkins</t>
        </is>
      </c>
      <c r="C78" t="inlineStr"/>
      <c r="D78" t="inlineStr">
        <is>
          <t>59</t>
        </is>
      </c>
      <c r="E78">
        <f>HYPERLINK("https://www.britishcycling.org.uk/points?person_id=34417&amp;year=2022&amp;type=national&amp;d=6","Results")</f>
        <v/>
      </c>
    </row>
    <row r="79">
      <c r="A79" t="inlineStr">
        <is>
          <t>78</t>
        </is>
      </c>
      <c r="B79" t="inlineStr">
        <is>
          <t>Richard Simmons</t>
        </is>
      </c>
      <c r="C79" t="inlineStr">
        <is>
          <t>GS Vecchi</t>
        </is>
      </c>
      <c r="D79" t="inlineStr">
        <is>
          <t>59</t>
        </is>
      </c>
      <c r="E79">
        <f>HYPERLINK("https://www.britishcycling.org.uk/points?person_id=135317&amp;year=2022&amp;type=national&amp;d=6","Results")</f>
        <v/>
      </c>
    </row>
    <row r="80">
      <c r="A80" t="inlineStr">
        <is>
          <t>79</t>
        </is>
      </c>
      <c r="B80" t="inlineStr">
        <is>
          <t>Robert Burns</t>
        </is>
      </c>
      <c r="C80" t="inlineStr">
        <is>
          <t>Fred Williams Cycles</t>
        </is>
      </c>
      <c r="D80" t="inlineStr">
        <is>
          <t>58</t>
        </is>
      </c>
      <c r="E80">
        <f>HYPERLINK("https://www.britishcycling.org.uk/points?person_id=74520&amp;year=2022&amp;type=national&amp;d=6","Results")</f>
        <v/>
      </c>
    </row>
    <row r="81">
      <c r="A81" t="inlineStr">
        <is>
          <t>80</t>
        </is>
      </c>
      <c r="B81" t="inlineStr">
        <is>
          <t>Mark Hardwicke</t>
        </is>
      </c>
      <c r="C81" t="inlineStr">
        <is>
          <t>Poole Wheelers CC</t>
        </is>
      </c>
      <c r="D81" t="inlineStr">
        <is>
          <t>58</t>
        </is>
      </c>
      <c r="E81">
        <f>HYPERLINK("https://www.britishcycling.org.uk/points?person_id=48376&amp;year=2022&amp;type=national&amp;d=6","Results")</f>
        <v/>
      </c>
    </row>
    <row r="82">
      <c r="A82" t="inlineStr">
        <is>
          <t>81</t>
        </is>
      </c>
      <c r="B82" t="inlineStr">
        <is>
          <t>Denis Smith</t>
        </is>
      </c>
      <c r="C82" t="inlineStr">
        <is>
          <t>Welland Valley CC</t>
        </is>
      </c>
      <c r="D82" t="inlineStr">
        <is>
          <t>58</t>
        </is>
      </c>
      <c r="E82">
        <f>HYPERLINK("https://www.britishcycling.org.uk/points?person_id=183467&amp;year=2022&amp;type=national&amp;d=6","Results")</f>
        <v/>
      </c>
    </row>
    <row r="83">
      <c r="A83" t="inlineStr">
        <is>
          <t>82</t>
        </is>
      </c>
      <c r="B83" t="inlineStr">
        <is>
          <t>Leslie Anstee</t>
        </is>
      </c>
      <c r="C83" t="inlineStr">
        <is>
          <t>Dulwich Paragon CC</t>
        </is>
      </c>
      <c r="D83" t="inlineStr">
        <is>
          <t>57</t>
        </is>
      </c>
      <c r="E83">
        <f>HYPERLINK("https://www.britishcycling.org.uk/points?person_id=477646&amp;year=2022&amp;type=national&amp;d=6","Results")</f>
        <v/>
      </c>
    </row>
    <row r="84">
      <c r="A84" t="inlineStr">
        <is>
          <t>83</t>
        </is>
      </c>
      <c r="B84" t="inlineStr">
        <is>
          <t>Ivan Lucas</t>
        </is>
      </c>
      <c r="C84" t="inlineStr">
        <is>
          <t>Melton Olympic CC</t>
        </is>
      </c>
      <c r="D84" t="inlineStr">
        <is>
          <t>56</t>
        </is>
      </c>
      <c r="E84">
        <f>HYPERLINK("https://www.britishcycling.org.uk/points?person_id=606437&amp;year=2022&amp;type=national&amp;d=6","Results")</f>
        <v/>
      </c>
    </row>
    <row r="85">
      <c r="A85" t="inlineStr">
        <is>
          <t>84</t>
        </is>
      </c>
      <c r="B85" t="inlineStr">
        <is>
          <t>Kevin Jennings</t>
        </is>
      </c>
      <c r="C85" t="inlineStr">
        <is>
          <t>Cambridge CC</t>
        </is>
      </c>
      <c r="D85" t="inlineStr">
        <is>
          <t>54</t>
        </is>
      </c>
      <c r="E85">
        <f>HYPERLINK("https://www.britishcycling.org.uk/points?person_id=38244&amp;year=2022&amp;type=national&amp;d=6","Results")</f>
        <v/>
      </c>
    </row>
    <row r="86">
      <c r="A86" t="inlineStr">
        <is>
          <t>85</t>
        </is>
      </c>
      <c r="B86" t="inlineStr">
        <is>
          <t>James Sutherland</t>
        </is>
      </c>
      <c r="C86" t="inlineStr">
        <is>
          <t>Bolsover &amp; District Cycling Club</t>
        </is>
      </c>
      <c r="D86" t="inlineStr">
        <is>
          <t>54</t>
        </is>
      </c>
      <c r="E86">
        <f>HYPERLINK("https://www.britishcycling.org.uk/points?person_id=206346&amp;year=2022&amp;type=national&amp;d=6","Results")</f>
        <v/>
      </c>
    </row>
    <row r="87">
      <c r="A87" t="inlineStr">
        <is>
          <t>86</t>
        </is>
      </c>
      <c r="B87" t="inlineStr">
        <is>
          <t>David Williams</t>
        </is>
      </c>
      <c r="C87" t="inlineStr">
        <is>
          <t>VC Revolution</t>
        </is>
      </c>
      <c r="D87" t="inlineStr">
        <is>
          <t>54</t>
        </is>
      </c>
      <c r="E87">
        <f>HYPERLINK("https://www.britishcycling.org.uk/points?person_id=102214&amp;year=2022&amp;type=national&amp;d=6","Results")</f>
        <v/>
      </c>
    </row>
    <row r="88">
      <c r="A88" t="inlineStr">
        <is>
          <t>87</t>
        </is>
      </c>
      <c r="B88" t="inlineStr">
        <is>
          <t>Raymond Cochrane</t>
        </is>
      </c>
      <c r="C88" t="inlineStr">
        <is>
          <t>Team Jewson-M.I.Racing</t>
        </is>
      </c>
      <c r="D88" t="inlineStr">
        <is>
          <t>53</t>
        </is>
      </c>
      <c r="E88">
        <f>HYPERLINK("https://www.britishcycling.org.uk/points?person_id=524200&amp;year=2022&amp;type=national&amp;d=6","Results")</f>
        <v/>
      </c>
    </row>
    <row r="89">
      <c r="A89" t="inlineStr">
        <is>
          <t>88</t>
        </is>
      </c>
      <c r="B89" t="inlineStr">
        <is>
          <t>Russell Crowe</t>
        </is>
      </c>
      <c r="C89" t="inlineStr">
        <is>
          <t>Abellio - SFA Racing Team</t>
        </is>
      </c>
      <c r="D89" t="inlineStr">
        <is>
          <t>53</t>
        </is>
      </c>
      <c r="E89">
        <f>HYPERLINK("https://www.britishcycling.org.uk/points?person_id=13275&amp;year=2022&amp;type=national&amp;d=6","Results")</f>
        <v/>
      </c>
    </row>
    <row r="90">
      <c r="A90" t="inlineStr">
        <is>
          <t>89</t>
        </is>
      </c>
      <c r="B90" t="inlineStr">
        <is>
          <t>Anthony Jones</t>
        </is>
      </c>
      <c r="C90" t="inlineStr">
        <is>
          <t>Knottingley Velo</t>
        </is>
      </c>
      <c r="D90" t="inlineStr">
        <is>
          <t>52</t>
        </is>
      </c>
      <c r="E90">
        <f>HYPERLINK("https://www.britishcycling.org.uk/points?person_id=19597&amp;year=2022&amp;type=national&amp;d=6","Results")</f>
        <v/>
      </c>
    </row>
    <row r="91">
      <c r="A91" t="inlineStr">
        <is>
          <t>90</t>
        </is>
      </c>
      <c r="B91" t="inlineStr">
        <is>
          <t>Kevin Dunster</t>
        </is>
      </c>
      <c r="C91" t="inlineStr">
        <is>
          <t>Brecon Wheelers</t>
        </is>
      </c>
      <c r="D91" t="inlineStr">
        <is>
          <t>51</t>
        </is>
      </c>
      <c r="E91">
        <f>HYPERLINK("https://www.britishcycling.org.uk/points?person_id=108336&amp;year=2022&amp;type=national&amp;d=6","Results")</f>
        <v/>
      </c>
    </row>
    <row r="92">
      <c r="A92" t="inlineStr">
        <is>
          <t>91</t>
        </is>
      </c>
      <c r="B92" t="inlineStr">
        <is>
          <t>Pascal Arnoux</t>
        </is>
      </c>
      <c r="C92" t="inlineStr">
        <is>
          <t>www.Zepnat.com RT - Lazer helmets</t>
        </is>
      </c>
      <c r="D92" t="inlineStr">
        <is>
          <t>50</t>
        </is>
      </c>
      <c r="E92">
        <f>HYPERLINK("https://www.britishcycling.org.uk/points?person_id=99839&amp;year=2022&amp;type=national&amp;d=6","Results")</f>
        <v/>
      </c>
    </row>
    <row r="93">
      <c r="A93" t="inlineStr">
        <is>
          <t>92</t>
        </is>
      </c>
      <c r="B93" t="inlineStr">
        <is>
          <t>Nicholas Webber</t>
        </is>
      </c>
      <c r="C93" t="inlineStr">
        <is>
          <t>CC Sudbury</t>
        </is>
      </c>
      <c r="D93" t="inlineStr">
        <is>
          <t>50</t>
        </is>
      </c>
      <c r="E93">
        <f>HYPERLINK("https://www.britishcycling.org.uk/points?person_id=4199&amp;year=2022&amp;type=national&amp;d=6","Results")</f>
        <v/>
      </c>
    </row>
    <row r="94">
      <c r="A94" t="inlineStr">
        <is>
          <t>93</t>
        </is>
      </c>
      <c r="B94" t="inlineStr">
        <is>
          <t>Neil McLaughlin</t>
        </is>
      </c>
      <c r="C94" t="inlineStr">
        <is>
          <t>Harrogate Nova CC</t>
        </is>
      </c>
      <c r="D94" t="inlineStr">
        <is>
          <t>49</t>
        </is>
      </c>
      <c r="E94">
        <f>HYPERLINK("https://www.britishcycling.org.uk/points?person_id=227338&amp;year=2022&amp;type=national&amp;d=6","Results")</f>
        <v/>
      </c>
    </row>
    <row r="95">
      <c r="A95" t="inlineStr">
        <is>
          <t>94</t>
        </is>
      </c>
      <c r="B95" t="inlineStr">
        <is>
          <t>Pete Bishop</t>
        </is>
      </c>
      <c r="C95" t="inlineStr">
        <is>
          <t>Exeter Wheelers</t>
        </is>
      </c>
      <c r="D95" t="inlineStr">
        <is>
          <t>46</t>
        </is>
      </c>
      <c r="E95">
        <f>HYPERLINK("https://www.britishcycling.org.uk/points?person_id=528618&amp;year=2022&amp;type=national&amp;d=6","Results")</f>
        <v/>
      </c>
    </row>
    <row r="96">
      <c r="A96" t="inlineStr">
        <is>
          <t>95</t>
        </is>
      </c>
      <c r="B96" t="inlineStr">
        <is>
          <t>Anthony Jennings</t>
        </is>
      </c>
      <c r="C96" t="inlineStr">
        <is>
          <t>Somerset Road Club</t>
        </is>
      </c>
      <c r="D96" t="inlineStr">
        <is>
          <t>46</t>
        </is>
      </c>
      <c r="E96">
        <f>HYPERLINK("https://www.britishcycling.org.uk/points?person_id=262173&amp;year=2022&amp;type=national&amp;d=6","Results")</f>
        <v/>
      </c>
    </row>
    <row r="97">
      <c r="A97" t="inlineStr">
        <is>
          <t>96</t>
        </is>
      </c>
      <c r="B97" t="inlineStr">
        <is>
          <t>Jim Kent</t>
        </is>
      </c>
      <c r="C97" t="inlineStr">
        <is>
          <t>London Dynamo</t>
        </is>
      </c>
      <c r="D97" t="inlineStr">
        <is>
          <t>43</t>
        </is>
      </c>
      <c r="E97">
        <f>HYPERLINK("https://www.britishcycling.org.uk/points?person_id=16719&amp;year=2022&amp;type=national&amp;d=6","Results")</f>
        <v/>
      </c>
    </row>
    <row r="98">
      <c r="A98" t="inlineStr">
        <is>
          <t>97</t>
        </is>
      </c>
      <c r="B98" t="inlineStr">
        <is>
          <t>Alan Cook</t>
        </is>
      </c>
      <c r="C98" t="inlineStr">
        <is>
          <t>SKCC</t>
        </is>
      </c>
      <c r="D98" t="inlineStr">
        <is>
          <t>42</t>
        </is>
      </c>
      <c r="E98">
        <f>HYPERLINK("https://www.britishcycling.org.uk/points?person_id=103900&amp;year=2022&amp;type=national&amp;d=6","Results")</f>
        <v/>
      </c>
    </row>
    <row r="99">
      <c r="A99" t="inlineStr">
        <is>
          <t>98</t>
        </is>
      </c>
      <c r="B99" t="inlineStr">
        <is>
          <t>Paul Dickens</t>
        </is>
      </c>
      <c r="C99" t="inlineStr">
        <is>
          <t>Rockingham Forest Whls</t>
        </is>
      </c>
      <c r="D99" t="inlineStr">
        <is>
          <t>42</t>
        </is>
      </c>
      <c r="E99">
        <f>HYPERLINK("https://www.britishcycling.org.uk/points?person_id=993995&amp;year=2022&amp;type=national&amp;d=6","Results")</f>
        <v/>
      </c>
    </row>
    <row r="100">
      <c r="A100" t="inlineStr">
        <is>
          <t>99</t>
        </is>
      </c>
      <c r="B100" t="inlineStr">
        <is>
          <t>Harry Moore</t>
        </is>
      </c>
      <c r="C100" t="inlineStr">
        <is>
          <t>Cycling Club Hackney</t>
        </is>
      </c>
      <c r="D100" t="inlineStr">
        <is>
          <t>42</t>
        </is>
      </c>
      <c r="E100">
        <f>HYPERLINK("https://www.britishcycling.org.uk/points?person_id=106134&amp;year=2022&amp;type=national&amp;d=6","Results")</f>
        <v/>
      </c>
    </row>
    <row r="101">
      <c r="A101" t="inlineStr">
        <is>
          <t>100</t>
        </is>
      </c>
      <c r="B101" t="inlineStr">
        <is>
          <t>Anthony Dyment</t>
        </is>
      </c>
      <c r="C101" t="inlineStr">
        <is>
          <t>North Hampshire RC</t>
        </is>
      </c>
      <c r="D101" t="inlineStr">
        <is>
          <t>41</t>
        </is>
      </c>
      <c r="E101">
        <f>HYPERLINK("https://www.britishcycling.org.uk/points?person_id=53215&amp;year=2022&amp;type=national&amp;d=6","Results")</f>
        <v/>
      </c>
    </row>
    <row r="102">
      <c r="A102" t="inlineStr">
        <is>
          <t>101</t>
        </is>
      </c>
      <c r="B102" t="inlineStr">
        <is>
          <t>Peter Hall</t>
        </is>
      </c>
      <c r="C102" t="inlineStr">
        <is>
          <t>Colchester Rovers CC</t>
        </is>
      </c>
      <c r="D102" t="inlineStr">
        <is>
          <t>40</t>
        </is>
      </c>
      <c r="E102">
        <f>HYPERLINK("https://www.britishcycling.org.uk/points?person_id=102804&amp;year=2022&amp;type=national&amp;d=6","Results")</f>
        <v/>
      </c>
    </row>
    <row r="103">
      <c r="A103" t="inlineStr">
        <is>
          <t>102</t>
        </is>
      </c>
      <c r="B103" t="inlineStr">
        <is>
          <t>Richard Hardy</t>
        </is>
      </c>
      <c r="C103" t="inlineStr">
        <is>
          <t>Hemel Hempstead CC</t>
        </is>
      </c>
      <c r="D103" t="inlineStr">
        <is>
          <t>40</t>
        </is>
      </c>
      <c r="E103">
        <f>HYPERLINK("https://www.britishcycling.org.uk/points?person_id=383763&amp;year=2022&amp;type=national&amp;d=6","Results")</f>
        <v/>
      </c>
    </row>
    <row r="104">
      <c r="A104" t="inlineStr">
        <is>
          <t>103</t>
        </is>
      </c>
      <c r="B104" t="inlineStr">
        <is>
          <t>John Terrell</t>
        </is>
      </c>
      <c r="C104" t="inlineStr">
        <is>
          <t>Ipswich Bicycle Club</t>
        </is>
      </c>
      <c r="D104" t="inlineStr">
        <is>
          <t>40</t>
        </is>
      </c>
      <c r="E104">
        <f>HYPERLINK("https://www.britishcycling.org.uk/points?person_id=60966&amp;year=2022&amp;type=national&amp;d=6","Results")</f>
        <v/>
      </c>
    </row>
    <row r="105">
      <c r="A105" t="inlineStr">
        <is>
          <t>104</t>
        </is>
      </c>
      <c r="B105" t="inlineStr">
        <is>
          <t>Glenn Coltman</t>
        </is>
      </c>
      <c r="C105" t="inlineStr">
        <is>
          <t>Pedal Power Loughborough</t>
        </is>
      </c>
      <c r="D105" t="inlineStr">
        <is>
          <t>39</t>
        </is>
      </c>
      <c r="E105">
        <f>HYPERLINK("https://www.britishcycling.org.uk/points?person_id=49474&amp;year=2022&amp;type=national&amp;d=6","Results")</f>
        <v/>
      </c>
    </row>
    <row r="106">
      <c r="A106" t="inlineStr">
        <is>
          <t>105</t>
        </is>
      </c>
      <c r="B106" t="inlineStr">
        <is>
          <t>Nicholas Senechal</t>
        </is>
      </c>
      <c r="C106" t="inlineStr">
        <is>
          <t>Hitchin Nomads CC</t>
        </is>
      </c>
      <c r="D106" t="inlineStr">
        <is>
          <t>38</t>
        </is>
      </c>
      <c r="E106">
        <f>HYPERLINK("https://www.britishcycling.org.uk/points?person_id=66755&amp;year=2022&amp;type=national&amp;d=6","Results")</f>
        <v/>
      </c>
    </row>
    <row r="107">
      <c r="A107" t="inlineStr">
        <is>
          <t>106</t>
        </is>
      </c>
      <c r="B107" t="inlineStr">
        <is>
          <t>Terry Whalley</t>
        </is>
      </c>
      <c r="C107" t="inlineStr">
        <is>
          <t>Ford Cycling Club</t>
        </is>
      </c>
      <c r="D107" t="inlineStr">
        <is>
          <t>37</t>
        </is>
      </c>
      <c r="E107">
        <f>HYPERLINK("https://www.britishcycling.org.uk/points?person_id=106324&amp;year=2022&amp;type=national&amp;d=6","Results")</f>
        <v/>
      </c>
    </row>
    <row r="108">
      <c r="A108" t="inlineStr">
        <is>
          <t>107</t>
        </is>
      </c>
      <c r="B108" t="inlineStr">
        <is>
          <t>Martin O'Brien</t>
        </is>
      </c>
      <c r="C108" t="inlineStr">
        <is>
          <t>Brighton Mitre CC</t>
        </is>
      </c>
      <c r="D108" t="inlineStr">
        <is>
          <t>36</t>
        </is>
      </c>
      <c r="E108">
        <f>HYPERLINK("https://www.britishcycling.org.uk/points?person_id=60859&amp;year=2022&amp;type=national&amp;d=6","Results")</f>
        <v/>
      </c>
    </row>
    <row r="109">
      <c r="A109" t="inlineStr">
        <is>
          <t>108</t>
        </is>
      </c>
      <c r="B109" t="inlineStr">
        <is>
          <t>James Dickinson</t>
        </is>
      </c>
      <c r="C109" t="inlineStr"/>
      <c r="D109" t="inlineStr">
        <is>
          <t>35</t>
        </is>
      </c>
      <c r="E109">
        <f>HYPERLINK("https://www.britishcycling.org.uk/points?person_id=611216&amp;year=2022&amp;type=national&amp;d=6","Results")</f>
        <v/>
      </c>
    </row>
    <row r="110">
      <c r="A110" t="inlineStr">
        <is>
          <t>109</t>
        </is>
      </c>
      <c r="B110" t="inlineStr">
        <is>
          <t>John Phillips</t>
        </is>
      </c>
      <c r="C110" t="inlineStr">
        <is>
          <t>Sotonia CC</t>
        </is>
      </c>
      <c r="D110" t="inlineStr">
        <is>
          <t>35</t>
        </is>
      </c>
      <c r="E110">
        <f>HYPERLINK("https://www.britishcycling.org.uk/points?person_id=299364&amp;year=2022&amp;type=national&amp;d=6","Results")</f>
        <v/>
      </c>
    </row>
    <row r="111">
      <c r="A111" t="inlineStr">
        <is>
          <t>110</t>
        </is>
      </c>
      <c r="B111" t="inlineStr">
        <is>
          <t>Andy Grant</t>
        </is>
      </c>
      <c r="C111" t="inlineStr">
        <is>
          <t>GS Vecchi</t>
        </is>
      </c>
      <c r="D111" t="inlineStr">
        <is>
          <t>34</t>
        </is>
      </c>
      <c r="E111">
        <f>HYPERLINK("https://www.britishcycling.org.uk/points?person_id=61651&amp;year=2022&amp;type=national&amp;d=6","Results")</f>
        <v/>
      </c>
    </row>
    <row r="112">
      <c r="A112" t="inlineStr">
        <is>
          <t>111</t>
        </is>
      </c>
      <c r="B112" t="inlineStr">
        <is>
          <t>Thomas McNeish</t>
        </is>
      </c>
      <c r="C112" t="inlineStr">
        <is>
          <t>Royal Albert CC</t>
        </is>
      </c>
      <c r="D112" t="inlineStr">
        <is>
          <t>34</t>
        </is>
      </c>
      <c r="E112">
        <f>HYPERLINK("https://www.britishcycling.org.uk/points?person_id=507997&amp;year=2022&amp;type=national&amp;d=6","Results")</f>
        <v/>
      </c>
    </row>
    <row r="113">
      <c r="A113" t="inlineStr">
        <is>
          <t>112</t>
        </is>
      </c>
      <c r="B113" t="inlineStr">
        <is>
          <t>Charles Brown</t>
        </is>
      </c>
      <c r="C113" t="inlineStr"/>
      <c r="D113" t="inlineStr">
        <is>
          <t>33</t>
        </is>
      </c>
      <c r="E113">
        <f>HYPERLINK("https://www.britishcycling.org.uk/points?person_id=34934&amp;year=2022&amp;type=national&amp;d=6","Results")</f>
        <v/>
      </c>
    </row>
    <row r="114">
      <c r="A114" t="inlineStr">
        <is>
          <t>113</t>
        </is>
      </c>
      <c r="B114" t="inlineStr">
        <is>
          <t>David Smith</t>
        </is>
      </c>
      <c r="C114" t="inlineStr">
        <is>
          <t>Team Empella Cyclo-Cross.Com</t>
        </is>
      </c>
      <c r="D114" t="inlineStr">
        <is>
          <t>32</t>
        </is>
      </c>
      <c r="E114">
        <f>HYPERLINK("https://www.britishcycling.org.uk/points?person_id=56455&amp;year=2022&amp;type=national&amp;d=6","Results")</f>
        <v/>
      </c>
    </row>
    <row r="115">
      <c r="A115" t="inlineStr">
        <is>
          <t>114</t>
        </is>
      </c>
      <c r="B115" t="inlineStr">
        <is>
          <t>Clive Tricker</t>
        </is>
      </c>
      <c r="C115" t="inlineStr">
        <is>
          <t>Ipswich Bicycle Club</t>
        </is>
      </c>
      <c r="D115" t="inlineStr">
        <is>
          <t>32</t>
        </is>
      </c>
      <c r="E115">
        <f>HYPERLINK("https://www.britishcycling.org.uk/points?person_id=87362&amp;year=2022&amp;type=national&amp;d=6","Results")</f>
        <v/>
      </c>
    </row>
    <row r="116">
      <c r="A116" t="inlineStr">
        <is>
          <t>115</t>
        </is>
      </c>
      <c r="B116" t="inlineStr">
        <is>
          <t>Lynn Lines</t>
        </is>
      </c>
      <c r="C116" t="inlineStr">
        <is>
          <t>Gateway Racing</t>
        </is>
      </c>
      <c r="D116" t="inlineStr">
        <is>
          <t>31</t>
        </is>
      </c>
      <c r="E116">
        <f>HYPERLINK("https://www.britishcycling.org.uk/points?person_id=72723&amp;year=2022&amp;type=national&amp;d=6","Results")</f>
        <v/>
      </c>
    </row>
    <row r="117">
      <c r="A117" t="inlineStr">
        <is>
          <t>116</t>
        </is>
      </c>
      <c r="B117" t="inlineStr">
        <is>
          <t>Brian Williamson</t>
        </is>
      </c>
      <c r="C117" t="inlineStr">
        <is>
          <t>Kingston Wheelers CC</t>
        </is>
      </c>
      <c r="D117" t="inlineStr">
        <is>
          <t>30</t>
        </is>
      </c>
      <c r="E117">
        <f>HYPERLINK("https://www.britishcycling.org.uk/points?person_id=906185&amp;year=2022&amp;type=national&amp;d=6","Results")</f>
        <v/>
      </c>
    </row>
    <row r="118">
      <c r="A118" t="inlineStr">
        <is>
          <t>117</t>
        </is>
      </c>
      <c r="B118" t="inlineStr">
        <is>
          <t>Stuart Gough</t>
        </is>
      </c>
      <c r="C118" t="inlineStr">
        <is>
          <t>Velo Club Venta</t>
        </is>
      </c>
      <c r="D118" t="inlineStr">
        <is>
          <t>29</t>
        </is>
      </c>
      <c r="E118">
        <f>HYPERLINK("https://www.britishcycling.org.uk/points?person_id=43672&amp;year=2022&amp;type=national&amp;d=6","Results")</f>
        <v/>
      </c>
    </row>
    <row r="119">
      <c r="A119" t="inlineStr">
        <is>
          <t>118</t>
        </is>
      </c>
      <c r="B119" t="inlineStr">
        <is>
          <t>Mark Ritson</t>
        </is>
      </c>
      <c r="C119" t="inlineStr">
        <is>
          <t>Solihull CC</t>
        </is>
      </c>
      <c r="D119" t="inlineStr">
        <is>
          <t>29</t>
        </is>
      </c>
      <c r="E119">
        <f>HYPERLINK("https://www.britishcycling.org.uk/points?person_id=881020&amp;year=2022&amp;type=national&amp;d=6","Results")</f>
        <v/>
      </c>
    </row>
    <row r="120">
      <c r="A120" t="inlineStr">
        <is>
          <t>119</t>
        </is>
      </c>
      <c r="B120" t="inlineStr">
        <is>
          <t>Paul Andrews</t>
        </is>
      </c>
      <c r="C120" t="inlineStr">
        <is>
          <t>Lancaster CC</t>
        </is>
      </c>
      <c r="D120" t="inlineStr">
        <is>
          <t>27</t>
        </is>
      </c>
      <c r="E120">
        <f>HYPERLINK("https://www.britishcycling.org.uk/points?person_id=42300&amp;year=2022&amp;type=national&amp;d=6","Results")</f>
        <v/>
      </c>
    </row>
    <row r="121">
      <c r="A121" t="inlineStr">
        <is>
          <t>120</t>
        </is>
      </c>
      <c r="B121" t="inlineStr">
        <is>
          <t>Martin McTavy</t>
        </is>
      </c>
      <c r="C121" t="inlineStr">
        <is>
          <t>South Shields Velo Cycling Club</t>
        </is>
      </c>
      <c r="D121" t="inlineStr">
        <is>
          <t>27</t>
        </is>
      </c>
      <c r="E121">
        <f>HYPERLINK("https://www.britishcycling.org.uk/points?person_id=304058&amp;year=2022&amp;type=national&amp;d=6","Results")</f>
        <v/>
      </c>
    </row>
    <row r="122">
      <c r="A122" t="inlineStr">
        <is>
          <t>121</t>
        </is>
      </c>
      <c r="B122" t="inlineStr">
        <is>
          <t>Steve Whitehouse</t>
        </is>
      </c>
      <c r="C122" t="inlineStr">
        <is>
          <t>WarVena Racing Team</t>
        </is>
      </c>
      <c r="D122" t="inlineStr">
        <is>
          <t>27</t>
        </is>
      </c>
      <c r="E122">
        <f>HYPERLINK("https://www.britishcycling.org.uk/points?person_id=62474&amp;year=2022&amp;type=national&amp;d=6","Results")</f>
        <v/>
      </c>
    </row>
    <row r="123">
      <c r="A123" t="inlineStr">
        <is>
          <t>122</t>
        </is>
      </c>
      <c r="B123" t="inlineStr">
        <is>
          <t>Victor Barnett</t>
        </is>
      </c>
      <c r="C123" t="inlineStr">
        <is>
          <t>Welland Valley CC</t>
        </is>
      </c>
      <c r="D123" t="inlineStr">
        <is>
          <t>26</t>
        </is>
      </c>
      <c r="E123">
        <f>HYPERLINK("https://www.britishcycling.org.uk/points?person_id=31091&amp;year=2022&amp;type=national&amp;d=6","Results")</f>
        <v/>
      </c>
    </row>
    <row r="124">
      <c r="A124" t="inlineStr">
        <is>
          <t>123</t>
        </is>
      </c>
      <c r="B124" t="inlineStr">
        <is>
          <t>Steven Jenkyn</t>
        </is>
      </c>
      <c r="C124" t="inlineStr">
        <is>
          <t>Pedal Power Loughborough</t>
        </is>
      </c>
      <c r="D124" t="inlineStr">
        <is>
          <t>26</t>
        </is>
      </c>
      <c r="E124">
        <f>HYPERLINK("https://www.britishcycling.org.uk/points?person_id=392943&amp;year=2022&amp;type=national&amp;d=6","Results")</f>
        <v/>
      </c>
    </row>
    <row r="125">
      <c r="A125" t="inlineStr">
        <is>
          <t>124</t>
        </is>
      </c>
      <c r="B125" t="inlineStr">
        <is>
          <t>Mark Hulands</t>
        </is>
      </c>
      <c r="C125" t="inlineStr">
        <is>
          <t>VC Long Eaton</t>
        </is>
      </c>
      <c r="D125" t="inlineStr">
        <is>
          <t>25</t>
        </is>
      </c>
      <c r="E125">
        <f>HYPERLINK("https://www.britishcycling.org.uk/points?person_id=390644&amp;year=2022&amp;type=national&amp;d=6","Results")</f>
        <v/>
      </c>
    </row>
    <row r="126">
      <c r="A126" t="inlineStr">
        <is>
          <t>125</t>
        </is>
      </c>
      <c r="B126" t="inlineStr">
        <is>
          <t>Paul Dalton</t>
        </is>
      </c>
      <c r="C126" t="inlineStr">
        <is>
          <t>Matlock CC</t>
        </is>
      </c>
      <c r="D126" t="inlineStr">
        <is>
          <t>24</t>
        </is>
      </c>
      <c r="E126">
        <f>HYPERLINK("https://www.britishcycling.org.uk/points?person_id=13294&amp;year=2022&amp;type=national&amp;d=6","Results")</f>
        <v/>
      </c>
    </row>
    <row r="127">
      <c r="A127" t="inlineStr">
        <is>
          <t>126</t>
        </is>
      </c>
      <c r="B127" t="inlineStr">
        <is>
          <t>Michael Webb</t>
        </is>
      </c>
      <c r="C127" t="inlineStr">
        <is>
          <t>Rugby Velo</t>
        </is>
      </c>
      <c r="D127" t="inlineStr">
        <is>
          <t>24</t>
        </is>
      </c>
      <c r="E127">
        <f>HYPERLINK("https://www.britishcycling.org.uk/points?person_id=72648&amp;year=2022&amp;type=national&amp;d=6","Results")</f>
        <v/>
      </c>
    </row>
    <row r="128">
      <c r="A128" t="inlineStr">
        <is>
          <t>127</t>
        </is>
      </c>
      <c r="B128" t="inlineStr">
        <is>
          <t>Joseph Booth</t>
        </is>
      </c>
      <c r="C128" t="inlineStr">
        <is>
          <t>Dulwich Paragon CC</t>
        </is>
      </c>
      <c r="D128" t="inlineStr">
        <is>
          <t>23</t>
        </is>
      </c>
      <c r="E128">
        <f>HYPERLINK("https://www.britishcycling.org.uk/points?person_id=179473&amp;year=2022&amp;type=national&amp;d=6","Results")</f>
        <v/>
      </c>
    </row>
    <row r="129">
      <c r="A129" t="inlineStr">
        <is>
          <t>128</t>
        </is>
      </c>
      <c r="B129" t="inlineStr">
        <is>
          <t>Charlie Elsey</t>
        </is>
      </c>
      <c r="C129" t="inlineStr">
        <is>
          <t>Newbury Velo</t>
        </is>
      </c>
      <c r="D129" t="inlineStr">
        <is>
          <t>22</t>
        </is>
      </c>
      <c r="E129">
        <f>HYPERLINK("https://www.britishcycling.org.uk/points?person_id=63327&amp;year=2022&amp;type=national&amp;d=6","Results")</f>
        <v/>
      </c>
    </row>
    <row r="130">
      <c r="A130" t="inlineStr">
        <is>
          <t>129</t>
        </is>
      </c>
      <c r="B130" t="inlineStr">
        <is>
          <t>Graham Wright</t>
        </is>
      </c>
      <c r="C130" t="inlineStr">
        <is>
          <t>Rossendale RC</t>
        </is>
      </c>
      <c r="D130" t="inlineStr">
        <is>
          <t>22</t>
        </is>
      </c>
      <c r="E130">
        <f>HYPERLINK("https://www.britishcycling.org.uk/points?person_id=497512&amp;year=2022&amp;type=national&amp;d=6","Results")</f>
        <v/>
      </c>
    </row>
    <row r="131">
      <c r="A131" t="inlineStr">
        <is>
          <t>130</t>
        </is>
      </c>
      <c r="B131" t="inlineStr">
        <is>
          <t>Martin Brown</t>
        </is>
      </c>
      <c r="C131" t="inlineStr">
        <is>
          <t>7 Oaks Triathlon Club</t>
        </is>
      </c>
      <c r="D131" t="inlineStr">
        <is>
          <t>21</t>
        </is>
      </c>
      <c r="E131">
        <f>HYPERLINK("https://www.britishcycling.org.uk/points?person_id=49300&amp;year=2022&amp;type=national&amp;d=6","Results")</f>
        <v/>
      </c>
    </row>
    <row r="132">
      <c r="A132" t="inlineStr">
        <is>
          <t>131</t>
        </is>
      </c>
      <c r="B132" t="inlineStr">
        <is>
          <t>Bob Parry</t>
        </is>
      </c>
      <c r="C132" t="inlineStr">
        <is>
          <t>Verulam CC</t>
        </is>
      </c>
      <c r="D132" t="inlineStr">
        <is>
          <t>21</t>
        </is>
      </c>
      <c r="E132">
        <f>HYPERLINK("https://www.britishcycling.org.uk/points?person_id=58565&amp;year=2022&amp;type=national&amp;d=6","Results")</f>
        <v/>
      </c>
    </row>
    <row r="133">
      <c r="A133" t="inlineStr">
        <is>
          <t>132</t>
        </is>
      </c>
      <c r="B133" t="inlineStr">
        <is>
          <t>John Shirley</t>
        </is>
      </c>
      <c r="C133" t="inlineStr">
        <is>
          <t>West Highland Wheelers</t>
        </is>
      </c>
      <c r="D133" t="inlineStr">
        <is>
          <t>21</t>
        </is>
      </c>
      <c r="E133">
        <f>HYPERLINK("https://www.britishcycling.org.uk/points?person_id=39769&amp;year=2022&amp;type=national&amp;d=6","Results")</f>
        <v/>
      </c>
    </row>
    <row r="134">
      <c r="A134" t="inlineStr">
        <is>
          <t>133</t>
        </is>
      </c>
      <c r="B134" t="inlineStr">
        <is>
          <t>Christopher Thacker</t>
        </is>
      </c>
      <c r="C134" t="inlineStr">
        <is>
          <t>Team Empella Cyclo-Cross.Com</t>
        </is>
      </c>
      <c r="D134" t="inlineStr">
        <is>
          <t>21</t>
        </is>
      </c>
      <c r="E134">
        <f>HYPERLINK("https://www.britishcycling.org.uk/points?person_id=48750&amp;year=2022&amp;type=national&amp;d=6","Results")</f>
        <v/>
      </c>
    </row>
    <row r="135">
      <c r="A135" t="inlineStr">
        <is>
          <t>134</t>
        </is>
      </c>
      <c r="B135" t="inlineStr">
        <is>
          <t>Donald MacGregor</t>
        </is>
      </c>
      <c r="C135" t="inlineStr">
        <is>
          <t>Dream Cycling</t>
        </is>
      </c>
      <c r="D135" t="inlineStr">
        <is>
          <t>20</t>
        </is>
      </c>
      <c r="E135">
        <f>HYPERLINK("https://www.britishcycling.org.uk/points?person_id=64749&amp;year=2022&amp;type=national&amp;d=6","Results")</f>
        <v/>
      </c>
    </row>
    <row r="136">
      <c r="A136" t="inlineStr">
        <is>
          <t>135</t>
        </is>
      </c>
      <c r="B136" t="inlineStr">
        <is>
          <t>Adam Huelss</t>
        </is>
      </c>
      <c r="C136" t="inlineStr">
        <is>
          <t>VC Long Eaton</t>
        </is>
      </c>
      <c r="D136" t="inlineStr">
        <is>
          <t>19</t>
        </is>
      </c>
      <c r="E136">
        <f>HYPERLINK("https://www.britishcycling.org.uk/points?person_id=347859&amp;year=2022&amp;type=national&amp;d=6","Results")</f>
        <v/>
      </c>
    </row>
    <row r="137">
      <c r="A137" t="inlineStr">
        <is>
          <t>136</t>
        </is>
      </c>
      <c r="B137" t="inlineStr">
        <is>
          <t>Charles Martin</t>
        </is>
      </c>
      <c r="C137" t="inlineStr">
        <is>
          <t>Ayr Burners Cycling</t>
        </is>
      </c>
      <c r="D137" t="inlineStr">
        <is>
          <t>19</t>
        </is>
      </c>
      <c r="E137">
        <f>HYPERLINK("https://www.britishcycling.org.uk/points?person_id=71400&amp;year=2022&amp;type=national&amp;d=6","Results")</f>
        <v/>
      </c>
    </row>
    <row r="138">
      <c r="A138" t="inlineStr">
        <is>
          <t>137</t>
        </is>
      </c>
      <c r="B138" t="inlineStr">
        <is>
          <t>Stephen Crossman</t>
        </is>
      </c>
      <c r="C138" t="inlineStr">
        <is>
          <t>Minehead Cycling Club</t>
        </is>
      </c>
      <c r="D138" t="inlineStr">
        <is>
          <t>18</t>
        </is>
      </c>
      <c r="E138">
        <f>HYPERLINK("https://www.britishcycling.org.uk/points?person_id=27905&amp;year=2022&amp;type=national&amp;d=6","Results")</f>
        <v/>
      </c>
    </row>
    <row r="139">
      <c r="A139" t="inlineStr">
        <is>
          <t>138</t>
        </is>
      </c>
      <c r="B139" t="inlineStr">
        <is>
          <t>John Curtin</t>
        </is>
      </c>
      <c r="C139" t="inlineStr">
        <is>
          <t>Hitchin Nomads CC</t>
        </is>
      </c>
      <c r="D139" t="inlineStr">
        <is>
          <t>18</t>
        </is>
      </c>
      <c r="E139">
        <f>HYPERLINK("https://www.britishcycling.org.uk/points?person_id=93080&amp;year=2022&amp;type=national&amp;d=6","Results")</f>
        <v/>
      </c>
    </row>
    <row r="140">
      <c r="A140" t="inlineStr">
        <is>
          <t>139</t>
        </is>
      </c>
      <c r="B140" t="inlineStr">
        <is>
          <t>Phil Lacoux</t>
        </is>
      </c>
      <c r="C140" t="inlineStr">
        <is>
          <t>Carse of Gowrie Velo (COG Velo)</t>
        </is>
      </c>
      <c r="D140" t="inlineStr">
        <is>
          <t>18</t>
        </is>
      </c>
      <c r="E140">
        <f>HYPERLINK("https://www.britishcycling.org.uk/points?person_id=630807&amp;year=2022&amp;type=national&amp;d=6","Results")</f>
        <v/>
      </c>
    </row>
    <row r="141">
      <c r="A141" t="inlineStr">
        <is>
          <t>140</t>
        </is>
      </c>
      <c r="B141" t="inlineStr">
        <is>
          <t>Ian McNally</t>
        </is>
      </c>
      <c r="C141" t="inlineStr"/>
      <c r="D141" t="inlineStr">
        <is>
          <t>18</t>
        </is>
      </c>
      <c r="E141">
        <f>HYPERLINK("https://www.britishcycling.org.uk/points?person_id=856153&amp;year=2022&amp;type=national&amp;d=6","Results")</f>
        <v/>
      </c>
    </row>
    <row r="142">
      <c r="A142" t="inlineStr">
        <is>
          <t>141</t>
        </is>
      </c>
      <c r="B142" t="inlineStr">
        <is>
          <t>Peter Mooney</t>
        </is>
      </c>
      <c r="C142" t="inlineStr">
        <is>
          <t>Rugby Velo</t>
        </is>
      </c>
      <c r="D142" t="inlineStr">
        <is>
          <t>18</t>
        </is>
      </c>
      <c r="E142">
        <f>HYPERLINK("https://www.britishcycling.org.uk/points?person_id=65180&amp;year=2022&amp;type=national&amp;d=6","Results")</f>
        <v/>
      </c>
    </row>
    <row r="143">
      <c r="A143" t="inlineStr">
        <is>
          <t>142</t>
        </is>
      </c>
      <c r="B143" t="inlineStr">
        <is>
          <t>John Newton</t>
        </is>
      </c>
      <c r="C143" t="inlineStr">
        <is>
          <t>Leslie Bike Shop-Bikers Boutique</t>
        </is>
      </c>
      <c r="D143" t="inlineStr">
        <is>
          <t>18</t>
        </is>
      </c>
      <c r="E143">
        <f>HYPERLINK("https://www.britishcycling.org.uk/points?person_id=36901&amp;year=2022&amp;type=national&amp;d=6","Results")</f>
        <v/>
      </c>
    </row>
    <row r="144">
      <c r="A144" t="inlineStr">
        <is>
          <t>143</t>
        </is>
      </c>
      <c r="B144" t="inlineStr">
        <is>
          <t>John Graveling</t>
        </is>
      </c>
      <c r="C144" t="inlineStr">
        <is>
          <t>Harrogate Nova CC</t>
        </is>
      </c>
      <c r="D144" t="inlineStr">
        <is>
          <t>17</t>
        </is>
      </c>
      <c r="E144">
        <f>HYPERLINK("https://www.britishcycling.org.uk/points?person_id=63246&amp;year=2022&amp;type=national&amp;d=6","Results")</f>
        <v/>
      </c>
    </row>
    <row r="145">
      <c r="A145" t="inlineStr">
        <is>
          <t>144</t>
        </is>
      </c>
      <c r="B145" t="inlineStr">
        <is>
          <t>Ashley Hollick</t>
        </is>
      </c>
      <c r="C145" t="inlineStr">
        <is>
          <t>Marlborough CC</t>
        </is>
      </c>
      <c r="D145" t="inlineStr">
        <is>
          <t>16</t>
        </is>
      </c>
      <c r="E145">
        <f>HYPERLINK("https://www.britishcycling.org.uk/points?person_id=470827&amp;year=2022&amp;type=national&amp;d=6","Results")</f>
        <v/>
      </c>
    </row>
    <row r="146">
      <c r="A146" t="inlineStr">
        <is>
          <t>145</t>
        </is>
      </c>
      <c r="B146" t="inlineStr">
        <is>
          <t>Barry Kipling</t>
        </is>
      </c>
      <c r="C146" t="inlineStr"/>
      <c r="D146" t="inlineStr">
        <is>
          <t>16</t>
        </is>
      </c>
      <c r="E146">
        <f>HYPERLINK("https://www.britishcycling.org.uk/points?person_id=27630&amp;year=2022&amp;type=national&amp;d=6","Results")</f>
        <v/>
      </c>
    </row>
    <row r="147">
      <c r="A147" t="inlineStr">
        <is>
          <t>146</t>
        </is>
      </c>
      <c r="B147" t="inlineStr">
        <is>
          <t>Dominic Lowden</t>
        </is>
      </c>
      <c r="C147" t="inlineStr">
        <is>
          <t>Diss &amp; District CC</t>
        </is>
      </c>
      <c r="D147" t="inlineStr">
        <is>
          <t>16</t>
        </is>
      </c>
      <c r="E147">
        <f>HYPERLINK("https://www.britishcycling.org.uk/points?person_id=4812&amp;year=2022&amp;type=national&amp;d=6","Results")</f>
        <v/>
      </c>
    </row>
    <row r="148">
      <c r="A148" t="inlineStr">
        <is>
          <t>147</t>
        </is>
      </c>
      <c r="B148" t="inlineStr">
        <is>
          <t>Duncan Maycroft</t>
        </is>
      </c>
      <c r="C148" t="inlineStr">
        <is>
          <t>Hoddom Velo</t>
        </is>
      </c>
      <c r="D148" t="inlineStr">
        <is>
          <t>16</t>
        </is>
      </c>
      <c r="E148">
        <f>HYPERLINK("https://www.britishcycling.org.uk/points?person_id=36343&amp;year=2022&amp;type=national&amp;d=6","Results")</f>
        <v/>
      </c>
    </row>
    <row r="149">
      <c r="A149" t="inlineStr">
        <is>
          <t>148</t>
        </is>
      </c>
      <c r="B149" t="inlineStr">
        <is>
          <t>Adrian Watts</t>
        </is>
      </c>
      <c r="C149" t="inlineStr">
        <is>
          <t>Rossendale RC</t>
        </is>
      </c>
      <c r="D149" t="inlineStr">
        <is>
          <t>16</t>
        </is>
      </c>
      <c r="E149">
        <f>HYPERLINK("https://www.britishcycling.org.uk/points?person_id=52667&amp;year=2022&amp;type=national&amp;d=6","Results")</f>
        <v/>
      </c>
    </row>
    <row r="150">
      <c r="A150" t="inlineStr">
        <is>
          <t>149</t>
        </is>
      </c>
      <c r="B150" t="inlineStr">
        <is>
          <t>Richard Lebeter</t>
        </is>
      </c>
      <c r="C150" t="inlineStr">
        <is>
          <t>AHCC</t>
        </is>
      </c>
      <c r="D150" t="inlineStr">
        <is>
          <t>15</t>
        </is>
      </c>
      <c r="E150">
        <f>HYPERLINK("https://www.britishcycling.org.uk/points?person_id=915833&amp;year=2022&amp;type=national&amp;d=6","Results")</f>
        <v/>
      </c>
    </row>
    <row r="151">
      <c r="A151" t="inlineStr">
        <is>
          <t>150</t>
        </is>
      </c>
      <c r="B151" t="inlineStr">
        <is>
          <t>Nigel Middlehurst</t>
        </is>
      </c>
      <c r="C151" t="inlineStr">
        <is>
          <t>Ellmore Factory Racing</t>
        </is>
      </c>
      <c r="D151" t="inlineStr">
        <is>
          <t>15</t>
        </is>
      </c>
      <c r="E151">
        <f>HYPERLINK("https://www.britishcycling.org.uk/points?person_id=32804&amp;year=2022&amp;type=national&amp;d=6","Results")</f>
        <v/>
      </c>
    </row>
    <row r="152">
      <c r="A152" t="inlineStr">
        <is>
          <t>151</t>
        </is>
      </c>
      <c r="B152" t="inlineStr">
        <is>
          <t>Howard Perkins</t>
        </is>
      </c>
      <c r="C152" t="inlineStr"/>
      <c r="D152" t="inlineStr">
        <is>
          <t>15</t>
        </is>
      </c>
      <c r="E152">
        <f>HYPERLINK("https://www.britishcycling.org.uk/points?person_id=42186&amp;year=2022&amp;type=national&amp;d=6","Results")</f>
        <v/>
      </c>
    </row>
    <row r="153">
      <c r="A153" t="inlineStr">
        <is>
          <t>152</t>
        </is>
      </c>
      <c r="B153" t="inlineStr">
        <is>
          <t>David Hales</t>
        </is>
      </c>
      <c r="C153" t="inlineStr">
        <is>
          <t>VC Revolution</t>
        </is>
      </c>
      <c r="D153" t="inlineStr">
        <is>
          <t>14</t>
        </is>
      </c>
      <c r="E153">
        <f>HYPERLINK("https://www.britishcycling.org.uk/points?person_id=100179&amp;year=2022&amp;type=national&amp;d=6","Results")</f>
        <v/>
      </c>
    </row>
    <row r="154">
      <c r="A154" t="inlineStr">
        <is>
          <t>153</t>
        </is>
      </c>
      <c r="B154" t="inlineStr">
        <is>
          <t>Simon Howarth</t>
        </is>
      </c>
      <c r="C154" t="inlineStr">
        <is>
          <t>Pontypool RCC</t>
        </is>
      </c>
      <c r="D154" t="inlineStr">
        <is>
          <t>14</t>
        </is>
      </c>
      <c r="E154">
        <f>HYPERLINK("https://www.britishcycling.org.uk/points?person_id=770447&amp;year=2022&amp;type=national&amp;d=6","Results")</f>
        <v/>
      </c>
    </row>
    <row r="155">
      <c r="A155" t="inlineStr">
        <is>
          <t>154</t>
        </is>
      </c>
      <c r="B155" t="inlineStr">
        <is>
          <t>David Jones</t>
        </is>
      </c>
      <c r="C155" t="inlineStr"/>
      <c r="D155" t="inlineStr">
        <is>
          <t>14</t>
        </is>
      </c>
      <c r="E155">
        <f>HYPERLINK("https://www.britishcycling.org.uk/points?person_id=178647&amp;year=2022&amp;type=national&amp;d=6","Results")</f>
        <v/>
      </c>
    </row>
    <row r="156">
      <c r="A156" t="inlineStr">
        <is>
          <t>155</t>
        </is>
      </c>
      <c r="B156" t="inlineStr">
        <is>
          <t>John Lumley</t>
        </is>
      </c>
      <c r="C156" t="inlineStr">
        <is>
          <t>Walkers Cycling Club</t>
        </is>
      </c>
      <c r="D156" t="inlineStr">
        <is>
          <t>14</t>
        </is>
      </c>
      <c r="E156">
        <f>HYPERLINK("https://www.britishcycling.org.uk/points?person_id=681344&amp;year=2022&amp;type=national&amp;d=6","Results")</f>
        <v/>
      </c>
    </row>
    <row r="157">
      <c r="A157" t="inlineStr">
        <is>
          <t>156</t>
        </is>
      </c>
      <c r="B157" t="inlineStr">
        <is>
          <t>Brian Clayton</t>
        </is>
      </c>
      <c r="C157" t="inlineStr"/>
      <c r="D157" t="inlineStr">
        <is>
          <t>13</t>
        </is>
      </c>
      <c r="E157">
        <f>HYPERLINK("https://www.britishcycling.org.uk/points?person_id=75512&amp;year=2022&amp;type=national&amp;d=6","Results")</f>
        <v/>
      </c>
    </row>
    <row r="158">
      <c r="A158" t="inlineStr">
        <is>
          <t>157</t>
        </is>
      </c>
      <c r="B158" t="inlineStr">
        <is>
          <t>Trevor Hook</t>
        </is>
      </c>
      <c r="C158" t="inlineStr">
        <is>
          <t>Team Milton Keynes</t>
        </is>
      </c>
      <c r="D158" t="inlineStr">
        <is>
          <t>12</t>
        </is>
      </c>
      <c r="E158">
        <f>HYPERLINK("https://www.britishcycling.org.uk/points?person_id=498054&amp;year=2022&amp;type=national&amp;d=6","Results")</f>
        <v/>
      </c>
    </row>
    <row r="159">
      <c r="A159" t="inlineStr">
        <is>
          <t>158</t>
        </is>
      </c>
      <c r="B159" t="inlineStr">
        <is>
          <t>Adrian Clode</t>
        </is>
      </c>
      <c r="C159" t="inlineStr">
        <is>
          <t>Revo Racing</t>
        </is>
      </c>
      <c r="D159" t="inlineStr">
        <is>
          <t>10</t>
        </is>
      </c>
      <c r="E159">
        <f>HYPERLINK("https://www.britishcycling.org.uk/points?person_id=26572&amp;year=2022&amp;type=national&amp;d=6","Results")</f>
        <v/>
      </c>
    </row>
    <row r="160">
      <c r="A160" t="inlineStr">
        <is>
          <t>159</t>
        </is>
      </c>
      <c r="B160" t="inlineStr">
        <is>
          <t>Tim Higgins</t>
        </is>
      </c>
      <c r="C160" t="inlineStr">
        <is>
          <t>Scunthorpe RC</t>
        </is>
      </c>
      <c r="D160" t="inlineStr">
        <is>
          <t>10</t>
        </is>
      </c>
      <c r="E160">
        <f>HYPERLINK("https://www.britishcycling.org.uk/points?person_id=59927&amp;year=2022&amp;type=national&amp;d=6","Results")</f>
        <v/>
      </c>
    </row>
    <row r="161">
      <c r="A161" t="inlineStr">
        <is>
          <t>160</t>
        </is>
      </c>
      <c r="B161" t="inlineStr">
        <is>
          <t>Martin Eadon</t>
        </is>
      </c>
      <c r="C161" t="inlineStr">
        <is>
          <t>Ride Coventry</t>
        </is>
      </c>
      <c r="D161" t="inlineStr">
        <is>
          <t>8</t>
        </is>
      </c>
      <c r="E161">
        <f>HYPERLINK("https://www.britishcycling.org.uk/points?person_id=59585&amp;year=2022&amp;type=national&amp;d=6","Results")</f>
        <v/>
      </c>
    </row>
    <row r="162">
      <c r="A162" t="inlineStr">
        <is>
          <t>161</t>
        </is>
      </c>
      <c r="B162" t="inlineStr">
        <is>
          <t>Vincent Loveland</t>
        </is>
      </c>
      <c r="C162" t="inlineStr"/>
      <c r="D162" t="inlineStr">
        <is>
          <t>8</t>
        </is>
      </c>
      <c r="E162">
        <f>HYPERLINK("https://www.britishcycling.org.uk/points?person_id=1044709&amp;year=2022&amp;type=national&amp;d=6","Results")</f>
        <v/>
      </c>
    </row>
    <row r="163">
      <c r="A163" t="inlineStr">
        <is>
          <t>162</t>
        </is>
      </c>
      <c r="B163" t="inlineStr">
        <is>
          <t>Marek Glowinski</t>
        </is>
      </c>
      <c r="C163" t="inlineStr">
        <is>
          <t>VC Londres</t>
        </is>
      </c>
      <c r="D163" t="inlineStr">
        <is>
          <t>7</t>
        </is>
      </c>
      <c r="E163">
        <f>HYPERLINK("https://www.britishcycling.org.uk/points?person_id=53707&amp;year=2022&amp;type=national&amp;d=6","Results")</f>
        <v/>
      </c>
    </row>
    <row r="164">
      <c r="A164" t="inlineStr">
        <is>
          <t>163</t>
        </is>
      </c>
      <c r="B164" t="inlineStr">
        <is>
          <t>John Senior</t>
        </is>
      </c>
      <c r="C164" t="inlineStr">
        <is>
          <t>York Cycleworks</t>
        </is>
      </c>
      <c r="D164" t="inlineStr">
        <is>
          <t>7</t>
        </is>
      </c>
      <c r="E164">
        <f>HYPERLINK("https://www.britishcycling.org.uk/points?person_id=171242&amp;year=2022&amp;type=national&amp;d=6","Results")</f>
        <v/>
      </c>
    </row>
    <row r="165">
      <c r="A165" t="inlineStr">
        <is>
          <t>164</t>
        </is>
      </c>
      <c r="B165" t="inlineStr">
        <is>
          <t>Jan Shearsmith</t>
        </is>
      </c>
      <c r="C165" t="inlineStr">
        <is>
          <t>Manchester Wheelers Club</t>
        </is>
      </c>
      <c r="D165" t="inlineStr">
        <is>
          <t>7</t>
        </is>
      </c>
      <c r="E165">
        <f>HYPERLINK("https://www.britishcycling.org.uk/points?person_id=20026&amp;year=2022&amp;type=national&amp;d=6","Results")</f>
        <v/>
      </c>
    </row>
    <row r="166">
      <c r="A166" t="inlineStr">
        <is>
          <t>165</t>
        </is>
      </c>
      <c r="B166" t="inlineStr">
        <is>
          <t>Ian Weatherill</t>
        </is>
      </c>
      <c r="C166" t="inlineStr">
        <is>
          <t>Hope Factory Racing</t>
        </is>
      </c>
      <c r="D166" t="inlineStr">
        <is>
          <t>7</t>
        </is>
      </c>
      <c r="E166">
        <f>HYPERLINK("https://www.britishcycling.org.uk/points?person_id=1541&amp;year=2022&amp;type=national&amp;d=6","Results")</f>
        <v/>
      </c>
    </row>
    <row r="167">
      <c r="A167" t="inlineStr">
        <is>
          <t>166</t>
        </is>
      </c>
      <c r="B167" t="inlineStr">
        <is>
          <t>Leonard Woffindin</t>
        </is>
      </c>
      <c r="C167" t="inlineStr">
        <is>
          <t>Cycle Sport Pendle</t>
        </is>
      </c>
      <c r="D167" t="inlineStr">
        <is>
          <t>7</t>
        </is>
      </c>
      <c r="E167">
        <f>HYPERLINK("https://www.britishcycling.org.uk/points?person_id=16255&amp;year=2022&amp;type=national&amp;d=6","Results")</f>
        <v/>
      </c>
    </row>
    <row r="168">
      <c r="A168" t="inlineStr">
        <is>
          <t>167</t>
        </is>
      </c>
      <c r="B168" t="inlineStr">
        <is>
          <t>Peter Anderson</t>
        </is>
      </c>
      <c r="C168" t="inlineStr">
        <is>
          <t>VC Rhodanien</t>
        </is>
      </c>
      <c r="D168" t="inlineStr">
        <is>
          <t>6</t>
        </is>
      </c>
      <c r="E168">
        <f>HYPERLINK("https://www.britishcycling.org.uk/points?person_id=9189&amp;year=2022&amp;type=national&amp;d=6","Results")</f>
        <v/>
      </c>
    </row>
    <row r="169">
      <c r="A169" t="inlineStr">
        <is>
          <t>168</t>
        </is>
      </c>
      <c r="B169" t="inlineStr">
        <is>
          <t>Ian Forrester</t>
        </is>
      </c>
      <c r="C169" t="inlineStr">
        <is>
          <t>Kenilworth Wheelers CC</t>
        </is>
      </c>
      <c r="D169" t="inlineStr">
        <is>
          <t>6</t>
        </is>
      </c>
      <c r="E169">
        <f>HYPERLINK("https://www.britishcycling.org.uk/points?person_id=32896&amp;year=2022&amp;type=national&amp;d=6","Results")</f>
        <v/>
      </c>
    </row>
    <row r="170">
      <c r="A170" t="inlineStr">
        <is>
          <t>169</t>
        </is>
      </c>
      <c r="B170" t="inlineStr">
        <is>
          <t>John Hodgson</t>
        </is>
      </c>
      <c r="C170" t="inlineStr">
        <is>
          <t>Carnoustie Cycling Club</t>
        </is>
      </c>
      <c r="D170" t="inlineStr">
        <is>
          <t>6</t>
        </is>
      </c>
      <c r="E170">
        <f>HYPERLINK("https://www.britishcycling.org.uk/points?person_id=449719&amp;year=2022&amp;type=national&amp;d=6","Results")</f>
        <v/>
      </c>
    </row>
    <row r="171">
      <c r="A171" t="inlineStr">
        <is>
          <t>170</t>
        </is>
      </c>
      <c r="B171" t="inlineStr">
        <is>
          <t>Don Macnab-Stark</t>
        </is>
      </c>
      <c r="C171" t="inlineStr"/>
      <c r="D171" t="inlineStr">
        <is>
          <t>6</t>
        </is>
      </c>
      <c r="E171">
        <f>HYPERLINK("https://www.britishcycling.org.uk/points?person_id=1025020&amp;year=2022&amp;type=national&amp;d=6","Results")</f>
        <v/>
      </c>
    </row>
    <row r="172">
      <c r="A172" t="inlineStr">
        <is>
          <t>171</t>
        </is>
      </c>
      <c r="B172" t="inlineStr">
        <is>
          <t>David Poole</t>
        </is>
      </c>
      <c r="C172" t="inlineStr">
        <is>
          <t>Somerset Road Club</t>
        </is>
      </c>
      <c r="D172" t="inlineStr">
        <is>
          <t>6</t>
        </is>
      </c>
      <c r="E172">
        <f>HYPERLINK("https://www.britishcycling.org.uk/points?person_id=27395&amp;year=2022&amp;type=national&amp;d=6","Results")</f>
        <v/>
      </c>
    </row>
    <row r="173">
      <c r="A173" t="inlineStr">
        <is>
          <t>172</t>
        </is>
      </c>
      <c r="B173" t="inlineStr">
        <is>
          <t>Clive Powell</t>
        </is>
      </c>
      <c r="C173" t="inlineStr">
        <is>
          <t>Rhayader Riders Cycling Club</t>
        </is>
      </c>
      <c r="D173" t="inlineStr">
        <is>
          <t>6</t>
        </is>
      </c>
      <c r="E173">
        <f>HYPERLINK("https://www.britishcycling.org.uk/points?person_id=70052&amp;year=2022&amp;type=national&amp;d=6","Results")</f>
        <v/>
      </c>
    </row>
    <row r="174">
      <c r="A174" t="inlineStr">
        <is>
          <t>173</t>
        </is>
      </c>
      <c r="B174" t="inlineStr">
        <is>
          <t>David Hard</t>
        </is>
      </c>
      <c r="C174" t="inlineStr">
        <is>
          <t>CC Luton</t>
        </is>
      </c>
      <c r="D174" t="inlineStr">
        <is>
          <t>5</t>
        </is>
      </c>
      <c r="E174">
        <f>HYPERLINK("https://www.britishcycling.org.uk/points?person_id=20531&amp;year=2022&amp;type=national&amp;d=6","Results")</f>
        <v/>
      </c>
    </row>
    <row r="175">
      <c r="A175" t="inlineStr">
        <is>
          <t>174</t>
        </is>
      </c>
      <c r="B175" t="inlineStr">
        <is>
          <t>Michael Speirs</t>
        </is>
      </c>
      <c r="C175" t="inlineStr">
        <is>
          <t>Kendal Cycle Club</t>
        </is>
      </c>
      <c r="D175" t="inlineStr">
        <is>
          <t>5</t>
        </is>
      </c>
      <c r="E175">
        <f>HYPERLINK("https://www.britishcycling.org.uk/points?person_id=38127&amp;year=2022&amp;type=national&amp;d=6","Results")</f>
        <v/>
      </c>
    </row>
    <row r="176">
      <c r="A176" t="inlineStr">
        <is>
          <t>175</t>
        </is>
      </c>
      <c r="B176" t="inlineStr">
        <is>
          <t>Peter Varian</t>
        </is>
      </c>
      <c r="C176" t="inlineStr">
        <is>
          <t>Birmingham Midland Cycling Club</t>
        </is>
      </c>
      <c r="D176" t="inlineStr">
        <is>
          <t>5</t>
        </is>
      </c>
      <c r="E176">
        <f>HYPERLINK("https://www.britishcycling.org.uk/points?person_id=45414&amp;year=2022&amp;type=national&amp;d=6","Results")</f>
        <v/>
      </c>
    </row>
    <row r="177">
      <c r="A177" t="inlineStr">
        <is>
          <t>176</t>
        </is>
      </c>
      <c r="B177" t="inlineStr">
        <is>
          <t>Stephen Blackmore</t>
        </is>
      </c>
      <c r="C177" t="inlineStr">
        <is>
          <t>Team Darenth</t>
        </is>
      </c>
      <c r="D177" t="inlineStr">
        <is>
          <t>4</t>
        </is>
      </c>
      <c r="E177">
        <f>HYPERLINK("https://www.britishcycling.org.uk/points?person_id=73162&amp;year=2022&amp;type=national&amp;d=6","Results")</f>
        <v/>
      </c>
    </row>
    <row r="178">
      <c r="A178" t="inlineStr">
        <is>
          <t>177</t>
        </is>
      </c>
      <c r="B178" t="inlineStr">
        <is>
          <t>Alan Boyd</t>
        </is>
      </c>
      <c r="C178" t="inlineStr">
        <is>
          <t>Tay Titans</t>
        </is>
      </c>
      <c r="D178" t="inlineStr">
        <is>
          <t>4</t>
        </is>
      </c>
      <c r="E178">
        <f>HYPERLINK("https://www.britishcycling.org.uk/points?person_id=40175&amp;year=2022&amp;type=national&amp;d=6","Results")</f>
        <v/>
      </c>
    </row>
    <row r="179">
      <c r="A179" t="inlineStr">
        <is>
          <t>178</t>
        </is>
      </c>
      <c r="B179" t="inlineStr">
        <is>
          <t>Stuart Green</t>
        </is>
      </c>
      <c r="C179" t="inlineStr"/>
      <c r="D179" t="inlineStr">
        <is>
          <t>4</t>
        </is>
      </c>
      <c r="E179">
        <f>HYPERLINK("https://www.britishcycling.org.uk/points?person_id=222734&amp;year=2022&amp;type=national&amp;d=6","Results")</f>
        <v/>
      </c>
    </row>
    <row r="180">
      <c r="A180" t="inlineStr">
        <is>
          <t>179</t>
        </is>
      </c>
      <c r="B180" t="inlineStr">
        <is>
          <t>Philip Jones</t>
        </is>
      </c>
      <c r="C180" t="inlineStr">
        <is>
          <t>Matlock CC</t>
        </is>
      </c>
      <c r="D180" t="inlineStr">
        <is>
          <t>4</t>
        </is>
      </c>
      <c r="E180">
        <f>HYPERLINK("https://www.britishcycling.org.uk/points?person_id=52235&amp;year=2022&amp;type=national&amp;d=6","Results")</f>
        <v/>
      </c>
    </row>
    <row r="181">
      <c r="A181" t="inlineStr">
        <is>
          <t>180</t>
        </is>
      </c>
      <c r="B181" t="inlineStr">
        <is>
          <t>Euan Ritchie</t>
        </is>
      </c>
      <c r="C181" t="inlineStr">
        <is>
          <t>Carnoustie Cycling Club</t>
        </is>
      </c>
      <c r="D181" t="inlineStr">
        <is>
          <t>4</t>
        </is>
      </c>
      <c r="E181">
        <f>HYPERLINK("https://www.britishcycling.org.uk/points?person_id=31702&amp;year=2022&amp;type=national&amp;d=6","Results")</f>
        <v/>
      </c>
    </row>
    <row r="182">
      <c r="A182" t="inlineStr">
        <is>
          <t>181</t>
        </is>
      </c>
      <c r="B182" t="inlineStr">
        <is>
          <t>Michael Smith</t>
        </is>
      </c>
      <c r="C182" t="inlineStr"/>
      <c r="D182" t="inlineStr">
        <is>
          <t>4</t>
        </is>
      </c>
      <c r="E182">
        <f>HYPERLINK("https://www.britishcycling.org.uk/points?person_id=350269&amp;year=2022&amp;type=national&amp;d=6","Results")</f>
        <v/>
      </c>
    </row>
    <row r="183">
      <c r="A183" t="inlineStr">
        <is>
          <t>182</t>
        </is>
      </c>
      <c r="B183" t="inlineStr">
        <is>
          <t>Chris Turvey</t>
        </is>
      </c>
      <c r="C183" t="inlineStr">
        <is>
          <t>Dream Cycling</t>
        </is>
      </c>
      <c r="D183" t="inlineStr">
        <is>
          <t>3</t>
        </is>
      </c>
      <c r="E183">
        <f>HYPERLINK("https://www.britishcycling.org.uk/points?person_id=33355&amp;year=2022&amp;type=national&amp;d=6","Results")</f>
        <v/>
      </c>
    </row>
    <row r="184">
      <c r="A184" t="inlineStr">
        <is>
          <t>183</t>
        </is>
      </c>
      <c r="B184" t="inlineStr">
        <is>
          <t>Christopher White</t>
        </is>
      </c>
      <c r="C184" t="inlineStr">
        <is>
          <t>Fife Century RC</t>
        </is>
      </c>
      <c r="D184" t="inlineStr">
        <is>
          <t>3</t>
        </is>
      </c>
      <c r="E184">
        <f>HYPERLINK("https://www.britishcycling.org.uk/points?person_id=560760&amp;year=2022&amp;type=national&amp;d=6","Results")</f>
        <v/>
      </c>
    </row>
    <row r="185">
      <c r="A185" t="inlineStr">
        <is>
          <t>184</t>
        </is>
      </c>
      <c r="B185" t="inlineStr">
        <is>
          <t>Terry Beisty</t>
        </is>
      </c>
      <c r="C185" t="inlineStr">
        <is>
          <t>Scunthorpe Polytechnic CC</t>
        </is>
      </c>
      <c r="D185" t="inlineStr">
        <is>
          <t>1</t>
        </is>
      </c>
      <c r="E185">
        <f>HYPERLINK("https://www.britishcycling.org.uk/points?person_id=49637&amp;year=2022&amp;type=national&amp;d=6","Results")</f>
        <v/>
      </c>
    </row>
    <row r="186">
      <c r="A186" t="inlineStr">
        <is>
          <t>185</t>
        </is>
      </c>
      <c r="B186" t="inlineStr">
        <is>
          <t>John Hawes</t>
        </is>
      </c>
      <c r="C186" t="inlineStr">
        <is>
          <t>Cheltenham &amp; County Cycling Club</t>
        </is>
      </c>
      <c r="D186" t="inlineStr">
        <is>
          <t>1</t>
        </is>
      </c>
      <c r="E186">
        <f>HYPERLINK("https://www.britishcycling.org.uk/points?person_id=34419&amp;year=2022&amp;type=national&amp;d=6","Results")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04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Olivia Poole</t>
        </is>
      </c>
      <c r="C2" t="inlineStr">
        <is>
          <t>Deeside Thistle CC</t>
        </is>
      </c>
      <c r="D2" t="inlineStr">
        <is>
          <t>401</t>
        </is>
      </c>
      <c r="E2">
        <f>HYPERLINK("https://www.britishcycling.org.uk/points?person_id=707625&amp;year=2022&amp;type=national&amp;d=6","Results")</f>
        <v/>
      </c>
    </row>
    <row r="3">
      <c r="A3" t="inlineStr">
        <is>
          <t>2</t>
        </is>
      </c>
      <c r="B3" t="inlineStr">
        <is>
          <t>Rose Lewis</t>
        </is>
      </c>
      <c r="C3" t="inlineStr">
        <is>
          <t>Halesowen A &amp; CC</t>
        </is>
      </c>
      <c r="D3" t="inlineStr">
        <is>
          <t>362</t>
        </is>
      </c>
      <c r="E3">
        <f>HYPERLINK("https://www.britishcycling.org.uk/points?person_id=296827&amp;year=2022&amp;type=national&amp;d=6","Results")</f>
        <v/>
      </c>
    </row>
    <row r="4">
      <c r="A4" t="inlineStr">
        <is>
          <t>3</t>
        </is>
      </c>
      <c r="B4" t="inlineStr">
        <is>
          <t>Isla Pattinson</t>
        </is>
      </c>
      <c r="C4" t="inlineStr">
        <is>
          <t>Solent Pirates</t>
        </is>
      </c>
      <c r="D4" t="inlineStr">
        <is>
          <t>260</t>
        </is>
      </c>
      <c r="E4">
        <f>HYPERLINK("https://www.britishcycling.org.uk/points?person_id=531047&amp;year=2022&amp;type=national&amp;d=6","Results")</f>
        <v/>
      </c>
    </row>
    <row r="5">
      <c r="A5" t="inlineStr">
        <is>
          <t>4</t>
        </is>
      </c>
      <c r="B5" t="inlineStr">
        <is>
          <t>Charlotte Lissaman</t>
        </is>
      </c>
      <c r="C5" t="inlineStr">
        <is>
          <t>Newark Castle CC</t>
        </is>
      </c>
      <c r="D5" t="inlineStr">
        <is>
          <t>203</t>
        </is>
      </c>
      <c r="E5">
        <f>HYPERLINK("https://www.britishcycling.org.uk/points?person_id=318898&amp;year=2022&amp;type=national&amp;d=6","Results")</f>
        <v/>
      </c>
    </row>
    <row r="6">
      <c r="A6" t="inlineStr">
        <is>
          <t>5</t>
        </is>
      </c>
      <c r="B6" t="inlineStr">
        <is>
          <t>Melanie Rowe</t>
        </is>
      </c>
      <c r="C6" t="inlineStr">
        <is>
          <t>Deeside Thistle CC</t>
        </is>
      </c>
      <c r="D6" t="inlineStr">
        <is>
          <t>192</t>
        </is>
      </c>
      <c r="E6">
        <f>HYPERLINK("https://www.britishcycling.org.uk/points?person_id=285200&amp;year=2022&amp;type=national&amp;d=6","Results")</f>
        <v/>
      </c>
    </row>
    <row r="7">
      <c r="A7" t="inlineStr">
        <is>
          <t>6</t>
        </is>
      </c>
      <c r="B7" t="inlineStr">
        <is>
          <t>Isabel Beale</t>
        </is>
      </c>
      <c r="C7" t="inlineStr">
        <is>
          <t>Welwyn Wheelers CC</t>
        </is>
      </c>
      <c r="D7" t="inlineStr">
        <is>
          <t>181</t>
        </is>
      </c>
      <c r="E7">
        <f>HYPERLINK("https://www.britishcycling.org.uk/points?person_id=618945&amp;year=2022&amp;type=national&amp;d=6","Results")</f>
        <v/>
      </c>
    </row>
    <row r="8">
      <c r="A8" t="inlineStr">
        <is>
          <t>7</t>
        </is>
      </c>
      <c r="B8" t="inlineStr">
        <is>
          <t>Katie Colling</t>
        </is>
      </c>
      <c r="C8" t="inlineStr">
        <is>
          <t>ESV Manchester</t>
        </is>
      </c>
      <c r="D8" t="inlineStr">
        <is>
          <t>156</t>
        </is>
      </c>
      <c r="E8">
        <f>HYPERLINK("https://www.britishcycling.org.uk/points?person_id=464124&amp;year=2022&amp;type=national&amp;d=6","Results")</f>
        <v/>
      </c>
    </row>
    <row r="9">
      <c r="A9" t="inlineStr">
        <is>
          <t>8</t>
        </is>
      </c>
      <c r="B9" t="inlineStr">
        <is>
          <t>Zara Main</t>
        </is>
      </c>
      <c r="C9" t="inlineStr">
        <is>
          <t>Deeside Thistle CC</t>
        </is>
      </c>
      <c r="D9" t="inlineStr">
        <is>
          <t>131</t>
        </is>
      </c>
      <c r="E9">
        <f>HYPERLINK("https://www.britishcycling.org.uk/points?person_id=654125&amp;year=2022&amp;type=national&amp;d=6","Results")</f>
        <v/>
      </c>
    </row>
    <row r="10">
      <c r="A10" t="inlineStr">
        <is>
          <t>9</t>
        </is>
      </c>
      <c r="B10" t="inlineStr">
        <is>
          <t>Katie Lawson</t>
        </is>
      </c>
      <c r="C10" t="inlineStr">
        <is>
          <t>Secret-Training.cc</t>
        </is>
      </c>
      <c r="D10" t="inlineStr">
        <is>
          <t>126</t>
        </is>
      </c>
      <c r="E10">
        <f>HYPERLINK("https://www.britishcycling.org.uk/points?person_id=686287&amp;year=2022&amp;type=national&amp;d=6","Results")</f>
        <v/>
      </c>
    </row>
    <row r="11">
      <c r="A11" t="inlineStr">
        <is>
          <t>10</t>
        </is>
      </c>
      <c r="B11" t="inlineStr">
        <is>
          <t>Izabel Young</t>
        </is>
      </c>
      <c r="C11" t="inlineStr">
        <is>
          <t>Shibden Cycling Club</t>
        </is>
      </c>
      <c r="D11" t="inlineStr">
        <is>
          <t>121</t>
        </is>
      </c>
      <c r="E11">
        <f>HYPERLINK("https://www.britishcycling.org.uk/points?person_id=520691&amp;year=2022&amp;type=national&amp;d=6","Results")</f>
        <v/>
      </c>
    </row>
    <row r="12">
      <c r="A12" t="inlineStr">
        <is>
          <t>11</t>
        </is>
      </c>
      <c r="B12" t="inlineStr">
        <is>
          <t>Heidi Roscoe</t>
        </is>
      </c>
      <c r="C12" t="inlineStr">
        <is>
          <t>Cheltenham Town Wheelers</t>
        </is>
      </c>
      <c r="D12" t="inlineStr">
        <is>
          <t>120</t>
        </is>
      </c>
      <c r="E12">
        <f>HYPERLINK("https://www.britishcycling.org.uk/points?person_id=953788&amp;year=2022&amp;type=national&amp;d=6","Results")</f>
        <v/>
      </c>
    </row>
    <row r="13">
      <c r="A13" t="inlineStr">
        <is>
          <t>12</t>
        </is>
      </c>
      <c r="B13" t="inlineStr">
        <is>
          <t>Katie Allsop</t>
        </is>
      </c>
      <c r="C13" t="inlineStr">
        <is>
          <t>ROTOR Race Team</t>
        </is>
      </c>
      <c r="D13" t="inlineStr">
        <is>
          <t>118</t>
        </is>
      </c>
      <c r="E13">
        <f>HYPERLINK("https://www.britishcycling.org.uk/points?person_id=102313&amp;year=2022&amp;type=national&amp;d=6","Results")</f>
        <v/>
      </c>
    </row>
    <row r="14">
      <c r="A14" t="inlineStr">
        <is>
          <t>13</t>
        </is>
      </c>
      <c r="B14" t="inlineStr">
        <is>
          <t>Carys Hughes</t>
        </is>
      </c>
      <c r="C14" t="inlineStr">
        <is>
          <t>Abergavenny Road Club</t>
        </is>
      </c>
      <c r="D14" t="inlineStr">
        <is>
          <t>115</t>
        </is>
      </c>
      <c r="E14">
        <f>HYPERLINK("https://www.britishcycling.org.uk/points?person_id=1037694&amp;year=2022&amp;type=national&amp;d=6","Results")</f>
        <v/>
      </c>
    </row>
    <row r="15">
      <c r="A15" t="inlineStr">
        <is>
          <t>14</t>
        </is>
      </c>
      <c r="B15" t="inlineStr">
        <is>
          <t>Annabelle Griffiths</t>
        </is>
      </c>
      <c r="C15" t="inlineStr">
        <is>
          <t>Rhyl Cycling Club</t>
        </is>
      </c>
      <c r="D15" t="inlineStr">
        <is>
          <t>99</t>
        </is>
      </c>
      <c r="E15">
        <f>HYPERLINK("https://www.britishcycling.org.uk/points?person_id=854132&amp;year=2022&amp;type=national&amp;d=6","Results")</f>
        <v/>
      </c>
    </row>
    <row r="16">
      <c r="A16" t="inlineStr">
        <is>
          <t>15</t>
        </is>
      </c>
      <c r="B16" t="inlineStr">
        <is>
          <t>Orla White</t>
        </is>
      </c>
      <c r="C16" t="inlineStr">
        <is>
          <t>Dartmoor Velo</t>
        </is>
      </c>
      <c r="D16" t="inlineStr">
        <is>
          <t>89</t>
        </is>
      </c>
      <c r="E16">
        <f>HYPERLINK("https://www.britishcycling.org.uk/points?person_id=756235&amp;year=2022&amp;type=national&amp;d=6","Results")</f>
        <v/>
      </c>
    </row>
    <row r="17">
      <c r="A17" t="inlineStr">
        <is>
          <t>16</t>
        </is>
      </c>
      <c r="B17" t="inlineStr">
        <is>
          <t>Isabelle Goodwin</t>
        </is>
      </c>
      <c r="C17" t="inlineStr">
        <is>
          <t>Louth Cycle Centre RT</t>
        </is>
      </c>
      <c r="D17" t="inlineStr">
        <is>
          <t>87</t>
        </is>
      </c>
      <c r="E17">
        <f>HYPERLINK("https://www.britishcycling.org.uk/points?person_id=530742&amp;year=2022&amp;type=national&amp;d=6","Results")</f>
        <v/>
      </c>
    </row>
    <row r="18">
      <c r="A18" t="inlineStr">
        <is>
          <t>17</t>
        </is>
      </c>
      <c r="B18" t="inlineStr">
        <is>
          <t>Rachel Halden</t>
        </is>
      </c>
      <c r="C18" t="inlineStr">
        <is>
          <t>Welwyn Wheelers CC</t>
        </is>
      </c>
      <c r="D18" t="inlineStr">
        <is>
          <t>83</t>
        </is>
      </c>
      <c r="E18">
        <f>HYPERLINK("https://www.britishcycling.org.uk/points?person_id=753298&amp;year=2022&amp;type=national&amp;d=6","Results")</f>
        <v/>
      </c>
    </row>
    <row r="19">
      <c r="A19" t="inlineStr">
        <is>
          <t>18</t>
        </is>
      </c>
      <c r="B19" t="inlineStr">
        <is>
          <t>Millie Boothman</t>
        </is>
      </c>
      <c r="C19" t="inlineStr">
        <is>
          <t>East Kilbride Road Club</t>
        </is>
      </c>
      <c r="D19" t="inlineStr">
        <is>
          <t>79</t>
        </is>
      </c>
      <c r="E19">
        <f>HYPERLINK("https://www.britishcycling.org.uk/points?person_id=631026&amp;year=2022&amp;type=national&amp;d=6","Results")</f>
        <v/>
      </c>
    </row>
    <row r="20">
      <c r="A20" t="inlineStr">
        <is>
          <t>19</t>
        </is>
      </c>
      <c r="B20" t="inlineStr">
        <is>
          <t>Eva Mar-Molinero</t>
        </is>
      </c>
      <c r="C20" t="inlineStr">
        <is>
          <t>Solent Pirates</t>
        </is>
      </c>
      <c r="D20" t="inlineStr">
        <is>
          <t>76</t>
        </is>
      </c>
      <c r="E20">
        <f>HYPERLINK("https://www.britishcycling.org.uk/points?person_id=871447&amp;year=2022&amp;type=national&amp;d=6","Results")</f>
        <v/>
      </c>
    </row>
    <row r="21">
      <c r="A21" t="inlineStr">
        <is>
          <t>20</t>
        </is>
      </c>
      <c r="B21" t="inlineStr">
        <is>
          <t>Jaime Downing</t>
        </is>
      </c>
      <c r="C21" t="inlineStr">
        <is>
          <t>Wolverhampton Wheelers</t>
        </is>
      </c>
      <c r="D21" t="inlineStr">
        <is>
          <t>72</t>
        </is>
      </c>
      <c r="E21">
        <f>HYPERLINK("https://www.britishcycling.org.uk/points?person_id=970806&amp;year=2022&amp;type=national&amp;d=6","Results")</f>
        <v/>
      </c>
    </row>
    <row r="22">
      <c r="A22" t="inlineStr">
        <is>
          <t>21</t>
        </is>
      </c>
      <c r="B22" t="inlineStr">
        <is>
          <t>Lara Elias</t>
        </is>
      </c>
      <c r="C22" t="inlineStr">
        <is>
          <t>Velo Myrddin CC powered by Y Beic</t>
        </is>
      </c>
      <c r="D22" t="inlineStr">
        <is>
          <t>72</t>
        </is>
      </c>
      <c r="E22">
        <f>HYPERLINK("https://www.britishcycling.org.uk/points?person_id=740551&amp;year=2022&amp;type=national&amp;d=6","Results")</f>
        <v/>
      </c>
    </row>
    <row r="23">
      <c r="A23" t="inlineStr">
        <is>
          <t>22</t>
        </is>
      </c>
      <c r="B23" t="inlineStr">
        <is>
          <t>Lily Speak</t>
        </is>
      </c>
      <c r="C23" t="inlineStr">
        <is>
          <t>Clifton CC</t>
        </is>
      </c>
      <c r="D23" t="inlineStr">
        <is>
          <t>72</t>
        </is>
      </c>
      <c r="E23">
        <f>HYPERLINK("https://www.britishcycling.org.uk/points?person_id=867795&amp;year=2022&amp;type=national&amp;d=6","Results")</f>
        <v/>
      </c>
    </row>
    <row r="24">
      <c r="A24" t="inlineStr">
        <is>
          <t>23</t>
        </is>
      </c>
      <c r="B24" t="inlineStr">
        <is>
          <t>Mairi Dowens</t>
        </is>
      </c>
      <c r="C24" t="inlineStr">
        <is>
          <t>West Lothian Clarion CC</t>
        </is>
      </c>
      <c r="D24" t="inlineStr">
        <is>
          <t>71</t>
        </is>
      </c>
      <c r="E24">
        <f>HYPERLINK("https://www.britishcycling.org.uk/points?person_id=841285&amp;year=2022&amp;type=national&amp;d=6","Results")</f>
        <v/>
      </c>
    </row>
    <row r="25">
      <c r="A25" t="inlineStr">
        <is>
          <t>24</t>
        </is>
      </c>
      <c r="B25" t="inlineStr">
        <is>
          <t>Olivia Smallshaw</t>
        </is>
      </c>
      <c r="C25" t="inlineStr">
        <is>
          <t>Shibden Cycling Club</t>
        </is>
      </c>
      <c r="D25" t="inlineStr">
        <is>
          <t>71</t>
        </is>
      </c>
      <c r="E25">
        <f>HYPERLINK("https://www.britishcycling.org.uk/points?person_id=1008158&amp;year=2022&amp;type=national&amp;d=6","Results")</f>
        <v/>
      </c>
    </row>
    <row r="26">
      <c r="A26" t="inlineStr">
        <is>
          <t>25</t>
        </is>
      </c>
      <c r="B26" t="inlineStr">
        <is>
          <t>Ava Luce</t>
        </is>
      </c>
      <c r="C26" t="inlineStr">
        <is>
          <t>Forres CC</t>
        </is>
      </c>
      <c r="D26" t="inlineStr">
        <is>
          <t>70</t>
        </is>
      </c>
      <c r="E26">
        <f>HYPERLINK("https://www.britishcycling.org.uk/points?person_id=579631&amp;year=2022&amp;type=national&amp;d=6","Results")</f>
        <v/>
      </c>
    </row>
    <row r="27">
      <c r="A27" t="inlineStr">
        <is>
          <t>26</t>
        </is>
      </c>
      <c r="B27" t="inlineStr">
        <is>
          <t>Aisling Charlesworth</t>
        </is>
      </c>
      <c r="C27" t="inlineStr">
        <is>
          <t>Fibrax Wrexham Roads Club</t>
        </is>
      </c>
      <c r="D27" t="inlineStr">
        <is>
          <t>68</t>
        </is>
      </c>
      <c r="E27">
        <f>HYPERLINK("https://www.britishcycling.org.uk/points?person_id=757361&amp;year=2022&amp;type=national&amp;d=6","Results")</f>
        <v/>
      </c>
    </row>
    <row r="28">
      <c r="A28" t="inlineStr">
        <is>
          <t>27</t>
        </is>
      </c>
      <c r="B28" t="inlineStr">
        <is>
          <t>Eloise Ward</t>
        </is>
      </c>
      <c r="C28" t="inlineStr">
        <is>
          <t>Lee Valley Youth Cycling Club</t>
        </is>
      </c>
      <c r="D28" t="inlineStr">
        <is>
          <t>66</t>
        </is>
      </c>
      <c r="E28">
        <f>HYPERLINK("https://www.britishcycling.org.uk/points?person_id=800277&amp;year=2022&amp;type=national&amp;d=6","Results")</f>
        <v/>
      </c>
    </row>
    <row r="29">
      <c r="A29" t="inlineStr">
        <is>
          <t>28</t>
        </is>
      </c>
      <c r="B29" t="inlineStr">
        <is>
          <t>Poppy Spencer</t>
        </is>
      </c>
      <c r="C29" t="inlineStr">
        <is>
          <t>Shibden Cycling Club</t>
        </is>
      </c>
      <c r="D29" t="inlineStr">
        <is>
          <t>57</t>
        </is>
      </c>
      <c r="E29">
        <f>HYPERLINK("https://www.britishcycling.org.uk/points?person_id=760262&amp;year=2022&amp;type=national&amp;d=6","Results")</f>
        <v/>
      </c>
    </row>
    <row r="30">
      <c r="A30" t="inlineStr">
        <is>
          <t>29</t>
        </is>
      </c>
      <c r="B30" t="inlineStr">
        <is>
          <t>Kirsten Brown</t>
        </is>
      </c>
      <c r="C30" t="inlineStr">
        <is>
          <t>Sprockets Cycle Club</t>
        </is>
      </c>
      <c r="D30" t="inlineStr">
        <is>
          <t>53</t>
        </is>
      </c>
      <c r="E30">
        <f>HYPERLINK("https://www.britishcycling.org.uk/points?person_id=621135&amp;year=2022&amp;type=national&amp;d=6","Results")</f>
        <v/>
      </c>
    </row>
    <row r="31">
      <c r="A31" t="inlineStr">
        <is>
          <t>30</t>
        </is>
      </c>
      <c r="B31" t="inlineStr">
        <is>
          <t>Peggy Knox</t>
        </is>
      </c>
      <c r="C31" t="inlineStr">
        <is>
          <t>ViCiOUS VELO</t>
        </is>
      </c>
      <c r="D31" t="inlineStr">
        <is>
          <t>51</t>
        </is>
      </c>
      <c r="E31">
        <f>HYPERLINK("https://www.britishcycling.org.uk/points?person_id=485778&amp;year=2022&amp;type=national&amp;d=6","Results")</f>
        <v/>
      </c>
    </row>
    <row r="32">
      <c r="A32" t="inlineStr">
        <is>
          <t>31</t>
        </is>
      </c>
      <c r="B32" t="inlineStr">
        <is>
          <t>Olivia Orme</t>
        </is>
      </c>
      <c r="C32" t="inlineStr">
        <is>
          <t>Team Milton Keynes</t>
        </is>
      </c>
      <c r="D32" t="inlineStr">
        <is>
          <t>49</t>
        </is>
      </c>
      <c r="E32">
        <f>HYPERLINK("https://www.britishcycling.org.uk/points?person_id=578061&amp;year=2022&amp;type=national&amp;d=6","Results")</f>
        <v/>
      </c>
    </row>
    <row r="33">
      <c r="A33" t="inlineStr">
        <is>
          <t>32</t>
        </is>
      </c>
      <c r="B33" t="inlineStr">
        <is>
          <t>Imogen McAdie</t>
        </is>
      </c>
      <c r="C33" t="inlineStr">
        <is>
          <t>Gower Riders</t>
        </is>
      </c>
      <c r="D33" t="inlineStr">
        <is>
          <t>48</t>
        </is>
      </c>
      <c r="E33">
        <f>HYPERLINK("https://www.britishcycling.org.uk/points?person_id=879207&amp;year=2022&amp;type=national&amp;d=6","Results")</f>
        <v/>
      </c>
    </row>
    <row r="34">
      <c r="A34" t="inlineStr">
        <is>
          <t>33</t>
        </is>
      </c>
      <c r="B34" t="inlineStr">
        <is>
          <t>Nicole Anderson</t>
        </is>
      </c>
      <c r="C34" t="inlineStr">
        <is>
          <t>Hetton Hawks Cycling Club</t>
        </is>
      </c>
      <c r="D34" t="inlineStr">
        <is>
          <t>46</t>
        </is>
      </c>
      <c r="E34">
        <f>HYPERLINK("https://www.britishcycling.org.uk/points?person_id=664627&amp;year=2022&amp;type=national&amp;d=6","Results")</f>
        <v/>
      </c>
    </row>
    <row r="35">
      <c r="A35" t="inlineStr">
        <is>
          <t>34</t>
        </is>
      </c>
      <c r="B35" t="inlineStr">
        <is>
          <t>Macey Arrowsmith</t>
        </is>
      </c>
      <c r="C35" t="inlineStr">
        <is>
          <t>Sherwood Pines Cycles Forme</t>
        </is>
      </c>
      <c r="D35" t="inlineStr">
        <is>
          <t>45</t>
        </is>
      </c>
      <c r="E35">
        <f>HYPERLINK("https://www.britishcycling.org.uk/points?person_id=970588&amp;year=2022&amp;type=national&amp;d=6","Results")</f>
        <v/>
      </c>
    </row>
    <row r="36">
      <c r="A36" t="inlineStr">
        <is>
          <t>35</t>
        </is>
      </c>
      <c r="B36" t="inlineStr">
        <is>
          <t>Emma Campbell</t>
        </is>
      </c>
      <c r="C36" t="inlineStr">
        <is>
          <t>Deeside Thistle CC</t>
        </is>
      </c>
      <c r="D36" t="inlineStr">
        <is>
          <t>43</t>
        </is>
      </c>
      <c r="E36">
        <f>HYPERLINK("https://www.britishcycling.org.uk/points?person_id=783774&amp;year=2022&amp;type=national&amp;d=6","Results")</f>
        <v/>
      </c>
    </row>
    <row r="37">
      <c r="A37" t="inlineStr">
        <is>
          <t>36</t>
        </is>
      </c>
      <c r="B37" t="inlineStr">
        <is>
          <t>Isla Woolf</t>
        </is>
      </c>
      <c r="C37" t="inlineStr">
        <is>
          <t>Matlock CC</t>
        </is>
      </c>
      <c r="D37" t="inlineStr">
        <is>
          <t>43</t>
        </is>
      </c>
      <c r="E37">
        <f>HYPERLINK("https://www.britishcycling.org.uk/points?person_id=612736&amp;year=2022&amp;type=national&amp;d=6","Results")</f>
        <v/>
      </c>
    </row>
    <row r="38">
      <c r="A38" t="inlineStr">
        <is>
          <t>37</t>
        </is>
      </c>
      <c r="B38" t="inlineStr">
        <is>
          <t>Emma Hall</t>
        </is>
      </c>
      <c r="C38" t="inlineStr">
        <is>
          <t>Pentland Racers</t>
        </is>
      </c>
      <c r="D38" t="inlineStr">
        <is>
          <t>41</t>
        </is>
      </c>
      <c r="E38">
        <f>HYPERLINK("https://www.britishcycling.org.uk/points?person_id=725199&amp;year=2022&amp;type=national&amp;d=6","Results")</f>
        <v/>
      </c>
    </row>
    <row r="39">
      <c r="A39" t="inlineStr">
        <is>
          <t>38</t>
        </is>
      </c>
      <c r="B39" t="inlineStr">
        <is>
          <t>Grace Upshall</t>
        </is>
      </c>
      <c r="C39" t="inlineStr">
        <is>
          <t>Poole Wheelers CC</t>
        </is>
      </c>
      <c r="D39" t="inlineStr">
        <is>
          <t>41</t>
        </is>
      </c>
      <c r="E39">
        <f>HYPERLINK("https://www.britishcycling.org.uk/points?person_id=687605&amp;year=2022&amp;type=national&amp;d=6","Results")</f>
        <v/>
      </c>
    </row>
    <row r="40">
      <c r="A40" t="inlineStr">
        <is>
          <t>39</t>
        </is>
      </c>
      <c r="B40" t="inlineStr">
        <is>
          <t>Orla Burn</t>
        </is>
      </c>
      <c r="C40" t="inlineStr">
        <is>
          <t>West Lothian Clarion CC</t>
        </is>
      </c>
      <c r="D40" t="inlineStr">
        <is>
          <t>36</t>
        </is>
      </c>
      <c r="E40">
        <f>HYPERLINK("https://www.britishcycling.org.uk/points?person_id=455645&amp;year=2022&amp;type=national&amp;d=6","Results")</f>
        <v/>
      </c>
    </row>
    <row r="41">
      <c r="A41" t="inlineStr">
        <is>
          <t>40</t>
        </is>
      </c>
      <c r="B41" t="inlineStr">
        <is>
          <t>Georgia Lovett</t>
        </is>
      </c>
      <c r="C41" t="inlineStr">
        <is>
          <t>Palmer Park Velo RT</t>
        </is>
      </c>
      <c r="D41" t="inlineStr">
        <is>
          <t>36</t>
        </is>
      </c>
      <c r="E41">
        <f>HYPERLINK("https://www.britishcycling.org.uk/points?person_id=604685&amp;year=2022&amp;type=national&amp;d=6","Results")</f>
        <v/>
      </c>
    </row>
    <row r="42">
      <c r="A42" t="inlineStr">
        <is>
          <t>41</t>
        </is>
      </c>
      <c r="B42" t="inlineStr">
        <is>
          <t>Scarlett Ford</t>
        </is>
      </c>
      <c r="C42" t="inlineStr">
        <is>
          <t>Stratford CC</t>
        </is>
      </c>
      <c r="D42" t="inlineStr">
        <is>
          <t>34</t>
        </is>
      </c>
      <c r="E42">
        <f>HYPERLINK("https://www.britishcycling.org.uk/points?person_id=989224&amp;year=2022&amp;type=national&amp;d=6","Results")</f>
        <v/>
      </c>
    </row>
    <row r="43">
      <c r="A43" t="inlineStr">
        <is>
          <t>42</t>
        </is>
      </c>
      <c r="B43" t="inlineStr">
        <is>
          <t>Isla Watson</t>
        </is>
      </c>
      <c r="C43" t="inlineStr">
        <is>
          <t>Solent Pirates</t>
        </is>
      </c>
      <c r="D43" t="inlineStr">
        <is>
          <t>28</t>
        </is>
      </c>
      <c r="E43">
        <f>HYPERLINK("https://www.britishcycling.org.uk/points?person_id=713688&amp;year=2022&amp;type=national&amp;d=6","Results")</f>
        <v/>
      </c>
    </row>
    <row r="44">
      <c r="A44" t="inlineStr">
        <is>
          <t>43</t>
        </is>
      </c>
      <c r="B44" t="inlineStr">
        <is>
          <t>Katy Otterson</t>
        </is>
      </c>
      <c r="C44" t="inlineStr">
        <is>
          <t>NSP Cycling Team</t>
        </is>
      </c>
      <c r="D44" t="inlineStr">
        <is>
          <t>27</t>
        </is>
      </c>
      <c r="E44">
        <f>HYPERLINK("https://www.britishcycling.org.uk/points?person_id=947866&amp;year=2022&amp;type=national&amp;d=6","Results")</f>
        <v/>
      </c>
    </row>
    <row r="45">
      <c r="A45" t="inlineStr">
        <is>
          <t>44</t>
        </is>
      </c>
      <c r="B45" t="inlineStr">
        <is>
          <t>Isla Kolbert</t>
        </is>
      </c>
      <c r="C45" t="inlineStr">
        <is>
          <t>Witham Wheelers Cycling Club</t>
        </is>
      </c>
      <c r="D45" t="inlineStr">
        <is>
          <t>25</t>
        </is>
      </c>
      <c r="E45">
        <f>HYPERLINK("https://www.britishcycling.org.uk/points?person_id=521461&amp;year=2022&amp;type=national&amp;d=6","Results")</f>
        <v/>
      </c>
    </row>
    <row r="46">
      <c r="A46" t="inlineStr">
        <is>
          <t>45</t>
        </is>
      </c>
      <c r="B46" t="inlineStr">
        <is>
          <t>Eleanor Thompson</t>
        </is>
      </c>
      <c r="C46" t="inlineStr">
        <is>
          <t>Bigfoot CC</t>
        </is>
      </c>
      <c r="D46" t="inlineStr">
        <is>
          <t>25</t>
        </is>
      </c>
      <c r="E46">
        <f>HYPERLINK("https://www.britishcycling.org.uk/points?person_id=654022&amp;year=2022&amp;type=national&amp;d=6","Results")</f>
        <v/>
      </c>
    </row>
    <row r="47">
      <c r="A47" t="inlineStr">
        <is>
          <t>46</t>
        </is>
      </c>
      <c r="B47" t="inlineStr">
        <is>
          <t>Aoife Scawn</t>
        </is>
      </c>
      <c r="C47" t="inlineStr">
        <is>
          <t>Dartmoor Velo</t>
        </is>
      </c>
      <c r="D47" t="inlineStr">
        <is>
          <t>24</t>
        </is>
      </c>
      <c r="E47">
        <f>HYPERLINK("https://www.britishcycling.org.uk/points?person_id=958247&amp;year=2022&amp;type=national&amp;d=6","Results")</f>
        <v/>
      </c>
    </row>
    <row r="48">
      <c r="A48" t="inlineStr">
        <is>
          <t>47</t>
        </is>
      </c>
      <c r="B48" t="inlineStr">
        <is>
          <t>Izzy Barbour</t>
        </is>
      </c>
      <c r="C48" t="inlineStr">
        <is>
          <t>SteppingStanes Youth Cycling Club</t>
        </is>
      </c>
      <c r="D48" t="inlineStr">
        <is>
          <t>23</t>
        </is>
      </c>
      <c r="E48">
        <f>HYPERLINK("https://www.britishcycling.org.uk/points?person_id=653703&amp;year=2022&amp;type=national&amp;d=6","Results")</f>
        <v/>
      </c>
    </row>
    <row r="49">
      <c r="A49" t="inlineStr">
        <is>
          <t>48</t>
        </is>
      </c>
      <c r="B49" t="inlineStr">
        <is>
          <t>Eva-Joan Leavis</t>
        </is>
      </c>
      <c r="C49" t="inlineStr">
        <is>
          <t>Leicester Forest CC</t>
        </is>
      </c>
      <c r="D49" t="inlineStr">
        <is>
          <t>23</t>
        </is>
      </c>
      <c r="E49">
        <f>HYPERLINK("https://www.britishcycling.org.uk/points?person_id=599887&amp;year=2022&amp;type=national&amp;d=6","Results")</f>
        <v/>
      </c>
    </row>
    <row r="50">
      <c r="A50" t="inlineStr">
        <is>
          <t>49</t>
        </is>
      </c>
      <c r="B50" t="inlineStr">
        <is>
          <t>Evie Bramall</t>
        </is>
      </c>
      <c r="C50" t="inlineStr">
        <is>
          <t>Solent Pirates</t>
        </is>
      </c>
      <c r="D50" t="inlineStr">
        <is>
          <t>22</t>
        </is>
      </c>
      <c r="E50">
        <f>HYPERLINK("https://www.britishcycling.org.uk/points?person_id=623897&amp;year=2022&amp;type=national&amp;d=6","Results")</f>
        <v/>
      </c>
    </row>
    <row r="51">
      <c r="A51" t="inlineStr">
        <is>
          <t>50</t>
        </is>
      </c>
      <c r="B51" t="inlineStr">
        <is>
          <t>Lucy Ball</t>
        </is>
      </c>
      <c r="C51" t="inlineStr">
        <is>
          <t>Derby Mercury RC</t>
        </is>
      </c>
      <c r="D51" t="inlineStr">
        <is>
          <t>21</t>
        </is>
      </c>
      <c r="E51">
        <f>HYPERLINK("https://www.britishcycling.org.uk/points?person_id=1027880&amp;year=2022&amp;type=national&amp;d=6","Results")</f>
        <v/>
      </c>
    </row>
    <row r="52">
      <c r="A52" t="inlineStr">
        <is>
          <t>51</t>
        </is>
      </c>
      <c r="B52" t="inlineStr">
        <is>
          <t>Luned Budge</t>
        </is>
      </c>
      <c r="C52" t="inlineStr">
        <is>
          <t>Maindy Flyers CC</t>
        </is>
      </c>
      <c r="D52" t="inlineStr">
        <is>
          <t>21</t>
        </is>
      </c>
      <c r="E52">
        <f>HYPERLINK("https://www.britishcycling.org.uk/points?person_id=1037401&amp;year=2022&amp;type=national&amp;d=6","Results")</f>
        <v/>
      </c>
    </row>
    <row r="53">
      <c r="A53" t="inlineStr">
        <is>
          <t>52</t>
        </is>
      </c>
      <c r="B53" t="inlineStr">
        <is>
          <t>Melissa Moscrop</t>
        </is>
      </c>
      <c r="C53" t="inlineStr">
        <is>
          <t>Secret-Training.cc</t>
        </is>
      </c>
      <c r="D53" t="inlineStr">
        <is>
          <t>20</t>
        </is>
      </c>
      <c r="E53">
        <f>HYPERLINK("https://www.britishcycling.org.uk/points?person_id=770387&amp;year=2022&amp;type=national&amp;d=6","Results")</f>
        <v/>
      </c>
    </row>
    <row r="54">
      <c r="A54" t="inlineStr">
        <is>
          <t>53</t>
        </is>
      </c>
      <c r="B54" t="inlineStr">
        <is>
          <t>Esmee Bone</t>
        </is>
      </c>
      <c r="C54" t="inlineStr">
        <is>
          <t>Welwyn Wheelers CC</t>
        </is>
      </c>
      <c r="D54" t="inlineStr">
        <is>
          <t>19</t>
        </is>
      </c>
      <c r="E54">
        <f>HYPERLINK("https://www.britishcycling.org.uk/points?person_id=953644&amp;year=2022&amp;type=national&amp;d=6","Results")</f>
        <v/>
      </c>
    </row>
    <row r="55">
      <c r="A55" t="inlineStr">
        <is>
          <t>54</t>
        </is>
      </c>
      <c r="B55" t="inlineStr">
        <is>
          <t>Lowri Goodwin</t>
        </is>
      </c>
      <c r="C55" t="inlineStr">
        <is>
          <t>Cwmcarn Paragon Cycling Club</t>
        </is>
      </c>
      <c r="D55" t="inlineStr">
        <is>
          <t>19</t>
        </is>
      </c>
      <c r="E55">
        <f>HYPERLINK("https://www.britishcycling.org.uk/points?person_id=951712&amp;year=2022&amp;type=national&amp;d=6","Results")</f>
        <v/>
      </c>
    </row>
    <row r="56">
      <c r="A56" t="inlineStr">
        <is>
          <t>55</t>
        </is>
      </c>
      <c r="B56" t="inlineStr">
        <is>
          <t>Sophie Jacobs</t>
        </is>
      </c>
      <c r="C56" t="inlineStr">
        <is>
          <t>Solent Pirates</t>
        </is>
      </c>
      <c r="D56" t="inlineStr">
        <is>
          <t>18</t>
        </is>
      </c>
      <c r="E56">
        <f>HYPERLINK("https://www.britishcycling.org.uk/points?person_id=961162&amp;year=2022&amp;type=national&amp;d=6","Results")</f>
        <v/>
      </c>
    </row>
    <row r="57">
      <c r="A57" t="inlineStr">
        <is>
          <t>56</t>
        </is>
      </c>
      <c r="B57" t="inlineStr">
        <is>
          <t>Isla Kynaston</t>
        </is>
      </c>
      <c r="C57" t="inlineStr">
        <is>
          <t>Team Milton Keynes</t>
        </is>
      </c>
      <c r="D57" t="inlineStr">
        <is>
          <t>17</t>
        </is>
      </c>
      <c r="E57">
        <f>HYPERLINK("https://www.britishcycling.org.uk/points?person_id=789699&amp;year=2022&amp;type=national&amp;d=6","Results")</f>
        <v/>
      </c>
    </row>
    <row r="58">
      <c r="A58" t="inlineStr">
        <is>
          <t>57</t>
        </is>
      </c>
      <c r="B58" t="inlineStr">
        <is>
          <t>Rose Neely</t>
        </is>
      </c>
      <c r="C58" t="inlineStr">
        <is>
          <t>Solihull CC</t>
        </is>
      </c>
      <c r="D58" t="inlineStr">
        <is>
          <t>17</t>
        </is>
      </c>
      <c r="E58">
        <f>HYPERLINK("https://www.britishcycling.org.uk/points?person_id=660760&amp;year=2022&amp;type=national&amp;d=6","Results")</f>
        <v/>
      </c>
    </row>
    <row r="59">
      <c r="A59" t="inlineStr">
        <is>
          <t>58</t>
        </is>
      </c>
      <c r="B59" t="inlineStr">
        <is>
          <t>Ellie Birchall</t>
        </is>
      </c>
      <c r="C59" t="inlineStr">
        <is>
          <t>Mid Devon CC</t>
        </is>
      </c>
      <c r="D59" t="inlineStr">
        <is>
          <t>16</t>
        </is>
      </c>
      <c r="E59">
        <f>HYPERLINK("https://www.britishcycling.org.uk/points?person_id=704006&amp;year=2022&amp;type=national&amp;d=6","Results")</f>
        <v/>
      </c>
    </row>
    <row r="60">
      <c r="A60" t="inlineStr">
        <is>
          <t>59</t>
        </is>
      </c>
      <c r="B60" t="inlineStr">
        <is>
          <t>Poppy Carline</t>
        </is>
      </c>
      <c r="C60" t="inlineStr">
        <is>
          <t>Sotonia CC</t>
        </is>
      </c>
      <c r="D60" t="inlineStr">
        <is>
          <t>16</t>
        </is>
      </c>
      <c r="E60">
        <f>HYPERLINK("https://www.britishcycling.org.uk/points?person_id=729004&amp;year=2022&amp;type=national&amp;d=6","Results")</f>
        <v/>
      </c>
    </row>
    <row r="61">
      <c r="A61" t="inlineStr">
        <is>
          <t>60</t>
        </is>
      </c>
      <c r="B61" t="inlineStr">
        <is>
          <t>Olivia Loriggio</t>
        </is>
      </c>
      <c r="C61" t="inlineStr">
        <is>
          <t>Team Milton Keynes</t>
        </is>
      </c>
      <c r="D61" t="inlineStr">
        <is>
          <t>16</t>
        </is>
      </c>
      <c r="E61">
        <f>HYPERLINK("https://www.britishcycling.org.uk/points?person_id=744861&amp;year=2022&amp;type=national&amp;d=6","Results")</f>
        <v/>
      </c>
    </row>
    <row r="62">
      <c r="A62" t="inlineStr">
        <is>
          <t>61</t>
        </is>
      </c>
      <c r="B62" t="inlineStr">
        <is>
          <t>Lauren Oldfield</t>
        </is>
      </c>
      <c r="C62" t="inlineStr">
        <is>
          <t>Cystic Fibrosis Race</t>
        </is>
      </c>
      <c r="D62" t="inlineStr">
        <is>
          <t>16</t>
        </is>
      </c>
      <c r="E62">
        <f>HYPERLINK("https://www.britishcycling.org.uk/points?person_id=247338&amp;year=2022&amp;type=national&amp;d=6","Results")</f>
        <v/>
      </c>
    </row>
    <row r="63">
      <c r="A63" t="inlineStr">
        <is>
          <t>62</t>
        </is>
      </c>
      <c r="B63" t="inlineStr">
        <is>
          <t>Efanna Lewis</t>
        </is>
      </c>
      <c r="C63" t="inlineStr">
        <is>
          <t>Ystwyth Cycling Club</t>
        </is>
      </c>
      <c r="D63" t="inlineStr">
        <is>
          <t>15</t>
        </is>
      </c>
      <c r="E63">
        <f>HYPERLINK("https://www.britishcycling.org.uk/points?person_id=616529&amp;year=2022&amp;type=national&amp;d=6","Results")</f>
        <v/>
      </c>
    </row>
    <row r="64">
      <c r="A64" t="inlineStr">
        <is>
          <t>63</t>
        </is>
      </c>
      <c r="B64" t="inlineStr">
        <is>
          <t>Ella Ridgment</t>
        </is>
      </c>
      <c r="C64" t="inlineStr">
        <is>
          <t>Sotonia CC</t>
        </is>
      </c>
      <c r="D64" t="inlineStr">
        <is>
          <t>14</t>
        </is>
      </c>
      <c r="E64">
        <f>HYPERLINK("https://www.britishcycling.org.uk/points?person_id=690977&amp;year=2022&amp;type=national&amp;d=6","Results")</f>
        <v/>
      </c>
    </row>
    <row r="65">
      <c r="A65" t="inlineStr">
        <is>
          <t>64</t>
        </is>
      </c>
      <c r="B65" t="inlineStr">
        <is>
          <t>Erica Dodsworth</t>
        </is>
      </c>
      <c r="C65" t="inlineStr">
        <is>
          <t>Maldon &amp; District CC</t>
        </is>
      </c>
      <c r="D65" t="inlineStr">
        <is>
          <t>13</t>
        </is>
      </c>
      <c r="E65">
        <f>HYPERLINK("https://www.britishcycling.org.uk/points?person_id=507108&amp;year=2022&amp;type=national&amp;d=6","Results")</f>
        <v/>
      </c>
    </row>
    <row r="66">
      <c r="A66" t="inlineStr">
        <is>
          <t>65</t>
        </is>
      </c>
      <c r="B66" t="inlineStr">
        <is>
          <t>Kaya Mainwaring</t>
        </is>
      </c>
      <c r="C66" t="inlineStr">
        <is>
          <t>Towy Riders</t>
        </is>
      </c>
      <c r="D66" t="inlineStr">
        <is>
          <t>13</t>
        </is>
      </c>
      <c r="E66">
        <f>HYPERLINK("https://www.britishcycling.org.uk/points?person_id=925514&amp;year=2022&amp;type=national&amp;d=6","Results")</f>
        <v/>
      </c>
    </row>
    <row r="67">
      <c r="A67" t="inlineStr">
        <is>
          <t>66</t>
        </is>
      </c>
      <c r="B67" t="inlineStr">
        <is>
          <t>Sage Beetge</t>
        </is>
      </c>
      <c r="C67" t="inlineStr"/>
      <c r="D67" t="inlineStr">
        <is>
          <t>12</t>
        </is>
      </c>
      <c r="E67">
        <f>HYPERLINK("https://www.britishcycling.org.uk/points?person_id=1011954&amp;year=2022&amp;type=national&amp;d=6","Results")</f>
        <v/>
      </c>
    </row>
    <row r="68">
      <c r="A68" t="inlineStr">
        <is>
          <t>67</t>
        </is>
      </c>
      <c r="B68" t="inlineStr">
        <is>
          <t>Rebecca Cantrill</t>
        </is>
      </c>
      <c r="C68" t="inlineStr">
        <is>
          <t>Derwentside CC</t>
        </is>
      </c>
      <c r="D68" t="inlineStr">
        <is>
          <t>12</t>
        </is>
      </c>
      <c r="E68">
        <f>HYPERLINK("https://www.britishcycling.org.uk/points?person_id=752932&amp;year=2022&amp;type=national&amp;d=6","Results")</f>
        <v/>
      </c>
    </row>
    <row r="69">
      <c r="A69" t="inlineStr">
        <is>
          <t>68</t>
        </is>
      </c>
      <c r="B69" t="inlineStr">
        <is>
          <t>Megan Costello</t>
        </is>
      </c>
      <c r="C69" t="inlineStr">
        <is>
          <t>Preston Park Youth CC (PPYCC)</t>
        </is>
      </c>
      <c r="D69" t="inlineStr">
        <is>
          <t>12</t>
        </is>
      </c>
      <c r="E69">
        <f>HYPERLINK("https://www.britishcycling.org.uk/points?person_id=813138&amp;year=2022&amp;type=national&amp;d=6","Results")</f>
        <v/>
      </c>
    </row>
    <row r="70">
      <c r="A70" t="inlineStr">
        <is>
          <t>69</t>
        </is>
      </c>
      <c r="B70" t="inlineStr">
        <is>
          <t>Annie MacLennan</t>
        </is>
      </c>
      <c r="C70" t="inlineStr">
        <is>
          <t>Wadebridge Coasters Cycling Club</t>
        </is>
      </c>
      <c r="D70" t="inlineStr">
        <is>
          <t>10</t>
        </is>
      </c>
      <c r="E70">
        <f>HYPERLINK("https://www.britishcycling.org.uk/points?person_id=782014&amp;year=2022&amp;type=national&amp;d=6","Results")</f>
        <v/>
      </c>
    </row>
    <row r="71">
      <c r="A71" t="inlineStr">
        <is>
          <t>70</t>
        </is>
      </c>
      <c r="B71" t="inlineStr">
        <is>
          <t>Sophie Smith-Jackson</t>
        </is>
      </c>
      <c r="C71" t="inlineStr">
        <is>
          <t>Cockermouth Youth Cycling Club</t>
        </is>
      </c>
      <c r="D71" t="inlineStr">
        <is>
          <t>10</t>
        </is>
      </c>
      <c r="E71">
        <f>HYPERLINK("https://www.britishcycling.org.uk/points?person_id=473683&amp;year=2022&amp;type=national&amp;d=6","Results")</f>
        <v/>
      </c>
    </row>
    <row r="72">
      <c r="A72" t="inlineStr">
        <is>
          <t>71</t>
        </is>
      </c>
      <c r="B72" t="inlineStr">
        <is>
          <t>Katie Evans</t>
        </is>
      </c>
      <c r="C72" t="inlineStr">
        <is>
          <t>Velo Myrddin CC powered by Y Beic</t>
        </is>
      </c>
      <c r="D72" t="inlineStr">
        <is>
          <t>9</t>
        </is>
      </c>
      <c r="E72">
        <f>HYPERLINK("https://www.britishcycling.org.uk/points?person_id=736217&amp;year=2022&amp;type=national&amp;d=6","Results")</f>
        <v/>
      </c>
    </row>
    <row r="73">
      <c r="A73" t="inlineStr">
        <is>
          <t>72</t>
        </is>
      </c>
      <c r="B73" t="inlineStr">
        <is>
          <t>Isla Mcluskey</t>
        </is>
      </c>
      <c r="C73" t="inlineStr">
        <is>
          <t>West Lothian Clarion CC</t>
        </is>
      </c>
      <c r="D73" t="inlineStr">
        <is>
          <t>9</t>
        </is>
      </c>
      <c r="E73">
        <f>HYPERLINK("https://www.britishcycling.org.uk/points?person_id=951652&amp;year=2022&amp;type=national&amp;d=6","Results")</f>
        <v/>
      </c>
    </row>
    <row r="74">
      <c r="A74" t="inlineStr">
        <is>
          <t>73</t>
        </is>
      </c>
      <c r="B74" t="inlineStr">
        <is>
          <t>Harriet Gilmore</t>
        </is>
      </c>
      <c r="C74" t="inlineStr">
        <is>
          <t>Hetton Hawks Cycling Club</t>
        </is>
      </c>
      <c r="D74" t="inlineStr">
        <is>
          <t>8</t>
        </is>
      </c>
      <c r="E74">
        <f>HYPERLINK("https://www.britishcycling.org.uk/points?person_id=983258&amp;year=2022&amp;type=national&amp;d=6","Results")</f>
        <v/>
      </c>
    </row>
    <row r="75">
      <c r="A75" t="inlineStr">
        <is>
          <t>74</t>
        </is>
      </c>
      <c r="B75" t="inlineStr">
        <is>
          <t>Fay Jackson</t>
        </is>
      </c>
      <c r="C75" t="inlineStr">
        <is>
          <t>Newport Shropshire CC</t>
        </is>
      </c>
      <c r="D75" t="inlineStr">
        <is>
          <t>8</t>
        </is>
      </c>
      <c r="E75">
        <f>HYPERLINK("https://www.britishcycling.org.uk/points?person_id=878768&amp;year=2022&amp;type=national&amp;d=6","Results")</f>
        <v/>
      </c>
    </row>
    <row r="76">
      <c r="A76" t="inlineStr">
        <is>
          <t>75</t>
        </is>
      </c>
      <c r="B76" t="inlineStr">
        <is>
          <t>Cecilia Linden</t>
        </is>
      </c>
      <c r="C76" t="inlineStr">
        <is>
          <t>Team Milton Keynes</t>
        </is>
      </c>
      <c r="D76" t="inlineStr">
        <is>
          <t>7</t>
        </is>
      </c>
      <c r="E76">
        <f>HYPERLINK("https://www.britishcycling.org.uk/points?person_id=632774&amp;year=2022&amp;type=national&amp;d=6","Results")</f>
        <v/>
      </c>
    </row>
    <row r="77">
      <c r="A77" t="inlineStr">
        <is>
          <t>76</t>
        </is>
      </c>
      <c r="B77" t="inlineStr">
        <is>
          <t>Darcy Walker</t>
        </is>
      </c>
      <c r="C77" t="inlineStr">
        <is>
          <t>WestSide Coaching</t>
        </is>
      </c>
      <c r="D77" t="inlineStr">
        <is>
          <t>7</t>
        </is>
      </c>
      <c r="E77">
        <f>HYPERLINK("https://www.britishcycling.org.uk/points?person_id=1085620&amp;year=2022&amp;type=national&amp;d=6","Results")</f>
        <v/>
      </c>
    </row>
    <row r="78">
      <c r="A78" t="inlineStr">
        <is>
          <t>77</t>
        </is>
      </c>
      <c r="B78" t="inlineStr">
        <is>
          <t>Grace Green</t>
        </is>
      </c>
      <c r="C78" t="inlineStr">
        <is>
          <t>Huddersfield Star Wheelers</t>
        </is>
      </c>
      <c r="D78" t="inlineStr">
        <is>
          <t>6</t>
        </is>
      </c>
      <c r="E78">
        <f>HYPERLINK("https://www.britishcycling.org.uk/points?person_id=559466&amp;year=2022&amp;type=national&amp;d=6","Results")</f>
        <v/>
      </c>
    </row>
    <row r="79">
      <c r="A79" t="inlineStr">
        <is>
          <t>78</t>
        </is>
      </c>
      <c r="B79" t="inlineStr">
        <is>
          <t>Jessie Jo Haslingden</t>
        </is>
      </c>
      <c r="C79" t="inlineStr">
        <is>
          <t>Red Rose Olympic CC</t>
        </is>
      </c>
      <c r="D79" t="inlineStr">
        <is>
          <t>6</t>
        </is>
      </c>
      <c r="E79">
        <f>HYPERLINK("https://www.britishcycling.org.uk/points?person_id=493470&amp;year=2022&amp;type=national&amp;d=6","Results")</f>
        <v/>
      </c>
    </row>
    <row r="80">
      <c r="A80" t="inlineStr">
        <is>
          <t>79</t>
        </is>
      </c>
      <c r="B80" t="inlineStr">
        <is>
          <t>Alice Joyce</t>
        </is>
      </c>
      <c r="C80" t="inlineStr">
        <is>
          <t>Hafren CC</t>
        </is>
      </c>
      <c r="D80" t="inlineStr">
        <is>
          <t>6</t>
        </is>
      </c>
      <c r="E80">
        <f>HYPERLINK("https://www.britishcycling.org.uk/points?person_id=643724&amp;year=2022&amp;type=national&amp;d=6","Results")</f>
        <v/>
      </c>
    </row>
    <row r="81">
      <c r="A81" t="inlineStr">
        <is>
          <t>80</t>
        </is>
      </c>
      <c r="B81" t="inlineStr">
        <is>
          <t>Skye Martingale</t>
        </is>
      </c>
      <c r="C81" t="inlineStr">
        <is>
          <t>Sotonia CC</t>
        </is>
      </c>
      <c r="D81" t="inlineStr">
        <is>
          <t>6</t>
        </is>
      </c>
      <c r="E81">
        <f>HYPERLINK("https://www.britishcycling.org.uk/points?person_id=578062&amp;year=2022&amp;type=national&amp;d=6","Results")</f>
        <v/>
      </c>
    </row>
    <row r="82">
      <c r="A82" t="inlineStr">
        <is>
          <t>81</t>
        </is>
      </c>
      <c r="B82" t="inlineStr">
        <is>
          <t>Rosie Shorney</t>
        </is>
      </c>
      <c r="C82" t="inlineStr">
        <is>
          <t>Derby Mercury RC</t>
        </is>
      </c>
      <c r="D82" t="inlineStr">
        <is>
          <t>6</t>
        </is>
      </c>
      <c r="E82">
        <f>HYPERLINK("https://www.britishcycling.org.uk/points?person_id=735703&amp;year=2022&amp;type=national&amp;d=6","Results")</f>
        <v/>
      </c>
    </row>
    <row r="83">
      <c r="A83" t="inlineStr">
        <is>
          <t>82</t>
        </is>
      </c>
      <c r="B83" t="inlineStr">
        <is>
          <t>Ella Stewart</t>
        </is>
      </c>
      <c r="C83" t="inlineStr">
        <is>
          <t>West Suffolk Wheelers</t>
        </is>
      </c>
      <c r="D83" t="inlineStr">
        <is>
          <t>6</t>
        </is>
      </c>
      <c r="E83">
        <f>HYPERLINK("https://www.britishcycling.org.uk/points?person_id=839229&amp;year=2022&amp;type=national&amp;d=6","Results")</f>
        <v/>
      </c>
    </row>
    <row r="84">
      <c r="A84" t="inlineStr">
        <is>
          <t>83</t>
        </is>
      </c>
      <c r="B84" t="inlineStr">
        <is>
          <t>Ailsa Queen</t>
        </is>
      </c>
      <c r="C84" t="inlineStr">
        <is>
          <t>Glasgow Riderz</t>
        </is>
      </c>
      <c r="D84" t="inlineStr">
        <is>
          <t>5</t>
        </is>
      </c>
      <c r="E84">
        <f>HYPERLINK("https://www.britishcycling.org.uk/points?person_id=577717&amp;year=2022&amp;type=national&amp;d=6","Results")</f>
        <v/>
      </c>
    </row>
    <row r="85">
      <c r="A85" t="inlineStr">
        <is>
          <t>84</t>
        </is>
      </c>
      <c r="B85" t="inlineStr">
        <is>
          <t>Maisie Railton</t>
        </is>
      </c>
      <c r="C85" t="inlineStr">
        <is>
          <t>Matlock CC</t>
        </is>
      </c>
      <c r="D85" t="inlineStr">
        <is>
          <t>5</t>
        </is>
      </c>
      <c r="E85">
        <f>HYPERLINK("https://www.britishcycling.org.uk/points?person_id=735011&amp;year=2022&amp;type=national&amp;d=6","Results")</f>
        <v/>
      </c>
    </row>
    <row r="86">
      <c r="A86" t="inlineStr">
        <is>
          <t>85</t>
        </is>
      </c>
      <c r="B86" t="inlineStr">
        <is>
          <t>Freyja Shackley</t>
        </is>
      </c>
      <c r="C86" t="inlineStr">
        <is>
          <t>Cumbernauld Centurions BMX Club</t>
        </is>
      </c>
      <c r="D86" t="inlineStr">
        <is>
          <t>5</t>
        </is>
      </c>
      <c r="E86">
        <f>HYPERLINK("https://www.britishcycling.org.uk/points?person_id=986904&amp;year=2022&amp;type=national&amp;d=6","Results")</f>
        <v/>
      </c>
    </row>
    <row r="87">
      <c r="A87" t="inlineStr">
        <is>
          <t>86</t>
        </is>
      </c>
      <c r="B87" t="inlineStr">
        <is>
          <t>Sophie Anthony</t>
        </is>
      </c>
      <c r="C87" t="inlineStr">
        <is>
          <t>Stafford Road Club</t>
        </is>
      </c>
      <c r="D87" t="inlineStr">
        <is>
          <t>4</t>
        </is>
      </c>
      <c r="E87">
        <f>HYPERLINK("https://www.britishcycling.org.uk/points?person_id=1043995&amp;year=2022&amp;type=national&amp;d=6","Results")</f>
        <v/>
      </c>
    </row>
    <row r="88">
      <c r="A88" t="inlineStr">
        <is>
          <t>87</t>
        </is>
      </c>
      <c r="B88" t="inlineStr">
        <is>
          <t>Nerys Meeran</t>
        </is>
      </c>
      <c r="C88" t="inlineStr">
        <is>
          <t>VC Londres</t>
        </is>
      </c>
      <c r="D88" t="inlineStr">
        <is>
          <t>4</t>
        </is>
      </c>
      <c r="E88">
        <f>HYPERLINK("https://www.britishcycling.org.uk/points?person_id=621417&amp;year=2022&amp;type=national&amp;d=6","Results")</f>
        <v/>
      </c>
    </row>
    <row r="89">
      <c r="A89" t="inlineStr">
        <is>
          <t>88</t>
        </is>
      </c>
      <c r="B89" t="inlineStr">
        <is>
          <t>Eimear Morgan</t>
        </is>
      </c>
      <c r="C89" t="inlineStr">
        <is>
          <t>Maindy Flyers CC</t>
        </is>
      </c>
      <c r="D89" t="inlineStr">
        <is>
          <t>4</t>
        </is>
      </c>
      <c r="E89">
        <f>HYPERLINK("https://www.britishcycling.org.uk/points?person_id=462148&amp;year=2022&amp;type=national&amp;d=6","Results")</f>
        <v/>
      </c>
    </row>
    <row r="90">
      <c r="A90" t="inlineStr">
        <is>
          <t>89</t>
        </is>
      </c>
      <c r="B90" t="inlineStr">
        <is>
          <t>Rebecca Sunderland</t>
        </is>
      </c>
      <c r="C90" t="inlineStr">
        <is>
          <t>Ilkeston Cycle Club</t>
        </is>
      </c>
      <c r="D90" t="inlineStr">
        <is>
          <t>4</t>
        </is>
      </c>
      <c r="E90">
        <f>HYPERLINK("https://www.britishcycling.org.uk/points?person_id=966916&amp;year=2022&amp;type=national&amp;d=6","Results")</f>
        <v/>
      </c>
    </row>
    <row r="91">
      <c r="A91" t="inlineStr">
        <is>
          <t>90</t>
        </is>
      </c>
      <c r="B91" t="inlineStr">
        <is>
          <t>Sophia Brooks</t>
        </is>
      </c>
      <c r="C91" t="inlineStr">
        <is>
          <t>Manilla Cycling</t>
        </is>
      </c>
      <c r="D91" t="inlineStr">
        <is>
          <t>3</t>
        </is>
      </c>
      <c r="E91">
        <f>HYPERLINK("https://www.britishcycling.org.uk/points?person_id=650247&amp;year=2022&amp;type=national&amp;d=6","Results")</f>
        <v/>
      </c>
    </row>
    <row r="92">
      <c r="A92" t="inlineStr">
        <is>
          <t>91</t>
        </is>
      </c>
      <c r="B92" t="inlineStr">
        <is>
          <t>Marit Davidse</t>
        </is>
      </c>
      <c r="C92" t="inlineStr">
        <is>
          <t>Sotonia CC</t>
        </is>
      </c>
      <c r="D92" t="inlineStr">
        <is>
          <t>3</t>
        </is>
      </c>
      <c r="E92">
        <f>HYPERLINK("https://www.britishcycling.org.uk/points?person_id=631817&amp;year=2022&amp;type=national&amp;d=6","Results")</f>
        <v/>
      </c>
    </row>
    <row r="93">
      <c r="A93" t="inlineStr">
        <is>
          <t>92</t>
        </is>
      </c>
      <c r="B93" t="inlineStr">
        <is>
          <t>Charlie Furlong</t>
        </is>
      </c>
      <c r="C93" t="inlineStr">
        <is>
          <t>Limited Edition Cycling</t>
        </is>
      </c>
      <c r="D93" t="inlineStr">
        <is>
          <t>3</t>
        </is>
      </c>
      <c r="E93">
        <f>HYPERLINK("https://www.britishcycling.org.uk/points?person_id=554049&amp;year=2022&amp;type=national&amp;d=6","Results")</f>
        <v/>
      </c>
    </row>
    <row r="94">
      <c r="A94" t="inlineStr">
        <is>
          <t>93</t>
        </is>
      </c>
      <c r="B94" t="inlineStr">
        <is>
          <t>Imogen Jarrett</t>
        </is>
      </c>
      <c r="C94" t="inlineStr">
        <is>
          <t>Discovery Junior Cycling Club</t>
        </is>
      </c>
      <c r="D94" t="inlineStr">
        <is>
          <t>3</t>
        </is>
      </c>
      <c r="E94">
        <f>HYPERLINK("https://www.britishcycling.org.uk/points?person_id=1086424&amp;year=2022&amp;type=national&amp;d=6","Results")</f>
        <v/>
      </c>
    </row>
    <row r="95">
      <c r="A95" t="inlineStr">
        <is>
          <t>94</t>
        </is>
      </c>
      <c r="B95" t="inlineStr">
        <is>
          <t>Mia Lewis</t>
        </is>
      </c>
      <c r="C95" t="inlineStr">
        <is>
          <t>Stafford Road Club</t>
        </is>
      </c>
      <c r="D95" t="inlineStr">
        <is>
          <t>3</t>
        </is>
      </c>
      <c r="E95">
        <f>HYPERLINK("https://www.britishcycling.org.uk/points?person_id=1060022&amp;year=2022&amp;type=national&amp;d=6","Results")</f>
        <v/>
      </c>
    </row>
    <row r="96">
      <c r="A96" t="inlineStr">
        <is>
          <t>95</t>
        </is>
      </c>
      <c r="B96" t="inlineStr">
        <is>
          <t>Leila Crookes</t>
        </is>
      </c>
      <c r="C96" t="inlineStr">
        <is>
          <t>Bolsover &amp; District Cycling Club</t>
        </is>
      </c>
      <c r="D96" t="inlineStr">
        <is>
          <t>2</t>
        </is>
      </c>
      <c r="E96">
        <f>HYPERLINK("https://www.britishcycling.org.uk/points?person_id=708299&amp;year=2022&amp;type=national&amp;d=6","Results")</f>
        <v/>
      </c>
    </row>
    <row r="97">
      <c r="A97" t="inlineStr">
        <is>
          <t>96</t>
        </is>
      </c>
      <c r="B97" t="inlineStr">
        <is>
          <t>Mirianthi Crossey</t>
        </is>
      </c>
      <c r="C97" t="inlineStr">
        <is>
          <t>Dartmoor Velo</t>
        </is>
      </c>
      <c r="D97" t="inlineStr">
        <is>
          <t>2</t>
        </is>
      </c>
      <c r="E97">
        <f>HYPERLINK("https://www.britishcycling.org.uk/points?person_id=1076641&amp;year=2022&amp;type=national&amp;d=6","Results")</f>
        <v/>
      </c>
    </row>
    <row r="98">
      <c r="A98" t="inlineStr">
        <is>
          <t>97</t>
        </is>
      </c>
      <c r="B98" t="inlineStr">
        <is>
          <t>Edith Heslop</t>
        </is>
      </c>
      <c r="C98" t="inlineStr">
        <is>
          <t>Team Milton Keynes</t>
        </is>
      </c>
      <c r="D98" t="inlineStr">
        <is>
          <t>2</t>
        </is>
      </c>
      <c r="E98">
        <f>HYPERLINK("https://www.britishcycling.org.uk/points?person_id=766627&amp;year=2022&amp;type=national&amp;d=6","Results")</f>
        <v/>
      </c>
    </row>
    <row r="99">
      <c r="A99" t="inlineStr">
        <is>
          <t>98</t>
        </is>
      </c>
      <c r="B99" t="inlineStr">
        <is>
          <t>Ana Mason</t>
        </is>
      </c>
      <c r="C99" t="inlineStr">
        <is>
          <t>Limited Edition Cycling</t>
        </is>
      </c>
      <c r="D99" t="inlineStr">
        <is>
          <t>2</t>
        </is>
      </c>
      <c r="E99">
        <f>HYPERLINK("https://www.britishcycling.org.uk/points?person_id=1050568&amp;year=2022&amp;type=national&amp;d=6","Results")</f>
        <v/>
      </c>
    </row>
    <row r="100">
      <c r="A100" t="inlineStr">
        <is>
          <t>99</t>
        </is>
      </c>
      <c r="B100" t="inlineStr">
        <is>
          <t>Katie McGurk</t>
        </is>
      </c>
      <c r="C100" t="inlineStr">
        <is>
          <t>Royal Albert CC</t>
        </is>
      </c>
      <c r="D100" t="inlineStr">
        <is>
          <t>2</t>
        </is>
      </c>
      <c r="E100">
        <f>HYPERLINK("https://www.britishcycling.org.uk/points?person_id=899297&amp;year=2022&amp;type=national&amp;d=6","Results")</f>
        <v/>
      </c>
    </row>
    <row r="101">
      <c r="A101" t="inlineStr">
        <is>
          <t>100</t>
        </is>
      </c>
      <c r="B101" t="inlineStr">
        <is>
          <t>Fatma Mellouk</t>
        </is>
      </c>
      <c r="C101" t="inlineStr">
        <is>
          <t>Herne Hill Youth CC</t>
        </is>
      </c>
      <c r="D101" t="inlineStr">
        <is>
          <t>2</t>
        </is>
      </c>
      <c r="E101">
        <f>HYPERLINK("https://www.britishcycling.org.uk/points?person_id=1075814&amp;year=2022&amp;type=national&amp;d=6","Results")</f>
        <v/>
      </c>
    </row>
    <row r="102">
      <c r="A102" t="inlineStr">
        <is>
          <t>101</t>
        </is>
      </c>
      <c r="B102" t="inlineStr">
        <is>
          <t>Elise To</t>
        </is>
      </c>
      <c r="C102" t="inlineStr">
        <is>
          <t>360VRT</t>
        </is>
      </c>
      <c r="D102" t="inlineStr">
        <is>
          <t>2</t>
        </is>
      </c>
      <c r="E102">
        <f>HYPERLINK("https://www.britishcycling.org.uk/points?person_id=1002922&amp;year=2022&amp;type=national&amp;d=6","Results")</f>
        <v/>
      </c>
    </row>
    <row r="103">
      <c r="A103" t="inlineStr">
        <is>
          <t>102</t>
        </is>
      </c>
      <c r="B103" t="inlineStr">
        <is>
          <t>Millie Botha</t>
        </is>
      </c>
      <c r="C103" t="inlineStr">
        <is>
          <t>Team Milton Keynes</t>
        </is>
      </c>
      <c r="D103" t="inlineStr">
        <is>
          <t>1</t>
        </is>
      </c>
      <c r="E103">
        <f>HYPERLINK("https://www.britishcycling.org.uk/points?person_id=550762&amp;year=2022&amp;type=national&amp;d=6","Results")</f>
        <v/>
      </c>
    </row>
    <row r="104">
      <c r="A104" t="inlineStr">
        <is>
          <t>103</t>
        </is>
      </c>
      <c r="B104" t="inlineStr">
        <is>
          <t>Florence Switzer</t>
        </is>
      </c>
      <c r="C104" t="inlineStr">
        <is>
          <t>Welland Valley CC</t>
        </is>
      </c>
      <c r="D104" t="inlineStr">
        <is>
          <t>1</t>
        </is>
      </c>
      <c r="E104">
        <f>HYPERLINK("https://www.britishcycling.org.uk/points?person_id=380720&amp;year=2022&amp;type=national&amp;d=6","Results")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11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2022-12-17</t>
        </is>
      </c>
    </row>
    <row r="2">
      <c r="A2" t="inlineStr">
        <is>
          <t>1</t>
        </is>
      </c>
      <c r="B2" t="inlineStr">
        <is>
          <t>Madeline Moorhouse Smith</t>
        </is>
      </c>
      <c r="C2" t="inlineStr">
        <is>
          <t>Shibden Cycling Club</t>
        </is>
      </c>
      <c r="D2" t="inlineStr">
        <is>
          <t>358</t>
        </is>
      </c>
      <c r="E2">
        <f>HYPERLINK("https://www.britishcycling.org.uk/points?person_id=845775&amp;year=2022&amp;type=national&amp;d=6","Results")</f>
        <v/>
      </c>
    </row>
    <row r="3">
      <c r="A3" t="inlineStr">
        <is>
          <t>2</t>
        </is>
      </c>
      <c r="B3" t="inlineStr">
        <is>
          <t>Zoe Roche</t>
        </is>
      </c>
      <c r="C3" t="inlineStr">
        <is>
          <t>WXC World Racing</t>
        </is>
      </c>
      <c r="D3" t="inlineStr">
        <is>
          <t>298</t>
        </is>
      </c>
      <c r="E3">
        <f>HYPERLINK("https://www.britishcycling.org.uk/points?person_id=624694&amp;year=2022&amp;type=national&amp;d=6","Results")</f>
        <v/>
      </c>
    </row>
    <row r="4">
      <c r="A4" t="inlineStr">
        <is>
          <t>3</t>
        </is>
      </c>
      <c r="B4" t="inlineStr">
        <is>
          <t>Arabella Blackburn</t>
        </is>
      </c>
      <c r="C4" t="inlineStr">
        <is>
          <t>Deeside Thistle CC</t>
        </is>
      </c>
      <c r="D4" t="inlineStr">
        <is>
          <t>246</t>
        </is>
      </c>
      <c r="E4">
        <f>HYPERLINK("https://www.britishcycling.org.uk/points?person_id=678401&amp;year=2022&amp;type=national&amp;d=6","Results")</f>
        <v/>
      </c>
    </row>
    <row r="5">
      <c r="A5" t="inlineStr">
        <is>
          <t>4</t>
        </is>
      </c>
      <c r="B5" t="inlineStr">
        <is>
          <t>Ellie Mitchinson</t>
        </is>
      </c>
      <c r="C5" t="inlineStr">
        <is>
          <t>Welwyn Wheelers CC</t>
        </is>
      </c>
      <c r="D5" t="inlineStr">
        <is>
          <t>229</t>
        </is>
      </c>
      <c r="E5">
        <f>HYPERLINK("https://www.britishcycling.org.uk/points?person_id=431415&amp;year=2022&amp;type=national&amp;d=6","Results")</f>
        <v/>
      </c>
    </row>
    <row r="6">
      <c r="A6" t="inlineStr">
        <is>
          <t>5</t>
        </is>
      </c>
      <c r="B6" t="inlineStr">
        <is>
          <t>Lara Dix</t>
        </is>
      </c>
      <c r="C6" t="inlineStr"/>
      <c r="D6" t="inlineStr">
        <is>
          <t>220</t>
        </is>
      </c>
      <c r="E6">
        <f>HYPERLINK("https://www.britishcycling.org.uk/points?person_id=611633&amp;year=2022&amp;type=national&amp;d=6","Results")</f>
        <v/>
      </c>
    </row>
    <row r="7">
      <c r="A7" t="inlineStr">
        <is>
          <t>6</t>
        </is>
      </c>
      <c r="B7" t="inlineStr">
        <is>
          <t>Tulsi Bakrania</t>
        </is>
      </c>
      <c r="C7" t="inlineStr">
        <is>
          <t>WXC World Racing</t>
        </is>
      </c>
      <c r="D7" t="inlineStr">
        <is>
          <t>184</t>
        </is>
      </c>
      <c r="E7">
        <f>HYPERLINK("https://www.britishcycling.org.uk/points?person_id=294742&amp;year=2022&amp;type=national&amp;d=6","Results")</f>
        <v/>
      </c>
    </row>
    <row r="8">
      <c r="A8" t="inlineStr">
        <is>
          <t>7</t>
        </is>
      </c>
      <c r="B8" t="inlineStr">
        <is>
          <t>Charlotte Smith</t>
        </is>
      </c>
      <c r="C8" t="inlineStr">
        <is>
          <t>Solent Pirates</t>
        </is>
      </c>
      <c r="D8" t="inlineStr">
        <is>
          <t>181</t>
        </is>
      </c>
      <c r="E8">
        <f>HYPERLINK("https://www.britishcycling.org.uk/points?person_id=420623&amp;year=2022&amp;type=national&amp;d=6","Results")</f>
        <v/>
      </c>
    </row>
    <row r="9">
      <c r="A9" t="inlineStr">
        <is>
          <t>8</t>
        </is>
      </c>
      <c r="B9" t="inlineStr">
        <is>
          <t>Anna Patterson</t>
        </is>
      </c>
      <c r="C9" t="inlineStr">
        <is>
          <t>Palmer Park Velo RT</t>
        </is>
      </c>
      <c r="D9" t="inlineStr">
        <is>
          <t>180</t>
        </is>
      </c>
      <c r="E9">
        <f>HYPERLINK("https://www.britishcycling.org.uk/points?person_id=533626&amp;year=2022&amp;type=national&amp;d=6","Results")</f>
        <v/>
      </c>
    </row>
    <row r="10">
      <c r="A10" t="inlineStr">
        <is>
          <t>9</t>
        </is>
      </c>
      <c r="B10" t="inlineStr">
        <is>
          <t>Zoe Parker</t>
        </is>
      </c>
      <c r="C10" t="inlineStr">
        <is>
          <t>Solihull CC</t>
        </is>
      </c>
      <c r="D10" t="inlineStr">
        <is>
          <t>179</t>
        </is>
      </c>
      <c r="E10">
        <f>HYPERLINK("https://www.britishcycling.org.uk/points?person_id=615888&amp;year=2022&amp;type=national&amp;d=6","Results")</f>
        <v/>
      </c>
    </row>
    <row r="11">
      <c r="A11" t="inlineStr">
        <is>
          <t>10</t>
        </is>
      </c>
      <c r="B11" t="inlineStr">
        <is>
          <t>Phoebe Taylor</t>
        </is>
      </c>
      <c r="C11" t="inlineStr">
        <is>
          <t>Shibden Cycling Club</t>
        </is>
      </c>
      <c r="D11" t="inlineStr">
        <is>
          <t>142</t>
        </is>
      </c>
      <c r="E11">
        <f>HYPERLINK("https://www.britishcycling.org.uk/points?person_id=705997&amp;year=2022&amp;type=national&amp;d=6","Results")</f>
        <v/>
      </c>
    </row>
    <row r="12">
      <c r="A12" t="inlineStr">
        <is>
          <t>11</t>
        </is>
      </c>
      <c r="B12" t="inlineStr">
        <is>
          <t>Daisy Wilkinson</t>
        </is>
      </c>
      <c r="C12" t="inlineStr">
        <is>
          <t>Edinburgh RC</t>
        </is>
      </c>
      <c r="D12" t="inlineStr">
        <is>
          <t>136</t>
        </is>
      </c>
      <c r="E12">
        <f>HYPERLINK("https://www.britishcycling.org.uk/points?person_id=758078&amp;year=2022&amp;type=national&amp;d=6","Results")</f>
        <v/>
      </c>
    </row>
    <row r="13">
      <c r="A13" t="inlineStr">
        <is>
          <t>12</t>
        </is>
      </c>
      <c r="B13" t="inlineStr">
        <is>
          <t>Ella Tandy</t>
        </is>
      </c>
      <c r="C13" t="inlineStr">
        <is>
          <t>Solihull CC</t>
        </is>
      </c>
      <c r="D13" t="inlineStr">
        <is>
          <t>120</t>
        </is>
      </c>
      <c r="E13">
        <f>HYPERLINK("https://www.britishcycling.org.uk/points?person_id=222961&amp;year=2022&amp;type=national&amp;d=6","Results")</f>
        <v/>
      </c>
    </row>
    <row r="14">
      <c r="A14" t="inlineStr">
        <is>
          <t>13</t>
        </is>
      </c>
      <c r="B14" t="inlineStr">
        <is>
          <t>Megan Cherry</t>
        </is>
      </c>
      <c r="C14" t="inlineStr">
        <is>
          <t>Origin Race Team</t>
        </is>
      </c>
      <c r="D14" t="inlineStr">
        <is>
          <t>119</t>
        </is>
      </c>
      <c r="E14">
        <f>HYPERLINK("https://www.britishcycling.org.uk/points?person_id=451036&amp;year=2022&amp;type=national&amp;d=6","Results")</f>
        <v/>
      </c>
    </row>
    <row r="15">
      <c r="A15" t="inlineStr">
        <is>
          <t>14</t>
        </is>
      </c>
      <c r="B15" t="inlineStr">
        <is>
          <t>Georgia Mahoney</t>
        </is>
      </c>
      <c r="C15" t="inlineStr">
        <is>
          <t>Magspeed Racing</t>
        </is>
      </c>
      <c r="D15" t="inlineStr">
        <is>
          <t>115</t>
        </is>
      </c>
      <c r="E15">
        <f>HYPERLINK("https://www.britishcycling.org.uk/points?person_id=535010&amp;year=2022&amp;type=national&amp;d=6","Results")</f>
        <v/>
      </c>
    </row>
    <row r="16">
      <c r="A16" t="inlineStr">
        <is>
          <t>15</t>
        </is>
      </c>
      <c r="B16" t="inlineStr">
        <is>
          <t>Megan Lloyd</t>
        </is>
      </c>
      <c r="C16" t="inlineStr">
        <is>
          <t>Harry Middleton Cycling Club</t>
        </is>
      </c>
      <c r="D16" t="inlineStr">
        <is>
          <t>108</t>
        </is>
      </c>
      <c r="E16">
        <f>HYPERLINK("https://www.britishcycling.org.uk/points?person_id=375804&amp;year=2022&amp;type=national&amp;d=6","Results")</f>
        <v/>
      </c>
    </row>
    <row r="17">
      <c r="A17" t="inlineStr">
        <is>
          <t>16</t>
        </is>
      </c>
      <c r="B17" t="inlineStr">
        <is>
          <t>Hope Thomson</t>
        </is>
      </c>
      <c r="C17" t="inlineStr">
        <is>
          <t>Deeside Thistle CC</t>
        </is>
      </c>
      <c r="D17" t="inlineStr">
        <is>
          <t>104</t>
        </is>
      </c>
      <c r="E17">
        <f>HYPERLINK("https://www.britishcycling.org.uk/points?person_id=366486&amp;year=2022&amp;type=national&amp;d=6","Results")</f>
        <v/>
      </c>
    </row>
    <row r="18">
      <c r="A18" t="inlineStr">
        <is>
          <t>17</t>
        </is>
      </c>
      <c r="B18" t="inlineStr">
        <is>
          <t>Amelia Staunton</t>
        </is>
      </c>
      <c r="C18" t="inlineStr">
        <is>
          <t>Sprockets Cycle Club</t>
        </is>
      </c>
      <c r="D18" t="inlineStr">
        <is>
          <t>96</t>
        </is>
      </c>
      <c r="E18">
        <f>HYPERLINK("https://www.britishcycling.org.uk/points?person_id=883749&amp;year=2022&amp;type=national&amp;d=6","Results")</f>
        <v/>
      </c>
    </row>
    <row r="19">
      <c r="A19" t="inlineStr">
        <is>
          <t>18</t>
        </is>
      </c>
      <c r="B19" t="inlineStr">
        <is>
          <t>Anna Lloyd</t>
        </is>
      </c>
      <c r="C19" t="inlineStr">
        <is>
          <t>VC Londres</t>
        </is>
      </c>
      <c r="D19" t="inlineStr">
        <is>
          <t>90</t>
        </is>
      </c>
      <c r="E19">
        <f>HYPERLINK("https://www.britishcycling.org.uk/points?person_id=306192&amp;year=2022&amp;type=national&amp;d=6","Results")</f>
        <v/>
      </c>
    </row>
    <row r="20">
      <c r="A20" t="inlineStr">
        <is>
          <t>19</t>
        </is>
      </c>
      <c r="B20" t="inlineStr">
        <is>
          <t>Josephine Hurst</t>
        </is>
      </c>
      <c r="C20" t="inlineStr">
        <is>
          <t>Marsh Tracks Racing - Trek</t>
        </is>
      </c>
      <c r="D20" t="inlineStr">
        <is>
          <t>84</t>
        </is>
      </c>
      <c r="E20">
        <f>HYPERLINK("https://www.britishcycling.org.uk/points?person_id=832443&amp;year=2022&amp;type=national&amp;d=6","Results")</f>
        <v/>
      </c>
    </row>
    <row r="21">
      <c r="A21" t="inlineStr">
        <is>
          <t>20</t>
        </is>
      </c>
      <c r="B21" t="inlineStr">
        <is>
          <t>Mabli Phillips</t>
        </is>
      </c>
      <c r="C21" t="inlineStr">
        <is>
          <t>Maindy Flyers CC</t>
        </is>
      </c>
      <c r="D21" t="inlineStr">
        <is>
          <t>79</t>
        </is>
      </c>
      <c r="E21">
        <f>HYPERLINK("https://www.britishcycling.org.uk/points?person_id=537472&amp;year=2022&amp;type=national&amp;d=6","Results")</f>
        <v/>
      </c>
    </row>
    <row r="22">
      <c r="A22" t="inlineStr">
        <is>
          <t>21</t>
        </is>
      </c>
      <c r="B22" t="inlineStr">
        <is>
          <t>Grace Ward</t>
        </is>
      </c>
      <c r="C22" t="inlineStr">
        <is>
          <t>Mid Devon CC</t>
        </is>
      </c>
      <c r="D22" t="inlineStr">
        <is>
          <t>71</t>
        </is>
      </c>
      <c r="E22">
        <f>HYPERLINK("https://www.britishcycling.org.uk/points?person_id=685779&amp;year=2022&amp;type=national&amp;d=6","Results")</f>
        <v/>
      </c>
    </row>
    <row r="23">
      <c r="A23" t="inlineStr">
        <is>
          <t>22</t>
        </is>
      </c>
      <c r="B23" t="inlineStr">
        <is>
          <t>Faye Williams</t>
        </is>
      </c>
      <c r="C23" t="inlineStr">
        <is>
          <t>ROTOR Race Team</t>
        </is>
      </c>
      <c r="D23" t="inlineStr">
        <is>
          <t>67</t>
        </is>
      </c>
      <c r="E23">
        <f>HYPERLINK("https://www.britishcycling.org.uk/points?person_id=204853&amp;year=2022&amp;type=national&amp;d=6","Results")</f>
        <v/>
      </c>
    </row>
    <row r="24">
      <c r="A24" t="inlineStr">
        <is>
          <t>23</t>
        </is>
      </c>
      <c r="B24" t="inlineStr">
        <is>
          <t>Rianna Mahoney</t>
        </is>
      </c>
      <c r="C24" t="inlineStr">
        <is>
          <t>Woolwich CC</t>
        </is>
      </c>
      <c r="D24" t="inlineStr">
        <is>
          <t>62</t>
        </is>
      </c>
      <c r="E24">
        <f>HYPERLINK("https://www.britishcycling.org.uk/points?person_id=687761&amp;year=2022&amp;type=national&amp;d=6","Results")</f>
        <v/>
      </c>
    </row>
    <row r="25">
      <c r="A25" t="inlineStr">
        <is>
          <t>24</t>
        </is>
      </c>
      <c r="B25" t="inlineStr">
        <is>
          <t>Aelwen Davies</t>
        </is>
      </c>
      <c r="C25" t="inlineStr">
        <is>
          <t>RR23</t>
        </is>
      </c>
      <c r="D25" t="inlineStr">
        <is>
          <t>58</t>
        </is>
      </c>
      <c r="E25">
        <f>HYPERLINK("https://www.britishcycling.org.uk/points?person_id=520963&amp;year=2022&amp;type=national&amp;d=6","Results")</f>
        <v/>
      </c>
    </row>
    <row r="26">
      <c r="A26" t="inlineStr">
        <is>
          <t>25</t>
        </is>
      </c>
      <c r="B26" t="inlineStr">
        <is>
          <t>Lara Brown</t>
        </is>
      </c>
      <c r="C26" t="inlineStr">
        <is>
          <t>Sprockets Cycle Club</t>
        </is>
      </c>
      <c r="D26" t="inlineStr">
        <is>
          <t>53</t>
        </is>
      </c>
      <c r="E26">
        <f>HYPERLINK("https://www.britishcycling.org.uk/points?person_id=621138&amp;year=2022&amp;type=national&amp;d=6","Results")</f>
        <v/>
      </c>
    </row>
    <row r="27">
      <c r="A27" t="inlineStr">
        <is>
          <t>26</t>
        </is>
      </c>
      <c r="B27" t="inlineStr">
        <is>
          <t>Eva Fox</t>
        </is>
      </c>
      <c r="C27" t="inlineStr">
        <is>
          <t>Mid Devon CC</t>
        </is>
      </c>
      <c r="D27" t="inlineStr">
        <is>
          <t>52</t>
        </is>
      </c>
      <c r="E27">
        <f>HYPERLINK("https://www.britishcycling.org.uk/points?person_id=644370&amp;year=2022&amp;type=national&amp;d=6","Results")</f>
        <v/>
      </c>
    </row>
    <row r="28">
      <c r="A28" t="inlineStr">
        <is>
          <t>27</t>
        </is>
      </c>
      <c r="B28" t="inlineStr">
        <is>
          <t>Edith Davies</t>
        </is>
      </c>
      <c r="C28" t="inlineStr">
        <is>
          <t>4T+ Cyclopark</t>
        </is>
      </c>
      <c r="D28" t="inlineStr">
        <is>
          <t>51</t>
        </is>
      </c>
      <c r="E28">
        <f>HYPERLINK("https://www.britishcycling.org.uk/points?person_id=295396&amp;year=2022&amp;type=national&amp;d=6","Results")</f>
        <v/>
      </c>
    </row>
    <row r="29">
      <c r="A29" t="inlineStr">
        <is>
          <t>28</t>
        </is>
      </c>
      <c r="B29" t="inlineStr">
        <is>
          <t>Bibiane Ames</t>
        </is>
      </c>
      <c r="C29" t="inlineStr">
        <is>
          <t>Maindy Flyers CC</t>
        </is>
      </c>
      <c r="D29" t="inlineStr">
        <is>
          <t>49</t>
        </is>
      </c>
      <c r="E29">
        <f>HYPERLINK("https://www.britishcycling.org.uk/points?person_id=653359&amp;year=2022&amp;type=national&amp;d=6","Results")</f>
        <v/>
      </c>
    </row>
    <row r="30">
      <c r="A30" t="inlineStr">
        <is>
          <t>29</t>
        </is>
      </c>
      <c r="B30" t="inlineStr">
        <is>
          <t>Gemma Newall</t>
        </is>
      </c>
      <c r="C30" t="inlineStr">
        <is>
          <t>Team Empella Cyclo-Cross.Com</t>
        </is>
      </c>
      <c r="D30" t="inlineStr">
        <is>
          <t>46</t>
        </is>
      </c>
      <c r="E30">
        <f>HYPERLINK("https://www.britishcycling.org.uk/points?person_id=559570&amp;year=2022&amp;type=national&amp;d=6","Results")</f>
        <v/>
      </c>
    </row>
    <row r="31">
      <c r="A31" t="inlineStr">
        <is>
          <t>30</t>
        </is>
      </c>
      <c r="B31" t="inlineStr">
        <is>
          <t>Elizabeth Wallace</t>
        </is>
      </c>
      <c r="C31" t="inlineStr">
        <is>
          <t>Lee Velo (South East London)</t>
        </is>
      </c>
      <c r="D31" t="inlineStr">
        <is>
          <t>41</t>
        </is>
      </c>
      <c r="E31">
        <f>HYPERLINK("https://www.britishcycling.org.uk/points?person_id=899657&amp;year=2022&amp;type=national&amp;d=6","Results")</f>
        <v/>
      </c>
    </row>
    <row r="32">
      <c r="A32" t="inlineStr">
        <is>
          <t>31</t>
        </is>
      </c>
      <c r="B32" t="inlineStr">
        <is>
          <t>Maia Howell</t>
        </is>
      </c>
      <c r="C32" t="inlineStr">
        <is>
          <t>Matlock CC</t>
        </is>
      </c>
      <c r="D32" t="inlineStr">
        <is>
          <t>39</t>
        </is>
      </c>
      <c r="E32">
        <f>HYPERLINK("https://www.britishcycling.org.uk/points?person_id=951331&amp;year=2022&amp;type=national&amp;d=6","Results")</f>
        <v/>
      </c>
    </row>
    <row r="33">
      <c r="A33" t="inlineStr">
        <is>
          <t>32</t>
        </is>
      </c>
      <c r="B33" t="inlineStr">
        <is>
          <t>Iona Kynaston</t>
        </is>
      </c>
      <c r="C33" t="inlineStr">
        <is>
          <t>Team Milton Keynes</t>
        </is>
      </c>
      <c r="D33" t="inlineStr">
        <is>
          <t>37</t>
        </is>
      </c>
      <c r="E33">
        <f>HYPERLINK("https://www.britishcycling.org.uk/points?person_id=789700&amp;year=2022&amp;type=national&amp;d=6","Results")</f>
        <v/>
      </c>
    </row>
    <row r="34">
      <c r="A34" t="inlineStr">
        <is>
          <t>33</t>
        </is>
      </c>
      <c r="B34" t="inlineStr">
        <is>
          <t>Thea Aitken</t>
        </is>
      </c>
      <c r="C34" t="inlineStr">
        <is>
          <t>Deeside Thistle CC</t>
        </is>
      </c>
      <c r="D34" t="inlineStr">
        <is>
          <t>33</t>
        </is>
      </c>
      <c r="E34">
        <f>HYPERLINK("https://www.britishcycling.org.uk/points?person_id=759604&amp;year=2022&amp;type=national&amp;d=6","Results")</f>
        <v/>
      </c>
    </row>
    <row r="35">
      <c r="A35" t="inlineStr">
        <is>
          <t>34</t>
        </is>
      </c>
      <c r="B35" t="inlineStr">
        <is>
          <t>Isla Hoult</t>
        </is>
      </c>
      <c r="C35" t="inlineStr">
        <is>
          <t>Velo Club Venta</t>
        </is>
      </c>
      <c r="D35" t="inlineStr">
        <is>
          <t>32</t>
        </is>
      </c>
      <c r="E35">
        <f>HYPERLINK("https://www.britishcycling.org.uk/points?person_id=1033183&amp;year=2022&amp;type=national&amp;d=6","Results")</f>
        <v/>
      </c>
    </row>
    <row r="36">
      <c r="A36" t="inlineStr">
        <is>
          <t>35</t>
        </is>
      </c>
      <c r="B36" t="inlineStr">
        <is>
          <t>Ruby Isaac</t>
        </is>
      </c>
      <c r="C36" t="inlineStr">
        <is>
          <t>Welland Valley CC</t>
        </is>
      </c>
      <c r="D36" t="inlineStr">
        <is>
          <t>31</t>
        </is>
      </c>
      <c r="E36">
        <f>HYPERLINK("https://www.britishcycling.org.uk/points?person_id=507826&amp;year=2022&amp;type=national&amp;d=6","Results")</f>
        <v/>
      </c>
    </row>
    <row r="37">
      <c r="A37" t="inlineStr">
        <is>
          <t>36</t>
        </is>
      </c>
      <c r="B37" t="inlineStr">
        <is>
          <t>Freya Mowbray</t>
        </is>
      </c>
      <c r="C37" t="inlineStr">
        <is>
          <t>Edinburgh RC</t>
        </is>
      </c>
      <c r="D37" t="inlineStr">
        <is>
          <t>31</t>
        </is>
      </c>
      <c r="E37">
        <f>HYPERLINK("https://www.britishcycling.org.uk/points?person_id=738754&amp;year=2022&amp;type=national&amp;d=6","Results")</f>
        <v/>
      </c>
    </row>
    <row r="38">
      <c r="A38" t="inlineStr">
        <is>
          <t>37</t>
        </is>
      </c>
      <c r="B38" t="inlineStr">
        <is>
          <t>Elise Whitaker</t>
        </is>
      </c>
      <c r="C38" t="inlineStr">
        <is>
          <t>Welwyn Wheelers CC</t>
        </is>
      </c>
      <c r="D38" t="inlineStr">
        <is>
          <t>28</t>
        </is>
      </c>
      <c r="E38">
        <f>HYPERLINK("https://www.britishcycling.org.uk/points?person_id=513385&amp;year=2022&amp;type=national&amp;d=6","Results")</f>
        <v/>
      </c>
    </row>
    <row r="39">
      <c r="A39" t="inlineStr">
        <is>
          <t>38</t>
        </is>
      </c>
      <c r="B39" t="inlineStr">
        <is>
          <t>Kaitlin Baitson</t>
        </is>
      </c>
      <c r="C39" t="inlineStr">
        <is>
          <t>Team Milton Keynes</t>
        </is>
      </c>
      <c r="D39" t="inlineStr">
        <is>
          <t>27</t>
        </is>
      </c>
      <c r="E39">
        <f>HYPERLINK("https://www.britishcycling.org.uk/points?person_id=1004829&amp;year=2022&amp;type=national&amp;d=6","Results")</f>
        <v/>
      </c>
    </row>
    <row r="40">
      <c r="A40" t="inlineStr">
        <is>
          <t>39</t>
        </is>
      </c>
      <c r="B40" t="inlineStr">
        <is>
          <t>Evie Strachan</t>
        </is>
      </c>
      <c r="C40" t="inlineStr">
        <is>
          <t>RR23</t>
        </is>
      </c>
      <c r="D40" t="inlineStr">
        <is>
          <t>27</t>
        </is>
      </c>
      <c r="E40">
        <f>HYPERLINK("https://www.britishcycling.org.uk/points?person_id=358408&amp;year=2022&amp;type=national&amp;d=6","Results")</f>
        <v/>
      </c>
    </row>
    <row r="41">
      <c r="A41" t="inlineStr">
        <is>
          <t>40</t>
        </is>
      </c>
      <c r="B41" t="inlineStr">
        <is>
          <t>Ingrid Gascoigne</t>
        </is>
      </c>
      <c r="C41" t="inlineStr">
        <is>
          <t>Team Empella Cyclo-Cross.Com</t>
        </is>
      </c>
      <c r="D41" t="inlineStr">
        <is>
          <t>26</t>
        </is>
      </c>
      <c r="E41">
        <f>HYPERLINK("https://www.britishcycling.org.uk/points?person_id=942830&amp;year=2022&amp;type=national&amp;d=6","Results")</f>
        <v/>
      </c>
    </row>
    <row r="42">
      <c r="A42" t="inlineStr">
        <is>
          <t>41</t>
        </is>
      </c>
      <c r="B42" t="inlineStr">
        <is>
          <t>Elena Green</t>
        </is>
      </c>
      <c r="C42" t="inlineStr">
        <is>
          <t>Huddersfield Star Wheelers</t>
        </is>
      </c>
      <c r="D42" t="inlineStr">
        <is>
          <t>26</t>
        </is>
      </c>
      <c r="E42">
        <f>HYPERLINK("https://www.britishcycling.org.uk/points?person_id=492131&amp;year=2022&amp;type=national&amp;d=6","Results")</f>
        <v/>
      </c>
    </row>
    <row r="43">
      <c r="A43" t="inlineStr">
        <is>
          <t>42</t>
        </is>
      </c>
      <c r="B43" t="inlineStr">
        <is>
          <t>Elsie Haygarth</t>
        </is>
      </c>
      <c r="C43" t="inlineStr">
        <is>
          <t>Wheelbase CabTech Castelli</t>
        </is>
      </c>
      <c r="D43" t="inlineStr">
        <is>
          <t>26</t>
        </is>
      </c>
      <c r="E43">
        <f>HYPERLINK("https://www.britishcycling.org.uk/points?person_id=517412&amp;year=2022&amp;type=national&amp;d=6","Results")</f>
        <v/>
      </c>
    </row>
    <row r="44">
      <c r="A44" t="inlineStr">
        <is>
          <t>43</t>
        </is>
      </c>
      <c r="B44" t="inlineStr">
        <is>
          <t>Briony Roberts</t>
        </is>
      </c>
      <c r="C44" t="inlineStr">
        <is>
          <t>Hafren CC</t>
        </is>
      </c>
      <c r="D44" t="inlineStr">
        <is>
          <t>24</t>
        </is>
      </c>
      <c r="E44">
        <f>HYPERLINK("https://www.britishcycling.org.uk/points?person_id=707234&amp;year=2022&amp;type=national&amp;d=6","Results")</f>
        <v/>
      </c>
    </row>
    <row r="45">
      <c r="A45" t="inlineStr">
        <is>
          <t>44</t>
        </is>
      </c>
      <c r="B45" t="inlineStr">
        <is>
          <t>Lauren Charles</t>
        </is>
      </c>
      <c r="C45" t="inlineStr">
        <is>
          <t>Charlotteville CC</t>
        </is>
      </c>
      <c r="D45" t="inlineStr">
        <is>
          <t>23</t>
        </is>
      </c>
      <c r="E45">
        <f>HYPERLINK("https://www.britishcycling.org.uk/points?person_id=466851&amp;year=2022&amp;type=national&amp;d=6","Results")</f>
        <v/>
      </c>
    </row>
    <row r="46">
      <c r="A46" t="inlineStr">
        <is>
          <t>45</t>
        </is>
      </c>
      <c r="B46" t="inlineStr">
        <is>
          <t>Isabella Hall</t>
        </is>
      </c>
      <c r="C46" t="inlineStr">
        <is>
          <t>Sotonia CC</t>
        </is>
      </c>
      <c r="D46" t="inlineStr">
        <is>
          <t>23</t>
        </is>
      </c>
      <c r="E46">
        <f>HYPERLINK("https://www.britishcycling.org.uk/points?person_id=586029&amp;year=2022&amp;type=national&amp;d=6","Results")</f>
        <v/>
      </c>
    </row>
    <row r="47">
      <c r="A47" t="inlineStr">
        <is>
          <t>46</t>
        </is>
      </c>
      <c r="B47" t="inlineStr">
        <is>
          <t>Aimee Taylor</t>
        </is>
      </c>
      <c r="C47" t="inlineStr">
        <is>
          <t>Palmer Park Velo RT</t>
        </is>
      </c>
      <c r="D47" t="inlineStr">
        <is>
          <t>23</t>
        </is>
      </c>
      <c r="E47">
        <f>HYPERLINK("https://www.britishcycling.org.uk/points?person_id=683076&amp;year=2022&amp;type=national&amp;d=6","Results")</f>
        <v/>
      </c>
    </row>
    <row r="48">
      <c r="A48" t="inlineStr">
        <is>
          <t>47</t>
        </is>
      </c>
      <c r="B48" t="inlineStr">
        <is>
          <t>Eva Ellis</t>
        </is>
      </c>
      <c r="C48" t="inlineStr">
        <is>
          <t>WestSide Coaching</t>
        </is>
      </c>
      <c r="D48" t="inlineStr">
        <is>
          <t>21</t>
        </is>
      </c>
      <c r="E48">
        <f>HYPERLINK("https://www.britishcycling.org.uk/points?person_id=794782&amp;year=2022&amp;type=national&amp;d=6","Results")</f>
        <v/>
      </c>
    </row>
    <row r="49">
      <c r="A49" t="inlineStr">
        <is>
          <t>48</t>
        </is>
      </c>
      <c r="B49" t="inlineStr">
        <is>
          <t>Ella Friedlander</t>
        </is>
      </c>
      <c r="C49" t="inlineStr">
        <is>
          <t>Cycle Club Ashwell (CCA)</t>
        </is>
      </c>
      <c r="D49" t="inlineStr">
        <is>
          <t>21</t>
        </is>
      </c>
      <c r="E49">
        <f>HYPERLINK("https://www.britishcycling.org.uk/points?person_id=520439&amp;year=2022&amp;type=national&amp;d=6","Results")</f>
        <v/>
      </c>
    </row>
    <row r="50">
      <c r="A50" t="inlineStr">
        <is>
          <t>49</t>
        </is>
      </c>
      <c r="B50" t="inlineStr">
        <is>
          <t>Abigail Norris</t>
        </is>
      </c>
      <c r="C50" t="inlineStr">
        <is>
          <t>Welwyn Wheelers CC</t>
        </is>
      </c>
      <c r="D50" t="inlineStr">
        <is>
          <t>21</t>
        </is>
      </c>
      <c r="E50">
        <f>HYPERLINK("https://www.britishcycling.org.uk/points?person_id=1019075&amp;year=2022&amp;type=national&amp;d=6","Results")</f>
        <v/>
      </c>
    </row>
    <row r="51">
      <c r="A51" t="inlineStr">
        <is>
          <t>50</t>
        </is>
      </c>
      <c r="B51" t="inlineStr">
        <is>
          <t>Lola Stevenson</t>
        </is>
      </c>
      <c r="C51" t="inlineStr">
        <is>
          <t>Huddersfield Star Wheelers</t>
        </is>
      </c>
      <c r="D51" t="inlineStr">
        <is>
          <t>20</t>
        </is>
      </c>
      <c r="E51">
        <f>HYPERLINK("https://www.britishcycling.org.uk/points?person_id=725038&amp;year=2022&amp;type=national&amp;d=6","Results")</f>
        <v/>
      </c>
    </row>
    <row r="52">
      <c r="A52" t="inlineStr">
        <is>
          <t>51</t>
        </is>
      </c>
      <c r="B52" t="inlineStr">
        <is>
          <t>Harriet Hendry</t>
        </is>
      </c>
      <c r="C52" t="inlineStr">
        <is>
          <t>Deeside Thistle CC</t>
        </is>
      </c>
      <c r="D52" t="inlineStr">
        <is>
          <t>18</t>
        </is>
      </c>
      <c r="E52">
        <f>HYPERLINK("https://www.britishcycling.org.uk/points?person_id=456657&amp;year=2022&amp;type=national&amp;d=6","Results")</f>
        <v/>
      </c>
    </row>
    <row r="53">
      <c r="A53" t="inlineStr">
        <is>
          <t>52</t>
        </is>
      </c>
      <c r="B53" t="inlineStr">
        <is>
          <t>Megan Hughes</t>
        </is>
      </c>
      <c r="C53" t="inlineStr">
        <is>
          <t>Welwyn Wheelers CC</t>
        </is>
      </c>
      <c r="D53" t="inlineStr">
        <is>
          <t>18</t>
        </is>
      </c>
      <c r="E53">
        <f>HYPERLINK("https://www.britishcycling.org.uk/points?person_id=711596&amp;year=2022&amp;type=national&amp;d=6","Results")</f>
        <v/>
      </c>
    </row>
    <row r="54">
      <c r="A54" t="inlineStr">
        <is>
          <t>53</t>
        </is>
      </c>
      <c r="B54" t="inlineStr">
        <is>
          <t>Millie Salmon</t>
        </is>
      </c>
      <c r="C54" t="inlineStr">
        <is>
          <t>Clifton CC</t>
        </is>
      </c>
      <c r="D54" t="inlineStr">
        <is>
          <t>18</t>
        </is>
      </c>
      <c r="E54">
        <f>HYPERLINK("https://www.britishcycling.org.uk/points?person_id=522777&amp;year=2022&amp;type=national&amp;d=6","Results")</f>
        <v/>
      </c>
    </row>
    <row r="55">
      <c r="A55" t="inlineStr">
        <is>
          <t>54</t>
        </is>
      </c>
      <c r="B55" t="inlineStr">
        <is>
          <t>Isabel Swanston</t>
        </is>
      </c>
      <c r="C55" t="inlineStr">
        <is>
          <t>Hetton Hawks Cycling Club</t>
        </is>
      </c>
      <c r="D55" t="inlineStr">
        <is>
          <t>18</t>
        </is>
      </c>
      <c r="E55">
        <f>HYPERLINK("https://www.britishcycling.org.uk/points?person_id=389687&amp;year=2022&amp;type=national&amp;d=6","Results")</f>
        <v/>
      </c>
    </row>
    <row r="56">
      <c r="A56" t="inlineStr">
        <is>
          <t>55</t>
        </is>
      </c>
      <c r="B56" t="inlineStr">
        <is>
          <t>Ella Chatfield</t>
        </is>
      </c>
      <c r="C56" t="inlineStr">
        <is>
          <t>Crawley Wheelers</t>
        </is>
      </c>
      <c r="D56" t="inlineStr">
        <is>
          <t>17</t>
        </is>
      </c>
      <c r="E56">
        <f>HYPERLINK("https://www.britishcycling.org.uk/points?person_id=734120&amp;year=2022&amp;type=national&amp;d=6","Results")</f>
        <v/>
      </c>
    </row>
    <row r="57">
      <c r="A57" t="inlineStr">
        <is>
          <t>56</t>
        </is>
      </c>
      <c r="B57" t="inlineStr">
        <is>
          <t>Idha Hicks</t>
        </is>
      </c>
      <c r="C57" t="inlineStr">
        <is>
          <t>Preston Park Youth CC (PPYCC)</t>
        </is>
      </c>
      <c r="D57" t="inlineStr">
        <is>
          <t>17</t>
        </is>
      </c>
      <c r="E57">
        <f>HYPERLINK("https://www.britishcycling.org.uk/points?person_id=414622&amp;year=2022&amp;type=national&amp;d=6","Results")</f>
        <v/>
      </c>
    </row>
    <row r="58">
      <c r="A58" t="inlineStr">
        <is>
          <t>57</t>
        </is>
      </c>
      <c r="B58" t="inlineStr">
        <is>
          <t>Isabel Moore</t>
        </is>
      </c>
      <c r="C58" t="inlineStr">
        <is>
          <t>West Suffolk Wheelers</t>
        </is>
      </c>
      <c r="D58" t="inlineStr">
        <is>
          <t>17</t>
        </is>
      </c>
      <c r="E58">
        <f>HYPERLINK("https://www.britishcycling.org.uk/points?person_id=942475&amp;year=2022&amp;type=national&amp;d=6","Results")</f>
        <v/>
      </c>
    </row>
    <row r="59">
      <c r="A59" t="inlineStr">
        <is>
          <t>58</t>
        </is>
      </c>
      <c r="B59" t="inlineStr">
        <is>
          <t>Helen Stevenson</t>
        </is>
      </c>
      <c r="C59" t="inlineStr">
        <is>
          <t>Cwmcarn Paragon Cycling Club</t>
        </is>
      </c>
      <c r="D59" t="inlineStr">
        <is>
          <t>17</t>
        </is>
      </c>
      <c r="E59">
        <f>HYPERLINK("https://www.britishcycling.org.uk/points?person_id=1032139&amp;year=2022&amp;type=national&amp;d=6","Results")</f>
        <v/>
      </c>
    </row>
    <row r="60">
      <c r="A60" t="inlineStr">
        <is>
          <t>59</t>
        </is>
      </c>
      <c r="B60" t="inlineStr">
        <is>
          <t>Caitlin Havisham</t>
        </is>
      </c>
      <c r="C60" t="inlineStr">
        <is>
          <t>Palmer Park Velo RT</t>
        </is>
      </c>
      <c r="D60" t="inlineStr">
        <is>
          <t>16</t>
        </is>
      </c>
      <c r="E60">
        <f>HYPERLINK("https://www.britishcycling.org.uk/points?person_id=740736&amp;year=2022&amp;type=national&amp;d=6","Results")</f>
        <v/>
      </c>
    </row>
    <row r="61">
      <c r="A61" t="inlineStr">
        <is>
          <t>60</t>
        </is>
      </c>
      <c r="B61" t="inlineStr">
        <is>
          <t>Efa Oliver</t>
        </is>
      </c>
      <c r="C61" t="inlineStr">
        <is>
          <t>Velo Myrddin CC powered by Y Beic</t>
        </is>
      </c>
      <c r="D61" t="inlineStr">
        <is>
          <t>16</t>
        </is>
      </c>
      <c r="E61">
        <f>HYPERLINK("https://www.britishcycling.org.uk/points?person_id=232311&amp;year=2022&amp;type=national&amp;d=6","Results")</f>
        <v/>
      </c>
    </row>
    <row r="62">
      <c r="A62" t="inlineStr">
        <is>
          <t>61</t>
        </is>
      </c>
      <c r="B62" t="inlineStr">
        <is>
          <t>Iona Simcock</t>
        </is>
      </c>
      <c r="C62" t="inlineStr">
        <is>
          <t>Team JMC</t>
        </is>
      </c>
      <c r="D62" t="inlineStr">
        <is>
          <t>16</t>
        </is>
      </c>
      <c r="E62">
        <f>HYPERLINK("https://www.britishcycling.org.uk/points?person_id=611990&amp;year=2022&amp;type=national&amp;d=6","Results")</f>
        <v/>
      </c>
    </row>
    <row r="63">
      <c r="A63" t="inlineStr">
        <is>
          <t>62</t>
        </is>
      </c>
      <c r="B63" t="inlineStr">
        <is>
          <t>Evie Smith</t>
        </is>
      </c>
      <c r="C63" t="inlineStr">
        <is>
          <t>Shibden Cycling Club</t>
        </is>
      </c>
      <c r="D63" t="inlineStr">
        <is>
          <t>16</t>
        </is>
      </c>
      <c r="E63">
        <f>HYPERLINK("https://www.britishcycling.org.uk/points?person_id=379106&amp;year=2022&amp;type=national&amp;d=6","Results")</f>
        <v/>
      </c>
    </row>
    <row r="64">
      <c r="A64" t="inlineStr">
        <is>
          <t>63</t>
        </is>
      </c>
      <c r="B64" t="inlineStr">
        <is>
          <t>Seren Thomas</t>
        </is>
      </c>
      <c r="C64" t="inlineStr">
        <is>
          <t>Maindy Flyers CC</t>
        </is>
      </c>
      <c r="D64" t="inlineStr">
        <is>
          <t>16</t>
        </is>
      </c>
      <c r="E64">
        <f>HYPERLINK("https://www.britishcycling.org.uk/points?person_id=1037322&amp;year=2022&amp;type=national&amp;d=6","Results")</f>
        <v/>
      </c>
    </row>
    <row r="65">
      <c r="A65" t="inlineStr">
        <is>
          <t>64</t>
        </is>
      </c>
      <c r="B65" t="inlineStr">
        <is>
          <t>Bethany Goodwin</t>
        </is>
      </c>
      <c r="C65" t="inlineStr">
        <is>
          <t>Louth Cycle Centre RT</t>
        </is>
      </c>
      <c r="D65" t="inlineStr">
        <is>
          <t>15</t>
        </is>
      </c>
      <c r="E65">
        <f>HYPERLINK("https://www.britishcycling.org.uk/points?person_id=530743&amp;year=2022&amp;type=national&amp;d=6","Results")</f>
        <v/>
      </c>
    </row>
    <row r="66">
      <c r="A66" t="inlineStr">
        <is>
          <t>65</t>
        </is>
      </c>
      <c r="B66" t="inlineStr">
        <is>
          <t>Mabel Guest</t>
        </is>
      </c>
      <c r="C66" t="inlineStr">
        <is>
          <t>Worcester St Johns CC</t>
        </is>
      </c>
      <c r="D66" t="inlineStr">
        <is>
          <t>15</t>
        </is>
      </c>
      <c r="E66">
        <f>HYPERLINK("https://www.britishcycling.org.uk/points?person_id=1085350&amp;year=2022&amp;type=national&amp;d=6","Results")</f>
        <v/>
      </c>
    </row>
    <row r="67">
      <c r="A67" t="inlineStr">
        <is>
          <t>66</t>
        </is>
      </c>
      <c r="B67" t="inlineStr">
        <is>
          <t>Pippa Taylor</t>
        </is>
      </c>
      <c r="C67" t="inlineStr">
        <is>
          <t>Beeston RC</t>
        </is>
      </c>
      <c r="D67" t="inlineStr">
        <is>
          <t>15</t>
        </is>
      </c>
      <c r="E67">
        <f>HYPERLINK("https://www.britishcycling.org.uk/points?person_id=675671&amp;year=2022&amp;type=national&amp;d=6","Results")</f>
        <v/>
      </c>
    </row>
    <row r="68">
      <c r="A68" t="inlineStr">
        <is>
          <t>67</t>
        </is>
      </c>
      <c r="B68" t="inlineStr">
        <is>
          <t>Jessica Bufton</t>
        </is>
      </c>
      <c r="C68" t="inlineStr">
        <is>
          <t>Hafren CC</t>
        </is>
      </c>
      <c r="D68" t="inlineStr">
        <is>
          <t>14</t>
        </is>
      </c>
      <c r="E68">
        <f>HYPERLINK("https://www.britishcycling.org.uk/points?person_id=410477&amp;year=2022&amp;type=national&amp;d=6","Results")</f>
        <v/>
      </c>
    </row>
    <row r="69">
      <c r="A69" t="inlineStr">
        <is>
          <t>68</t>
        </is>
      </c>
      <c r="B69" t="inlineStr">
        <is>
          <t>Vanessa Travers</t>
        </is>
      </c>
      <c r="C69" t="inlineStr">
        <is>
          <t>Derwentside CC</t>
        </is>
      </c>
      <c r="D69" t="inlineStr">
        <is>
          <t>14</t>
        </is>
      </c>
      <c r="E69">
        <f>HYPERLINK("https://www.britishcycling.org.uk/points?person_id=1085390&amp;year=2022&amp;type=national&amp;d=6","Results")</f>
        <v/>
      </c>
    </row>
    <row r="70">
      <c r="A70" t="inlineStr">
        <is>
          <t>69</t>
        </is>
      </c>
      <c r="B70" t="inlineStr">
        <is>
          <t>Erin Hall</t>
        </is>
      </c>
      <c r="C70" t="inlineStr">
        <is>
          <t>Cycle Club Ashwell (CCA)</t>
        </is>
      </c>
      <c r="D70" t="inlineStr">
        <is>
          <t>13</t>
        </is>
      </c>
      <c r="E70">
        <f>HYPERLINK("https://www.britishcycling.org.uk/points?person_id=675400&amp;year=2022&amp;type=national&amp;d=6","Results")</f>
        <v/>
      </c>
    </row>
    <row r="71">
      <c r="A71" t="inlineStr">
        <is>
          <t>70</t>
        </is>
      </c>
      <c r="B71" t="inlineStr">
        <is>
          <t>Ilana Lord</t>
        </is>
      </c>
      <c r="C71" t="inlineStr">
        <is>
          <t>VC Deal</t>
        </is>
      </c>
      <c r="D71" t="inlineStr">
        <is>
          <t>13</t>
        </is>
      </c>
      <c r="E71">
        <f>HYPERLINK("https://www.britishcycling.org.uk/points?person_id=439637&amp;year=2022&amp;type=national&amp;d=6","Results")</f>
        <v/>
      </c>
    </row>
    <row r="72">
      <c r="A72" t="inlineStr">
        <is>
          <t>71</t>
        </is>
      </c>
      <c r="B72" t="inlineStr">
        <is>
          <t>Ayesha Vose</t>
        </is>
      </c>
      <c r="C72" t="inlineStr">
        <is>
          <t>ESV Manchester</t>
        </is>
      </c>
      <c r="D72" t="inlineStr">
        <is>
          <t>13</t>
        </is>
      </c>
      <c r="E72">
        <f>HYPERLINK("https://www.britishcycling.org.uk/points?person_id=991440&amp;year=2022&amp;type=national&amp;d=6","Results")</f>
        <v/>
      </c>
    </row>
    <row r="73">
      <c r="A73" t="inlineStr">
        <is>
          <t>72</t>
        </is>
      </c>
      <c r="B73" t="inlineStr">
        <is>
          <t>Ruby Blanc</t>
        </is>
      </c>
      <c r="C73" t="inlineStr">
        <is>
          <t>Sportcity Velo</t>
        </is>
      </c>
      <c r="D73" t="inlineStr">
        <is>
          <t>12</t>
        </is>
      </c>
      <c r="E73">
        <f>HYPERLINK("https://www.britishcycling.org.uk/points?person_id=815355&amp;year=2022&amp;type=national&amp;d=6","Results")</f>
        <v/>
      </c>
    </row>
    <row r="74">
      <c r="A74" t="inlineStr">
        <is>
          <t>73</t>
        </is>
      </c>
      <c r="B74" t="inlineStr">
        <is>
          <t>Emma Harrison</t>
        </is>
      </c>
      <c r="C74" t="inlineStr">
        <is>
          <t>Sotonia CC</t>
        </is>
      </c>
      <c r="D74" t="inlineStr">
        <is>
          <t>12</t>
        </is>
      </c>
      <c r="E74">
        <f>HYPERLINK("https://www.britishcycling.org.uk/points?person_id=823846&amp;year=2022&amp;type=national&amp;d=6","Results")</f>
        <v/>
      </c>
    </row>
    <row r="75">
      <c r="A75" t="inlineStr">
        <is>
          <t>74</t>
        </is>
      </c>
      <c r="B75" t="inlineStr">
        <is>
          <t>Gabby Scott</t>
        </is>
      </c>
      <c r="C75" t="inlineStr">
        <is>
          <t>Shibden Cycling Club</t>
        </is>
      </c>
      <c r="D75" t="inlineStr">
        <is>
          <t>12</t>
        </is>
      </c>
      <c r="E75">
        <f>HYPERLINK("https://www.britishcycling.org.uk/points?person_id=832706&amp;year=2022&amp;type=national&amp;d=6","Results")</f>
        <v/>
      </c>
    </row>
    <row r="76">
      <c r="A76" t="inlineStr">
        <is>
          <t>75</t>
        </is>
      </c>
      <c r="B76" t="inlineStr">
        <is>
          <t>Mazie Harper</t>
        </is>
      </c>
      <c r="C76" t="inlineStr">
        <is>
          <t>Pine Sport</t>
        </is>
      </c>
      <c r="D76" t="inlineStr">
        <is>
          <t>11</t>
        </is>
      </c>
      <c r="E76">
        <f>HYPERLINK("https://www.britishcycling.org.uk/points?person_id=318738&amp;year=2022&amp;type=national&amp;d=6","Results")</f>
        <v/>
      </c>
    </row>
    <row r="77">
      <c r="A77" t="inlineStr">
        <is>
          <t>76</t>
        </is>
      </c>
      <c r="B77" t="inlineStr">
        <is>
          <t>Rebecca Carter</t>
        </is>
      </c>
      <c r="C77" t="inlineStr">
        <is>
          <t>Palmer Park Velo RT</t>
        </is>
      </c>
      <c r="D77" t="inlineStr">
        <is>
          <t>10</t>
        </is>
      </c>
      <c r="E77">
        <f>HYPERLINK("https://www.britishcycling.org.uk/points?person_id=296522&amp;year=2022&amp;type=national&amp;d=6","Results")</f>
        <v/>
      </c>
    </row>
    <row r="78">
      <c r="A78" t="inlineStr">
        <is>
          <t>77</t>
        </is>
      </c>
      <c r="B78" t="inlineStr">
        <is>
          <t>Eleina McFadden</t>
        </is>
      </c>
      <c r="C78" t="inlineStr">
        <is>
          <t>East Bradford CC</t>
        </is>
      </c>
      <c r="D78" t="inlineStr">
        <is>
          <t>10</t>
        </is>
      </c>
      <c r="E78">
        <f>HYPERLINK("https://www.britishcycling.org.uk/points?person_id=659452&amp;year=2022&amp;type=national&amp;d=6","Results")</f>
        <v/>
      </c>
    </row>
    <row r="79">
      <c r="A79" t="inlineStr">
        <is>
          <t>78</t>
        </is>
      </c>
      <c r="B79" t="inlineStr">
        <is>
          <t>Abigail Chaplin</t>
        </is>
      </c>
      <c r="C79" t="inlineStr">
        <is>
          <t>Carnegie Cyclones</t>
        </is>
      </c>
      <c r="D79" t="inlineStr">
        <is>
          <t>9</t>
        </is>
      </c>
      <c r="E79">
        <f>HYPERLINK("https://www.britishcycling.org.uk/points?person_id=841595&amp;year=2022&amp;type=national&amp;d=6","Results")</f>
        <v/>
      </c>
    </row>
    <row r="80">
      <c r="A80" t="inlineStr">
        <is>
          <t>79</t>
        </is>
      </c>
      <c r="B80" t="inlineStr">
        <is>
          <t>Freya Gibson</t>
        </is>
      </c>
      <c r="C80" t="inlineStr">
        <is>
          <t>Peebles CC</t>
        </is>
      </c>
      <c r="D80" t="inlineStr">
        <is>
          <t>9</t>
        </is>
      </c>
      <c r="E80">
        <f>HYPERLINK("https://www.britishcycling.org.uk/points?person_id=348434&amp;year=2022&amp;type=national&amp;d=6","Results")</f>
        <v/>
      </c>
    </row>
    <row r="81">
      <c r="A81" t="inlineStr">
        <is>
          <t>80</t>
        </is>
      </c>
      <c r="B81" t="inlineStr">
        <is>
          <t>Eva Murphy</t>
        </is>
      </c>
      <c r="C81" t="inlineStr">
        <is>
          <t>Deeside Thistle CC</t>
        </is>
      </c>
      <c r="D81" t="inlineStr">
        <is>
          <t>9</t>
        </is>
      </c>
      <c r="E81">
        <f>HYPERLINK("https://www.britishcycling.org.uk/points?person_id=653974&amp;year=2022&amp;type=national&amp;d=6","Results")</f>
        <v/>
      </c>
    </row>
    <row r="82">
      <c r="A82" t="inlineStr">
        <is>
          <t>81</t>
        </is>
      </c>
      <c r="B82" t="inlineStr">
        <is>
          <t>Erin Boothman</t>
        </is>
      </c>
      <c r="C82" t="inlineStr">
        <is>
          <t>East Kilbride Road Club</t>
        </is>
      </c>
      <c r="D82" t="inlineStr">
        <is>
          <t>8</t>
        </is>
      </c>
      <c r="E82">
        <f>HYPERLINK("https://www.britishcycling.org.uk/points?person_id=631025&amp;year=2022&amp;type=national&amp;d=6","Results")</f>
        <v/>
      </c>
    </row>
    <row r="83">
      <c r="A83" t="inlineStr">
        <is>
          <t>82</t>
        </is>
      </c>
      <c r="B83" t="inlineStr">
        <is>
          <t>Eloise Foster</t>
        </is>
      </c>
      <c r="C83" t="inlineStr">
        <is>
          <t>Avid Sport</t>
        </is>
      </c>
      <c r="D83" t="inlineStr">
        <is>
          <t>8</t>
        </is>
      </c>
      <c r="E83">
        <f>HYPERLINK("https://www.britishcycling.org.uk/points?person_id=1087380&amp;year=2022&amp;type=national&amp;d=6","Results")</f>
        <v/>
      </c>
    </row>
    <row r="84">
      <c r="A84" t="inlineStr">
        <is>
          <t>83</t>
        </is>
      </c>
      <c r="B84" t="inlineStr">
        <is>
          <t>Niamh Waters</t>
        </is>
      </c>
      <c r="C84" t="inlineStr">
        <is>
          <t>Edinburgh RC</t>
        </is>
      </c>
      <c r="D84" t="inlineStr">
        <is>
          <t>8</t>
        </is>
      </c>
      <c r="E84">
        <f>HYPERLINK("https://www.britishcycling.org.uk/points?person_id=299722&amp;year=2022&amp;type=national&amp;d=6","Results")</f>
        <v/>
      </c>
    </row>
    <row r="85">
      <c r="A85" t="inlineStr">
        <is>
          <t>84</t>
        </is>
      </c>
      <c r="B85" t="inlineStr">
        <is>
          <t>Zoe Blyth</t>
        </is>
      </c>
      <c r="C85" t="inlineStr">
        <is>
          <t>Edinburgh RC</t>
        </is>
      </c>
      <c r="D85" t="inlineStr">
        <is>
          <t>7</t>
        </is>
      </c>
      <c r="E85">
        <f>HYPERLINK("https://www.britishcycling.org.uk/points?person_id=564645&amp;year=2022&amp;type=national&amp;d=6","Results")</f>
        <v/>
      </c>
    </row>
    <row r="86">
      <c r="A86" t="inlineStr">
        <is>
          <t>85</t>
        </is>
      </c>
      <c r="B86" t="inlineStr">
        <is>
          <t>Nancy Read</t>
        </is>
      </c>
      <c r="C86" t="inlineStr">
        <is>
          <t>Nottingham Clarion CC</t>
        </is>
      </c>
      <c r="D86" t="inlineStr">
        <is>
          <t>7</t>
        </is>
      </c>
      <c r="E86">
        <f>HYPERLINK("https://www.britishcycling.org.uk/points?person_id=581073&amp;year=2022&amp;type=national&amp;d=6","Results")</f>
        <v/>
      </c>
    </row>
    <row r="87">
      <c r="A87" t="inlineStr">
        <is>
          <t>86</t>
        </is>
      </c>
      <c r="B87" t="inlineStr">
        <is>
          <t>Issy Waugh</t>
        </is>
      </c>
      <c r="C87" t="inlineStr">
        <is>
          <t>Sheffield Youth Cycling Club</t>
        </is>
      </c>
      <c r="D87" t="inlineStr">
        <is>
          <t>7</t>
        </is>
      </c>
      <c r="E87">
        <f>HYPERLINK("https://www.britishcycling.org.uk/points?person_id=806591&amp;year=2022&amp;type=national&amp;d=6","Results")</f>
        <v/>
      </c>
    </row>
    <row r="88">
      <c r="A88" t="inlineStr">
        <is>
          <t>87</t>
        </is>
      </c>
      <c r="B88" t="inlineStr">
        <is>
          <t>Isabella Boyles</t>
        </is>
      </c>
      <c r="C88" t="inlineStr">
        <is>
          <t>Banbury Star CC</t>
        </is>
      </c>
      <c r="D88" t="inlineStr">
        <is>
          <t>6</t>
        </is>
      </c>
      <c r="E88">
        <f>HYPERLINK("https://www.britishcycling.org.uk/points?person_id=840975&amp;year=2022&amp;type=national&amp;d=6","Results")</f>
        <v/>
      </c>
    </row>
    <row r="89">
      <c r="A89" t="inlineStr">
        <is>
          <t>88</t>
        </is>
      </c>
      <c r="B89" t="inlineStr">
        <is>
          <t>Niamh Morgan</t>
        </is>
      </c>
      <c r="C89" t="inlineStr">
        <is>
          <t>Maindy Flyers CC</t>
        </is>
      </c>
      <c r="D89" t="inlineStr">
        <is>
          <t>6</t>
        </is>
      </c>
      <c r="E89">
        <f>HYPERLINK("https://www.britishcycling.org.uk/points?person_id=303436&amp;year=2022&amp;type=national&amp;d=6","Results")</f>
        <v/>
      </c>
    </row>
    <row r="90">
      <c r="A90" t="inlineStr">
        <is>
          <t>89</t>
        </is>
      </c>
      <c r="B90" t="inlineStr">
        <is>
          <t>Lola Arnold</t>
        </is>
      </c>
      <c r="C90" t="inlineStr">
        <is>
          <t>WXC World Racing</t>
        </is>
      </c>
      <c r="D90" t="inlineStr">
        <is>
          <t>5</t>
        </is>
      </c>
      <c r="E90">
        <f>HYPERLINK("https://www.britishcycling.org.uk/points?person_id=426996&amp;year=2022&amp;type=national&amp;d=6","Results")</f>
        <v/>
      </c>
    </row>
    <row r="91">
      <c r="A91" t="inlineStr">
        <is>
          <t>90</t>
        </is>
      </c>
      <c r="B91" t="inlineStr">
        <is>
          <t>Rebecca Mayes</t>
        </is>
      </c>
      <c r="C91" t="inlineStr">
        <is>
          <t>Cleveland Wheelers CC</t>
        </is>
      </c>
      <c r="D91" t="inlineStr">
        <is>
          <t>5</t>
        </is>
      </c>
      <c r="E91">
        <f>HYPERLINK("https://www.britishcycling.org.uk/points?person_id=541626&amp;year=2022&amp;type=national&amp;d=6","Results")</f>
        <v/>
      </c>
    </row>
    <row r="92">
      <c r="A92" t="inlineStr">
        <is>
          <t>91</t>
        </is>
      </c>
      <c r="B92" t="inlineStr">
        <is>
          <t>Esmé Pugh</t>
        </is>
      </c>
      <c r="C92" t="inlineStr">
        <is>
          <t>Allen Valley Velo</t>
        </is>
      </c>
      <c r="D92" t="inlineStr">
        <is>
          <t>5</t>
        </is>
      </c>
      <c r="E92">
        <f>HYPERLINK("https://www.britishcycling.org.uk/points?person_id=1088694&amp;year=2022&amp;type=national&amp;d=6","Results")</f>
        <v/>
      </c>
    </row>
    <row r="93">
      <c r="A93" t="inlineStr">
        <is>
          <t>92</t>
        </is>
      </c>
      <c r="B93" t="inlineStr">
        <is>
          <t>Isabelle Dalgleish</t>
        </is>
      </c>
      <c r="C93" t="inlineStr">
        <is>
          <t>Salt Ayre Cog Set</t>
        </is>
      </c>
      <c r="D93" t="inlineStr">
        <is>
          <t>4</t>
        </is>
      </c>
      <c r="E93">
        <f>HYPERLINK("https://www.britishcycling.org.uk/points?person_id=409714&amp;year=2022&amp;type=national&amp;d=6","Results")</f>
        <v/>
      </c>
    </row>
    <row r="94">
      <c r="A94" t="inlineStr">
        <is>
          <t>93</t>
        </is>
      </c>
      <c r="B94" t="inlineStr">
        <is>
          <t>Iris Gray</t>
        </is>
      </c>
      <c r="C94" t="inlineStr">
        <is>
          <t>Palmer Park Velo RT</t>
        </is>
      </c>
      <c r="D94" t="inlineStr">
        <is>
          <t>4</t>
        </is>
      </c>
      <c r="E94">
        <f>HYPERLINK("https://www.britishcycling.org.uk/points?person_id=981194&amp;year=2022&amp;type=national&amp;d=6","Results")</f>
        <v/>
      </c>
    </row>
    <row r="95">
      <c r="A95" t="inlineStr">
        <is>
          <t>94</t>
        </is>
      </c>
      <c r="B95" t="inlineStr">
        <is>
          <t>Evie Hartley</t>
        </is>
      </c>
      <c r="C95" t="inlineStr">
        <is>
          <t>Ilkeston Cycle Club</t>
        </is>
      </c>
      <c r="D95" t="inlineStr">
        <is>
          <t>4</t>
        </is>
      </c>
      <c r="E95">
        <f>HYPERLINK("https://www.britishcycling.org.uk/points?person_id=732843&amp;year=2022&amp;type=national&amp;d=6","Results")</f>
        <v/>
      </c>
    </row>
    <row r="96">
      <c r="A96" t="inlineStr">
        <is>
          <t>95</t>
        </is>
      </c>
      <c r="B96" t="inlineStr">
        <is>
          <t>Rebecca Van Aardt</t>
        </is>
      </c>
      <c r="C96" t="inlineStr"/>
      <c r="D96" t="inlineStr">
        <is>
          <t>4</t>
        </is>
      </c>
      <c r="E96">
        <f>HYPERLINK("https://www.britishcycling.org.uk/points?person_id=553395&amp;year=2022&amp;type=national&amp;d=6","Results")</f>
        <v/>
      </c>
    </row>
    <row r="97">
      <c r="A97" t="inlineStr">
        <is>
          <t>96</t>
        </is>
      </c>
      <c r="B97" t="inlineStr">
        <is>
          <t>Aoife Byrne</t>
        </is>
      </c>
      <c r="C97" t="inlineStr">
        <is>
          <t>Calder Clarion CC</t>
        </is>
      </c>
      <c r="D97" t="inlineStr">
        <is>
          <t>3</t>
        </is>
      </c>
      <c r="E97">
        <f>HYPERLINK("https://www.britishcycling.org.uk/points?person_id=876434&amp;year=2022&amp;type=national&amp;d=6","Results")</f>
        <v/>
      </c>
    </row>
    <row r="98">
      <c r="A98" t="inlineStr">
        <is>
          <t>97</t>
        </is>
      </c>
      <c r="B98" t="inlineStr">
        <is>
          <t>Emily Day</t>
        </is>
      </c>
      <c r="C98" t="inlineStr">
        <is>
          <t>Bourne Whls CC</t>
        </is>
      </c>
      <c r="D98" t="inlineStr">
        <is>
          <t>3</t>
        </is>
      </c>
      <c r="E98">
        <f>HYPERLINK("https://www.britishcycling.org.uk/points?person_id=1074127&amp;year=2022&amp;type=national&amp;d=6","Results")</f>
        <v/>
      </c>
    </row>
    <row r="99">
      <c r="A99" t="inlineStr">
        <is>
          <t>98</t>
        </is>
      </c>
      <c r="B99" t="inlineStr">
        <is>
          <t>Chloe  Fortune</t>
        </is>
      </c>
      <c r="C99" t="inlineStr"/>
      <c r="D99" t="inlineStr">
        <is>
          <t>3</t>
        </is>
      </c>
      <c r="E99">
        <f>HYPERLINK("https://www.britishcycling.org.uk/points?person_id=1076159&amp;year=2022&amp;type=national&amp;d=6","Results")</f>
        <v/>
      </c>
    </row>
    <row r="100">
      <c r="A100" t="inlineStr">
        <is>
          <t>99</t>
        </is>
      </c>
      <c r="B100" t="inlineStr">
        <is>
          <t>Grace Goold</t>
        </is>
      </c>
      <c r="C100" t="inlineStr">
        <is>
          <t>VC Londres</t>
        </is>
      </c>
      <c r="D100" t="inlineStr">
        <is>
          <t>3</t>
        </is>
      </c>
      <c r="E100">
        <f>HYPERLINK("https://www.britishcycling.org.uk/points?person_id=758982&amp;year=2022&amp;type=national&amp;d=6","Results")</f>
        <v/>
      </c>
    </row>
    <row r="101">
      <c r="A101" t="inlineStr">
        <is>
          <t>100</t>
        </is>
      </c>
      <c r="B101" t="inlineStr">
        <is>
          <t>Ffion Hill</t>
        </is>
      </c>
      <c r="C101" t="inlineStr">
        <is>
          <t>Towy Riders</t>
        </is>
      </c>
      <c r="D101" t="inlineStr">
        <is>
          <t>3</t>
        </is>
      </c>
      <c r="E101">
        <f>HYPERLINK("https://www.britishcycling.org.uk/points?person_id=415883&amp;year=2022&amp;type=national&amp;d=6","Results")</f>
        <v/>
      </c>
    </row>
    <row r="102">
      <c r="A102" t="inlineStr">
        <is>
          <t>101</t>
        </is>
      </c>
      <c r="B102" t="inlineStr">
        <is>
          <t>Madeleine Tingay</t>
        </is>
      </c>
      <c r="C102" t="inlineStr">
        <is>
          <t>Histon &amp; Impington Bicycle Club</t>
        </is>
      </c>
      <c r="D102" t="inlineStr">
        <is>
          <t>3</t>
        </is>
      </c>
      <c r="E102">
        <f>HYPERLINK("https://www.britishcycling.org.uk/points?person_id=824668&amp;year=2022&amp;type=national&amp;d=6","Results")</f>
        <v/>
      </c>
    </row>
    <row r="103">
      <c r="A103" t="inlineStr">
        <is>
          <t>102</t>
        </is>
      </c>
      <c r="B103" t="inlineStr">
        <is>
          <t>Sarah Darling</t>
        </is>
      </c>
      <c r="C103" t="inlineStr">
        <is>
          <t>West Lothian Clarion CC</t>
        </is>
      </c>
      <c r="D103" t="inlineStr">
        <is>
          <t>2</t>
        </is>
      </c>
      <c r="E103">
        <f>HYPERLINK("https://www.britishcycling.org.uk/points?person_id=570820&amp;year=2022&amp;type=national&amp;d=6","Results")</f>
        <v/>
      </c>
    </row>
    <row r="104">
      <c r="A104" t="inlineStr">
        <is>
          <t>103</t>
        </is>
      </c>
      <c r="B104" t="inlineStr">
        <is>
          <t>Harriet Greensill</t>
        </is>
      </c>
      <c r="C104" t="inlineStr">
        <is>
          <t>Chase Racing</t>
        </is>
      </c>
      <c r="D104" t="inlineStr">
        <is>
          <t>2</t>
        </is>
      </c>
      <c r="E104">
        <f>HYPERLINK("https://www.britishcycling.org.uk/points?person_id=540376&amp;year=2022&amp;type=national&amp;d=6","Results")</f>
        <v/>
      </c>
    </row>
    <row r="105">
      <c r="A105" t="inlineStr">
        <is>
          <t>104</t>
        </is>
      </c>
      <c r="B105" t="inlineStr">
        <is>
          <t>Charlotte Hall</t>
        </is>
      </c>
      <c r="C105" t="inlineStr">
        <is>
          <t>Team Milton Keynes</t>
        </is>
      </c>
      <c r="D105" t="inlineStr">
        <is>
          <t>2</t>
        </is>
      </c>
      <c r="E105">
        <f>HYPERLINK("https://www.britishcycling.org.uk/points?person_id=821262&amp;year=2022&amp;type=national&amp;d=6","Results")</f>
        <v/>
      </c>
    </row>
    <row r="106">
      <c r="A106" t="inlineStr">
        <is>
          <t>105</t>
        </is>
      </c>
      <c r="B106" t="inlineStr">
        <is>
          <t>Eloise Pennington</t>
        </is>
      </c>
      <c r="C106" t="inlineStr">
        <is>
          <t>Kingston Junior Cycle Club</t>
        </is>
      </c>
      <c r="D106" t="inlineStr">
        <is>
          <t>2</t>
        </is>
      </c>
      <c r="E106">
        <f>HYPERLINK("https://www.britishcycling.org.uk/points?person_id=294236&amp;year=2022&amp;type=national&amp;d=6","Results")</f>
        <v/>
      </c>
    </row>
    <row r="107">
      <c r="A107" t="inlineStr">
        <is>
          <t>106</t>
        </is>
      </c>
      <c r="B107" t="inlineStr">
        <is>
          <t>Isla Queen</t>
        </is>
      </c>
      <c r="C107" t="inlineStr">
        <is>
          <t>Glasgow Riderz</t>
        </is>
      </c>
      <c r="D107" t="inlineStr">
        <is>
          <t>2</t>
        </is>
      </c>
      <c r="E107">
        <f>HYPERLINK("https://www.britishcycling.org.uk/points?person_id=430312&amp;year=2022&amp;type=national&amp;d=6","Results")</f>
        <v/>
      </c>
    </row>
    <row r="108">
      <c r="A108" t="inlineStr">
        <is>
          <t>107</t>
        </is>
      </c>
      <c r="B108" t="inlineStr">
        <is>
          <t>Lottie Styler</t>
        </is>
      </c>
      <c r="C108" t="inlineStr">
        <is>
          <t>Redditch Road &amp; Path CC</t>
        </is>
      </c>
      <c r="D108" t="inlineStr">
        <is>
          <t>2</t>
        </is>
      </c>
      <c r="E108">
        <f>HYPERLINK("https://www.britishcycling.org.uk/points?person_id=310098&amp;year=2022&amp;type=national&amp;d=6","Results")</f>
        <v/>
      </c>
    </row>
    <row r="109">
      <c r="A109" t="inlineStr">
        <is>
          <t>108</t>
        </is>
      </c>
      <c r="B109" t="inlineStr">
        <is>
          <t>Megan Dafydd</t>
        </is>
      </c>
      <c r="C109" t="inlineStr">
        <is>
          <t>Maindy Flyers CC</t>
        </is>
      </c>
      <c r="D109" t="inlineStr">
        <is>
          <t>1</t>
        </is>
      </c>
      <c r="E109">
        <f>HYPERLINK("https://www.britishcycling.org.uk/points?person_id=444876&amp;year=2022&amp;type=national&amp;d=6","Results")</f>
        <v/>
      </c>
    </row>
    <row r="110">
      <c r="A110" t="inlineStr">
        <is>
          <t>109</t>
        </is>
      </c>
      <c r="B110" t="inlineStr">
        <is>
          <t>Kayla Dinnin</t>
        </is>
      </c>
      <c r="C110" t="inlineStr">
        <is>
          <t>Dumfries CC</t>
        </is>
      </c>
      <c r="D110" t="inlineStr">
        <is>
          <t>1</t>
        </is>
      </c>
      <c r="E110">
        <f>HYPERLINK("https://www.britishcycling.org.uk/points?person_id=1003187&amp;year=2022&amp;type=national&amp;d=6","Results")</f>
        <v/>
      </c>
    </row>
    <row r="111">
      <c r="A111" t="inlineStr">
        <is>
          <t>110</t>
        </is>
      </c>
      <c r="B111" t="inlineStr">
        <is>
          <t>Felicity Lowe</t>
        </is>
      </c>
      <c r="C111" t="inlineStr">
        <is>
          <t>Avid Sport</t>
        </is>
      </c>
      <c r="D111" t="inlineStr">
        <is>
          <t>1</t>
        </is>
      </c>
      <c r="E111">
        <f>HYPERLINK("https://www.britishcycling.org.uk/points?person_id=871267&amp;year=2022&amp;type=national&amp;d=6","Results")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2022-12-17T21:48:43Z</dcterms:created>
  <dcterms:modified xsi:type="dcterms:W3CDTF">2022-12-17T21:48:43Z</dcterms:modified>
</cp:coreProperties>
</file>