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cris\OneDrive\Área de Trabalho\"/>
    </mc:Choice>
  </mc:AlternateContent>
  <bookViews>
    <workbookView xWindow="0" yWindow="0" windowWidth="20490" windowHeight="7650" tabRatio="500" activeTab="5"/>
  </bookViews>
  <sheets>
    <sheet name="Planning" sheetId="1" r:id="rId1"/>
    <sheet name="Wages" sheetId="2" r:id="rId2"/>
    <sheet name="Cronograma" sheetId="3" r:id="rId3"/>
    <sheet name="PROJETO" sheetId="4" r:id="rId4"/>
    <sheet name="Treino" sheetId="5" r:id="rId5"/>
    <sheet name="Despesas Geral" sheetId="6" r:id="rId6"/>
  </sheets>
  <calcPr calcId="152511"/>
</workbook>
</file>

<file path=xl/calcChain.xml><?xml version="1.0" encoding="utf-8"?>
<calcChain xmlns="http://schemas.openxmlformats.org/spreadsheetml/2006/main">
  <c r="H664" i="6" l="1"/>
  <c r="G664" i="6" s="1"/>
  <c r="G663" i="6"/>
  <c r="F663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F664" i="6" l="1"/>
  <c r="H640" i="6"/>
  <c r="G640" i="6" s="1"/>
  <c r="F640" i="6"/>
  <c r="G639" i="6"/>
  <c r="F639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H616" i="6"/>
  <c r="G615" i="6"/>
  <c r="F615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J590" i="6"/>
  <c r="I590" i="6"/>
  <c r="H590" i="6"/>
  <c r="G590" i="6"/>
  <c r="F590" i="6"/>
  <c r="H588" i="6"/>
  <c r="K587" i="6"/>
  <c r="K590" i="6" s="1"/>
  <c r="J587" i="6"/>
  <c r="I587" i="6"/>
  <c r="H587" i="6"/>
  <c r="G587" i="6"/>
  <c r="F587" i="6"/>
  <c r="J586" i="6"/>
  <c r="I586" i="6"/>
  <c r="H586" i="6"/>
  <c r="G586" i="6"/>
  <c r="F586" i="6"/>
  <c r="J585" i="6"/>
  <c r="I585" i="6"/>
  <c r="H585" i="6"/>
  <c r="G585" i="6"/>
  <c r="F585" i="6"/>
  <c r="J584" i="6"/>
  <c r="I584" i="6"/>
  <c r="H584" i="6"/>
  <c r="G584" i="6"/>
  <c r="F584" i="6"/>
  <c r="J583" i="6"/>
  <c r="I583" i="6"/>
  <c r="H583" i="6"/>
  <c r="G583" i="6"/>
  <c r="F583" i="6"/>
  <c r="J582" i="6"/>
  <c r="I582" i="6"/>
  <c r="H582" i="6"/>
  <c r="G582" i="6"/>
  <c r="F582" i="6"/>
  <c r="J581" i="6"/>
  <c r="I581" i="6"/>
  <c r="H581" i="6"/>
  <c r="G581" i="6"/>
  <c r="F581" i="6"/>
  <c r="J580" i="6"/>
  <c r="I580" i="6"/>
  <c r="F580" i="6"/>
  <c r="E580" i="6"/>
  <c r="J579" i="6"/>
  <c r="I579" i="6"/>
  <c r="H579" i="6"/>
  <c r="G579" i="6"/>
  <c r="F579" i="6"/>
  <c r="J578" i="6"/>
  <c r="I578" i="6"/>
  <c r="H578" i="6"/>
  <c r="G578" i="6"/>
  <c r="F578" i="6"/>
  <c r="J577" i="6"/>
  <c r="I577" i="6"/>
  <c r="H577" i="6"/>
  <c r="G577" i="6"/>
  <c r="F577" i="6"/>
  <c r="J576" i="6"/>
  <c r="I576" i="6"/>
  <c r="H576" i="6"/>
  <c r="G576" i="6"/>
  <c r="F576" i="6"/>
  <c r="J575" i="6"/>
  <c r="I575" i="6"/>
  <c r="H575" i="6"/>
  <c r="G575" i="6"/>
  <c r="F575" i="6"/>
  <c r="J574" i="6"/>
  <c r="I574" i="6"/>
  <c r="H574" i="6"/>
  <c r="G574" i="6"/>
  <c r="F574" i="6"/>
  <c r="J573" i="6"/>
  <c r="I573" i="6"/>
  <c r="H573" i="6"/>
  <c r="G573" i="6"/>
  <c r="F573" i="6"/>
  <c r="J572" i="6"/>
  <c r="I572" i="6"/>
  <c r="H572" i="6"/>
  <c r="G572" i="6"/>
  <c r="F572" i="6"/>
  <c r="K561" i="6"/>
  <c r="J561" i="6"/>
  <c r="I561" i="6"/>
  <c r="G561" i="6"/>
  <c r="F561" i="6"/>
  <c r="L558" i="6"/>
  <c r="K558" i="6"/>
  <c r="J558" i="6"/>
  <c r="I558" i="6"/>
  <c r="H558" i="6"/>
  <c r="G558" i="6"/>
  <c r="F558" i="6"/>
  <c r="K557" i="6"/>
  <c r="J557" i="6"/>
  <c r="I557" i="6"/>
  <c r="H557" i="6"/>
  <c r="G557" i="6"/>
  <c r="F557" i="6"/>
  <c r="K556" i="6"/>
  <c r="J556" i="6"/>
  <c r="I556" i="6"/>
  <c r="H556" i="6"/>
  <c r="G556" i="6"/>
  <c r="F556" i="6"/>
  <c r="K555" i="6"/>
  <c r="J555" i="6"/>
  <c r="I555" i="6"/>
  <c r="H555" i="6"/>
  <c r="G555" i="6"/>
  <c r="F555" i="6"/>
  <c r="K554" i="6"/>
  <c r="J554" i="6"/>
  <c r="I554" i="6"/>
  <c r="H554" i="6"/>
  <c r="G554" i="6"/>
  <c r="F554" i="6"/>
  <c r="K553" i="6"/>
  <c r="J553" i="6"/>
  <c r="I553" i="6"/>
  <c r="H553" i="6"/>
  <c r="G553" i="6"/>
  <c r="F553" i="6"/>
  <c r="K552" i="6"/>
  <c r="J552" i="6"/>
  <c r="I552" i="6"/>
  <c r="H552" i="6"/>
  <c r="G552" i="6"/>
  <c r="F552" i="6"/>
  <c r="K551" i="6"/>
  <c r="J551" i="6"/>
  <c r="H551" i="6"/>
  <c r="G551" i="6"/>
  <c r="F551" i="6"/>
  <c r="E551" i="6"/>
  <c r="I551" i="6" s="1"/>
  <c r="K550" i="6"/>
  <c r="J550" i="6"/>
  <c r="I550" i="6"/>
  <c r="H550" i="6"/>
  <c r="G550" i="6"/>
  <c r="F550" i="6"/>
  <c r="K549" i="6"/>
  <c r="J549" i="6"/>
  <c r="I549" i="6"/>
  <c r="H549" i="6"/>
  <c r="G549" i="6"/>
  <c r="F549" i="6"/>
  <c r="K548" i="6"/>
  <c r="J548" i="6"/>
  <c r="I548" i="6"/>
  <c r="H548" i="6"/>
  <c r="G548" i="6"/>
  <c r="F548" i="6"/>
  <c r="K546" i="6"/>
  <c r="J546" i="6"/>
  <c r="I546" i="6"/>
  <c r="H546" i="6"/>
  <c r="G546" i="6"/>
  <c r="F546" i="6"/>
  <c r="K545" i="6"/>
  <c r="J545" i="6"/>
  <c r="I545" i="6"/>
  <c r="H545" i="6"/>
  <c r="G545" i="6"/>
  <c r="F545" i="6"/>
  <c r="K544" i="6"/>
  <c r="J544" i="6"/>
  <c r="I544" i="6"/>
  <c r="H544" i="6"/>
  <c r="G544" i="6"/>
  <c r="F544" i="6"/>
  <c r="K543" i="6"/>
  <c r="J543" i="6"/>
  <c r="I543" i="6"/>
  <c r="H543" i="6"/>
  <c r="G543" i="6"/>
  <c r="F543" i="6"/>
  <c r="L530" i="6"/>
  <c r="K530" i="6"/>
  <c r="J530" i="6"/>
  <c r="I530" i="6"/>
  <c r="H530" i="6"/>
  <c r="G530" i="6"/>
  <c r="F530" i="6"/>
  <c r="K529" i="6"/>
  <c r="J529" i="6"/>
  <c r="I529" i="6"/>
  <c r="H529" i="6"/>
  <c r="G529" i="6"/>
  <c r="F529" i="6"/>
  <c r="K528" i="6"/>
  <c r="J528" i="6"/>
  <c r="I528" i="6"/>
  <c r="H528" i="6"/>
  <c r="G528" i="6"/>
  <c r="F528" i="6"/>
  <c r="K527" i="6"/>
  <c r="J527" i="6"/>
  <c r="I527" i="6"/>
  <c r="H527" i="6"/>
  <c r="G527" i="6"/>
  <c r="F527" i="6"/>
  <c r="K526" i="6"/>
  <c r="J526" i="6"/>
  <c r="I526" i="6"/>
  <c r="H526" i="6"/>
  <c r="G526" i="6"/>
  <c r="F526" i="6"/>
  <c r="K525" i="6"/>
  <c r="J525" i="6"/>
  <c r="I525" i="6"/>
  <c r="H525" i="6"/>
  <c r="G525" i="6"/>
  <c r="F525" i="6"/>
  <c r="K524" i="6"/>
  <c r="J524" i="6"/>
  <c r="I524" i="6"/>
  <c r="H524" i="6"/>
  <c r="G524" i="6"/>
  <c r="F524" i="6"/>
  <c r="K523" i="6"/>
  <c r="J523" i="6"/>
  <c r="I523" i="6"/>
  <c r="H523" i="6"/>
  <c r="G523" i="6"/>
  <c r="F523" i="6"/>
  <c r="K522" i="6"/>
  <c r="J522" i="6"/>
  <c r="I522" i="6"/>
  <c r="H522" i="6"/>
  <c r="G522" i="6"/>
  <c r="F522" i="6"/>
  <c r="K521" i="6"/>
  <c r="J521" i="6"/>
  <c r="I521" i="6"/>
  <c r="H521" i="6"/>
  <c r="G521" i="6"/>
  <c r="F521" i="6"/>
  <c r="K520" i="6"/>
  <c r="J520" i="6"/>
  <c r="I520" i="6"/>
  <c r="H520" i="6"/>
  <c r="G520" i="6"/>
  <c r="F520" i="6"/>
  <c r="K519" i="6"/>
  <c r="J519" i="6"/>
  <c r="I519" i="6"/>
  <c r="H519" i="6"/>
  <c r="G519" i="6"/>
  <c r="F519" i="6"/>
  <c r="K518" i="6"/>
  <c r="J518" i="6"/>
  <c r="I518" i="6"/>
  <c r="H518" i="6"/>
  <c r="G518" i="6"/>
  <c r="F518" i="6"/>
  <c r="K517" i="6"/>
  <c r="J517" i="6"/>
  <c r="I517" i="6"/>
  <c r="H517" i="6"/>
  <c r="G517" i="6"/>
  <c r="F517" i="6"/>
  <c r="K516" i="6"/>
  <c r="J516" i="6"/>
  <c r="I516" i="6"/>
  <c r="H516" i="6"/>
  <c r="G516" i="6"/>
  <c r="F516" i="6"/>
  <c r="K515" i="6"/>
  <c r="J515" i="6"/>
  <c r="I515" i="6"/>
  <c r="H515" i="6"/>
  <c r="G515" i="6"/>
  <c r="F515" i="6"/>
  <c r="K514" i="6"/>
  <c r="J514" i="6"/>
  <c r="I514" i="6"/>
  <c r="H514" i="6"/>
  <c r="G514" i="6"/>
  <c r="F514" i="6"/>
  <c r="K513" i="6"/>
  <c r="J513" i="6"/>
  <c r="I513" i="6"/>
  <c r="H513" i="6"/>
  <c r="G513" i="6"/>
  <c r="F513" i="6"/>
  <c r="L501" i="6"/>
  <c r="J499" i="6"/>
  <c r="G499" i="6"/>
  <c r="F499" i="6"/>
  <c r="L498" i="6"/>
  <c r="K498" i="6"/>
  <c r="J498" i="6"/>
  <c r="I498" i="6"/>
  <c r="H498" i="6"/>
  <c r="G498" i="6"/>
  <c r="F498" i="6"/>
  <c r="K497" i="6"/>
  <c r="J497" i="6"/>
  <c r="I497" i="6"/>
  <c r="H497" i="6"/>
  <c r="G497" i="6"/>
  <c r="F497" i="6"/>
  <c r="K496" i="6"/>
  <c r="J496" i="6"/>
  <c r="I496" i="6"/>
  <c r="H496" i="6"/>
  <c r="G496" i="6"/>
  <c r="F496" i="6"/>
  <c r="K495" i="6"/>
  <c r="J495" i="6"/>
  <c r="I495" i="6"/>
  <c r="H495" i="6"/>
  <c r="G495" i="6"/>
  <c r="F495" i="6"/>
  <c r="K494" i="6"/>
  <c r="J494" i="6"/>
  <c r="I494" i="6"/>
  <c r="H494" i="6"/>
  <c r="G494" i="6"/>
  <c r="F494" i="6"/>
  <c r="K493" i="6"/>
  <c r="J493" i="6"/>
  <c r="I493" i="6"/>
  <c r="H493" i="6"/>
  <c r="G493" i="6"/>
  <c r="F493" i="6"/>
  <c r="K492" i="6"/>
  <c r="J492" i="6"/>
  <c r="I492" i="6"/>
  <c r="H492" i="6"/>
  <c r="G492" i="6"/>
  <c r="F492" i="6"/>
  <c r="K491" i="6"/>
  <c r="J491" i="6"/>
  <c r="I491" i="6"/>
  <c r="H491" i="6"/>
  <c r="G491" i="6"/>
  <c r="F491" i="6"/>
  <c r="K490" i="6"/>
  <c r="J490" i="6"/>
  <c r="I490" i="6"/>
  <c r="H490" i="6"/>
  <c r="G490" i="6"/>
  <c r="F490" i="6"/>
  <c r="K489" i="6"/>
  <c r="J489" i="6"/>
  <c r="I489" i="6"/>
  <c r="H489" i="6"/>
  <c r="G489" i="6"/>
  <c r="F489" i="6"/>
  <c r="K488" i="6"/>
  <c r="J488" i="6"/>
  <c r="I488" i="6"/>
  <c r="H488" i="6"/>
  <c r="G488" i="6"/>
  <c r="F488" i="6"/>
  <c r="K487" i="6"/>
  <c r="J487" i="6"/>
  <c r="I487" i="6"/>
  <c r="H487" i="6"/>
  <c r="G487" i="6"/>
  <c r="F487" i="6"/>
  <c r="K486" i="6"/>
  <c r="J486" i="6"/>
  <c r="I486" i="6"/>
  <c r="H486" i="6"/>
  <c r="G486" i="6"/>
  <c r="F486" i="6"/>
  <c r="K485" i="6"/>
  <c r="J485" i="6"/>
  <c r="I485" i="6"/>
  <c r="H485" i="6"/>
  <c r="G485" i="6"/>
  <c r="F485" i="6"/>
  <c r="K484" i="6"/>
  <c r="J484" i="6"/>
  <c r="I484" i="6"/>
  <c r="H484" i="6"/>
  <c r="G484" i="6"/>
  <c r="F484" i="6"/>
  <c r="K483" i="6"/>
  <c r="J483" i="6"/>
  <c r="I483" i="6"/>
  <c r="H483" i="6"/>
  <c r="G483" i="6"/>
  <c r="F483" i="6"/>
  <c r="K482" i="6"/>
  <c r="J482" i="6"/>
  <c r="I482" i="6"/>
  <c r="H482" i="6"/>
  <c r="G482" i="6"/>
  <c r="F482" i="6"/>
  <c r="K481" i="6"/>
  <c r="J481" i="6"/>
  <c r="I481" i="6"/>
  <c r="H481" i="6"/>
  <c r="G481" i="6"/>
  <c r="F481" i="6"/>
  <c r="L470" i="6"/>
  <c r="J468" i="6"/>
  <c r="L467" i="6"/>
  <c r="K467" i="6"/>
  <c r="J467" i="6"/>
  <c r="I467" i="6"/>
  <c r="H467" i="6"/>
  <c r="G467" i="6"/>
  <c r="F467" i="6"/>
  <c r="K466" i="6"/>
  <c r="J466" i="6"/>
  <c r="I466" i="6"/>
  <c r="H466" i="6"/>
  <c r="G466" i="6"/>
  <c r="F466" i="6"/>
  <c r="K465" i="6"/>
  <c r="J465" i="6"/>
  <c r="I465" i="6"/>
  <c r="H465" i="6"/>
  <c r="G465" i="6"/>
  <c r="F465" i="6"/>
  <c r="K464" i="6"/>
  <c r="J464" i="6"/>
  <c r="I464" i="6"/>
  <c r="H464" i="6"/>
  <c r="G464" i="6"/>
  <c r="F464" i="6"/>
  <c r="K463" i="6"/>
  <c r="J463" i="6"/>
  <c r="I463" i="6"/>
  <c r="H463" i="6"/>
  <c r="G463" i="6"/>
  <c r="F463" i="6"/>
  <c r="K462" i="6"/>
  <c r="J462" i="6"/>
  <c r="I462" i="6"/>
  <c r="H462" i="6"/>
  <c r="G462" i="6"/>
  <c r="F462" i="6"/>
  <c r="K461" i="6"/>
  <c r="J461" i="6"/>
  <c r="I461" i="6"/>
  <c r="H461" i="6"/>
  <c r="G461" i="6"/>
  <c r="F461" i="6"/>
  <c r="K460" i="6"/>
  <c r="J460" i="6"/>
  <c r="I460" i="6"/>
  <c r="H460" i="6"/>
  <c r="G460" i="6"/>
  <c r="F460" i="6"/>
  <c r="K459" i="6"/>
  <c r="J459" i="6"/>
  <c r="I459" i="6"/>
  <c r="H459" i="6"/>
  <c r="G459" i="6"/>
  <c r="F459" i="6"/>
  <c r="K458" i="6"/>
  <c r="J458" i="6"/>
  <c r="I458" i="6"/>
  <c r="H458" i="6"/>
  <c r="G458" i="6"/>
  <c r="F458" i="6"/>
  <c r="K457" i="6"/>
  <c r="J457" i="6"/>
  <c r="I457" i="6"/>
  <c r="H457" i="6"/>
  <c r="G457" i="6"/>
  <c r="F457" i="6"/>
  <c r="K456" i="6"/>
  <c r="J456" i="6"/>
  <c r="I456" i="6"/>
  <c r="H456" i="6"/>
  <c r="G456" i="6"/>
  <c r="F456" i="6"/>
  <c r="K455" i="6"/>
  <c r="J455" i="6"/>
  <c r="I455" i="6"/>
  <c r="H455" i="6"/>
  <c r="G455" i="6"/>
  <c r="F455" i="6"/>
  <c r="K454" i="6"/>
  <c r="J454" i="6"/>
  <c r="I454" i="6"/>
  <c r="H454" i="6"/>
  <c r="G454" i="6"/>
  <c r="F454" i="6"/>
  <c r="K453" i="6"/>
  <c r="J453" i="6"/>
  <c r="I453" i="6"/>
  <c r="H453" i="6"/>
  <c r="G453" i="6"/>
  <c r="F453" i="6"/>
  <c r="K452" i="6"/>
  <c r="J452" i="6"/>
  <c r="I452" i="6"/>
  <c r="H452" i="6"/>
  <c r="G452" i="6"/>
  <c r="F452" i="6"/>
  <c r="K451" i="6"/>
  <c r="J451" i="6"/>
  <c r="I451" i="6"/>
  <c r="H451" i="6"/>
  <c r="G451" i="6"/>
  <c r="F451" i="6"/>
  <c r="K450" i="6"/>
  <c r="J450" i="6"/>
  <c r="I450" i="6"/>
  <c r="H450" i="6"/>
  <c r="G450" i="6"/>
  <c r="F450" i="6"/>
  <c r="J434" i="6"/>
  <c r="I434" i="6"/>
  <c r="H434" i="6"/>
  <c r="G434" i="6"/>
  <c r="F434" i="6"/>
  <c r="J433" i="6"/>
  <c r="I433" i="6"/>
  <c r="H433" i="6"/>
  <c r="G433" i="6"/>
  <c r="F433" i="6"/>
  <c r="J432" i="6"/>
  <c r="I432" i="6"/>
  <c r="H432" i="6"/>
  <c r="G432" i="6"/>
  <c r="F432" i="6"/>
  <c r="J431" i="6"/>
  <c r="I431" i="6"/>
  <c r="H431" i="6"/>
  <c r="G431" i="6"/>
  <c r="F431" i="6"/>
  <c r="E430" i="6"/>
  <c r="J429" i="6"/>
  <c r="I429" i="6"/>
  <c r="H429" i="6"/>
  <c r="G429" i="6"/>
  <c r="F429" i="6"/>
  <c r="J428" i="6"/>
  <c r="I428" i="6"/>
  <c r="H428" i="6"/>
  <c r="G428" i="6"/>
  <c r="F428" i="6"/>
  <c r="J427" i="6"/>
  <c r="I427" i="6"/>
  <c r="H427" i="6"/>
  <c r="G427" i="6"/>
  <c r="F427" i="6"/>
  <c r="J426" i="6"/>
  <c r="I426" i="6"/>
  <c r="H426" i="6"/>
  <c r="G426" i="6"/>
  <c r="F426" i="6"/>
  <c r="J425" i="6"/>
  <c r="I425" i="6"/>
  <c r="H425" i="6"/>
  <c r="G425" i="6"/>
  <c r="F425" i="6"/>
  <c r="J424" i="6"/>
  <c r="I424" i="6"/>
  <c r="H424" i="6"/>
  <c r="G424" i="6"/>
  <c r="F424" i="6"/>
  <c r="J423" i="6"/>
  <c r="I423" i="6"/>
  <c r="H423" i="6"/>
  <c r="G423" i="6"/>
  <c r="F423" i="6"/>
  <c r="J422" i="6"/>
  <c r="I422" i="6"/>
  <c r="H422" i="6"/>
  <c r="G422" i="6"/>
  <c r="F422" i="6"/>
  <c r="J421" i="6"/>
  <c r="I421" i="6"/>
  <c r="H421" i="6"/>
  <c r="G421" i="6"/>
  <c r="F421" i="6"/>
  <c r="J420" i="6"/>
  <c r="I420" i="6"/>
  <c r="H420" i="6"/>
  <c r="G420" i="6"/>
  <c r="F420" i="6"/>
  <c r="J419" i="6"/>
  <c r="I419" i="6"/>
  <c r="H419" i="6"/>
  <c r="G419" i="6"/>
  <c r="F419" i="6"/>
  <c r="J418" i="6"/>
  <c r="I418" i="6"/>
  <c r="H418" i="6"/>
  <c r="G418" i="6"/>
  <c r="F418" i="6"/>
  <c r="J417" i="6"/>
  <c r="I417" i="6"/>
  <c r="H417" i="6"/>
  <c r="G417" i="6"/>
  <c r="F417" i="6"/>
  <c r="J403" i="6"/>
  <c r="K402" i="6"/>
  <c r="K405" i="6" s="1"/>
  <c r="J402" i="6"/>
  <c r="I402" i="6"/>
  <c r="H402" i="6"/>
  <c r="G402" i="6"/>
  <c r="F402" i="6"/>
  <c r="J401" i="6"/>
  <c r="I401" i="6"/>
  <c r="H401" i="6"/>
  <c r="G401" i="6"/>
  <c r="F401" i="6"/>
  <c r="J400" i="6"/>
  <c r="I400" i="6"/>
  <c r="H400" i="6"/>
  <c r="G400" i="6"/>
  <c r="F400" i="6"/>
  <c r="J399" i="6"/>
  <c r="I399" i="6"/>
  <c r="H399" i="6"/>
  <c r="G399" i="6"/>
  <c r="F399" i="6"/>
  <c r="J398" i="6"/>
  <c r="I398" i="6"/>
  <c r="H398" i="6"/>
  <c r="G398" i="6"/>
  <c r="F398" i="6"/>
  <c r="J397" i="6"/>
  <c r="I397" i="6"/>
  <c r="H397" i="6"/>
  <c r="G397" i="6"/>
  <c r="F397" i="6"/>
  <c r="J396" i="6"/>
  <c r="I396" i="6"/>
  <c r="H396" i="6"/>
  <c r="G396" i="6"/>
  <c r="F396" i="6"/>
  <c r="J395" i="6"/>
  <c r="I395" i="6"/>
  <c r="H395" i="6"/>
  <c r="G395" i="6"/>
  <c r="F395" i="6"/>
  <c r="J394" i="6"/>
  <c r="I394" i="6"/>
  <c r="H394" i="6"/>
  <c r="G394" i="6"/>
  <c r="F394" i="6"/>
  <c r="J393" i="6"/>
  <c r="I393" i="6"/>
  <c r="H393" i="6"/>
  <c r="G393" i="6"/>
  <c r="F393" i="6"/>
  <c r="J392" i="6"/>
  <c r="I392" i="6"/>
  <c r="H392" i="6"/>
  <c r="G392" i="6"/>
  <c r="F392" i="6"/>
  <c r="J391" i="6"/>
  <c r="I391" i="6"/>
  <c r="H391" i="6"/>
  <c r="G391" i="6"/>
  <c r="F391" i="6"/>
  <c r="J390" i="6"/>
  <c r="I390" i="6"/>
  <c r="H390" i="6"/>
  <c r="G390" i="6"/>
  <c r="F390" i="6"/>
  <c r="J389" i="6"/>
  <c r="I389" i="6"/>
  <c r="H389" i="6"/>
  <c r="G389" i="6"/>
  <c r="F389" i="6"/>
  <c r="J388" i="6"/>
  <c r="I388" i="6"/>
  <c r="H388" i="6"/>
  <c r="G388" i="6"/>
  <c r="F388" i="6"/>
  <c r="J387" i="6"/>
  <c r="I387" i="6"/>
  <c r="H387" i="6"/>
  <c r="G387" i="6"/>
  <c r="F387" i="6"/>
  <c r="J386" i="6"/>
  <c r="I386" i="6"/>
  <c r="H386" i="6"/>
  <c r="G386" i="6"/>
  <c r="F386" i="6"/>
  <c r="J385" i="6"/>
  <c r="I385" i="6"/>
  <c r="H385" i="6"/>
  <c r="G385" i="6"/>
  <c r="F385" i="6"/>
  <c r="J372" i="6"/>
  <c r="G372" i="6"/>
  <c r="K371" i="6"/>
  <c r="K374" i="6" s="1"/>
  <c r="J371" i="6"/>
  <c r="I371" i="6"/>
  <c r="H371" i="6"/>
  <c r="G371" i="6"/>
  <c r="F371" i="6"/>
  <c r="J370" i="6"/>
  <c r="I370" i="6"/>
  <c r="H370" i="6"/>
  <c r="G370" i="6"/>
  <c r="F370" i="6"/>
  <c r="J369" i="6"/>
  <c r="I369" i="6"/>
  <c r="H369" i="6"/>
  <c r="G369" i="6"/>
  <c r="F369" i="6"/>
  <c r="J368" i="6"/>
  <c r="I368" i="6"/>
  <c r="H368" i="6"/>
  <c r="G368" i="6"/>
  <c r="F368" i="6"/>
  <c r="J367" i="6"/>
  <c r="I367" i="6"/>
  <c r="H367" i="6"/>
  <c r="G367" i="6"/>
  <c r="F367" i="6"/>
  <c r="J366" i="6"/>
  <c r="I366" i="6"/>
  <c r="H366" i="6"/>
  <c r="G366" i="6"/>
  <c r="F366" i="6"/>
  <c r="J365" i="6"/>
  <c r="I365" i="6"/>
  <c r="H365" i="6"/>
  <c r="G365" i="6"/>
  <c r="F365" i="6"/>
  <c r="J364" i="6"/>
  <c r="I364" i="6"/>
  <c r="H364" i="6"/>
  <c r="G364" i="6"/>
  <c r="F364" i="6"/>
  <c r="J363" i="6"/>
  <c r="I363" i="6"/>
  <c r="H363" i="6"/>
  <c r="G363" i="6"/>
  <c r="F363" i="6"/>
  <c r="J362" i="6"/>
  <c r="I362" i="6"/>
  <c r="H362" i="6"/>
  <c r="G362" i="6"/>
  <c r="F362" i="6"/>
  <c r="J361" i="6"/>
  <c r="I361" i="6"/>
  <c r="H361" i="6"/>
  <c r="G361" i="6"/>
  <c r="F361" i="6"/>
  <c r="M360" i="6"/>
  <c r="J360" i="6"/>
  <c r="I360" i="6"/>
  <c r="H360" i="6"/>
  <c r="G360" i="6"/>
  <c r="F360" i="6"/>
  <c r="J359" i="6"/>
  <c r="I359" i="6"/>
  <c r="H359" i="6"/>
  <c r="G359" i="6"/>
  <c r="F359" i="6"/>
  <c r="J358" i="6"/>
  <c r="I358" i="6"/>
  <c r="H358" i="6"/>
  <c r="G358" i="6"/>
  <c r="F358" i="6"/>
  <c r="J357" i="6"/>
  <c r="I357" i="6"/>
  <c r="H357" i="6"/>
  <c r="G357" i="6"/>
  <c r="F357" i="6"/>
  <c r="J356" i="6"/>
  <c r="I356" i="6"/>
  <c r="H356" i="6"/>
  <c r="G356" i="6"/>
  <c r="F356" i="6"/>
  <c r="J355" i="6"/>
  <c r="I355" i="6"/>
  <c r="H355" i="6"/>
  <c r="G355" i="6"/>
  <c r="F355" i="6"/>
  <c r="J354" i="6"/>
  <c r="I354" i="6"/>
  <c r="H354" i="6"/>
  <c r="G354" i="6"/>
  <c r="F354" i="6"/>
  <c r="K343" i="6"/>
  <c r="K340" i="6"/>
  <c r="J340" i="6"/>
  <c r="I340" i="6"/>
  <c r="H340" i="6"/>
  <c r="G340" i="6"/>
  <c r="F340" i="6"/>
  <c r="J339" i="6"/>
  <c r="I339" i="6"/>
  <c r="H339" i="6"/>
  <c r="G339" i="6"/>
  <c r="F339" i="6"/>
  <c r="J338" i="6"/>
  <c r="I338" i="6"/>
  <c r="H338" i="6"/>
  <c r="G338" i="6"/>
  <c r="F338" i="6"/>
  <c r="J337" i="6"/>
  <c r="I337" i="6"/>
  <c r="H337" i="6"/>
  <c r="G337" i="6"/>
  <c r="F337" i="6"/>
  <c r="J336" i="6"/>
  <c r="I336" i="6"/>
  <c r="H336" i="6"/>
  <c r="G336" i="6"/>
  <c r="F336" i="6"/>
  <c r="J335" i="6"/>
  <c r="I335" i="6"/>
  <c r="H335" i="6"/>
  <c r="G335" i="6"/>
  <c r="F335" i="6"/>
  <c r="J334" i="6"/>
  <c r="I334" i="6"/>
  <c r="H334" i="6"/>
  <c r="G334" i="6"/>
  <c r="F334" i="6"/>
  <c r="J333" i="6"/>
  <c r="I333" i="6"/>
  <c r="H333" i="6"/>
  <c r="G333" i="6"/>
  <c r="F333" i="6"/>
  <c r="J332" i="6"/>
  <c r="I332" i="6"/>
  <c r="H332" i="6"/>
  <c r="G332" i="6"/>
  <c r="F332" i="6"/>
  <c r="J331" i="6"/>
  <c r="I331" i="6"/>
  <c r="H331" i="6"/>
  <c r="G331" i="6"/>
  <c r="F331" i="6"/>
  <c r="J330" i="6"/>
  <c r="I330" i="6"/>
  <c r="H330" i="6"/>
  <c r="G330" i="6"/>
  <c r="F330" i="6"/>
  <c r="J329" i="6"/>
  <c r="I329" i="6"/>
  <c r="H329" i="6"/>
  <c r="G329" i="6"/>
  <c r="F329" i="6"/>
  <c r="N328" i="6"/>
  <c r="J328" i="6"/>
  <c r="I328" i="6"/>
  <c r="H328" i="6"/>
  <c r="G328" i="6"/>
  <c r="F328" i="6"/>
  <c r="J327" i="6"/>
  <c r="I327" i="6"/>
  <c r="H327" i="6"/>
  <c r="G327" i="6"/>
  <c r="F327" i="6"/>
  <c r="J326" i="6"/>
  <c r="I326" i="6"/>
  <c r="H326" i="6"/>
  <c r="G326" i="6"/>
  <c r="F326" i="6"/>
  <c r="J325" i="6"/>
  <c r="I325" i="6"/>
  <c r="H325" i="6"/>
  <c r="G325" i="6"/>
  <c r="F325" i="6"/>
  <c r="J324" i="6"/>
  <c r="I324" i="6"/>
  <c r="H324" i="6"/>
  <c r="G324" i="6"/>
  <c r="F324" i="6"/>
  <c r="J323" i="6"/>
  <c r="I323" i="6"/>
  <c r="H323" i="6"/>
  <c r="G323" i="6"/>
  <c r="F323" i="6"/>
  <c r="J309" i="6"/>
  <c r="I309" i="6"/>
  <c r="H309" i="6"/>
  <c r="G309" i="6"/>
  <c r="F309" i="6"/>
  <c r="J308" i="6"/>
  <c r="I308" i="6"/>
  <c r="H308" i="6"/>
  <c r="G308" i="6"/>
  <c r="F308" i="6"/>
  <c r="J307" i="6"/>
  <c r="I307" i="6"/>
  <c r="H307" i="6"/>
  <c r="G307" i="6"/>
  <c r="F307" i="6"/>
  <c r="J306" i="6"/>
  <c r="I306" i="6"/>
  <c r="H306" i="6"/>
  <c r="G306" i="6"/>
  <c r="F306" i="6"/>
  <c r="J305" i="6"/>
  <c r="I305" i="6"/>
  <c r="H305" i="6"/>
  <c r="G305" i="6"/>
  <c r="F305" i="6"/>
  <c r="J304" i="6"/>
  <c r="I304" i="6"/>
  <c r="H304" i="6"/>
  <c r="G304" i="6"/>
  <c r="F304" i="6"/>
  <c r="J303" i="6"/>
  <c r="I303" i="6"/>
  <c r="H303" i="6"/>
  <c r="G303" i="6"/>
  <c r="F303" i="6"/>
  <c r="E302" i="6"/>
  <c r="K309" i="6" s="1"/>
  <c r="J301" i="6"/>
  <c r="I301" i="6"/>
  <c r="H301" i="6"/>
  <c r="G301" i="6"/>
  <c r="F301" i="6"/>
  <c r="J300" i="6"/>
  <c r="I300" i="6"/>
  <c r="H300" i="6"/>
  <c r="G300" i="6"/>
  <c r="F300" i="6"/>
  <c r="J299" i="6"/>
  <c r="I299" i="6"/>
  <c r="H299" i="6"/>
  <c r="G299" i="6"/>
  <c r="F299" i="6"/>
  <c r="J298" i="6"/>
  <c r="I298" i="6"/>
  <c r="H298" i="6"/>
  <c r="G298" i="6"/>
  <c r="F298" i="6"/>
  <c r="J297" i="6"/>
  <c r="I297" i="6"/>
  <c r="H297" i="6"/>
  <c r="G297" i="6"/>
  <c r="F297" i="6"/>
  <c r="J296" i="6"/>
  <c r="I296" i="6"/>
  <c r="H296" i="6"/>
  <c r="G296" i="6"/>
  <c r="F296" i="6"/>
  <c r="J295" i="6"/>
  <c r="I295" i="6"/>
  <c r="H295" i="6"/>
  <c r="G295" i="6"/>
  <c r="F295" i="6"/>
  <c r="J294" i="6"/>
  <c r="I294" i="6"/>
  <c r="H294" i="6"/>
  <c r="G294" i="6"/>
  <c r="F294" i="6"/>
  <c r="J293" i="6"/>
  <c r="I293" i="6"/>
  <c r="H293" i="6"/>
  <c r="G293" i="6"/>
  <c r="F293" i="6"/>
  <c r="J292" i="6"/>
  <c r="I292" i="6"/>
  <c r="H292" i="6"/>
  <c r="G292" i="6"/>
  <c r="F292" i="6"/>
  <c r="K276" i="6"/>
  <c r="K279" i="6" s="1"/>
  <c r="F277" i="6" s="1"/>
  <c r="J276" i="6"/>
  <c r="I276" i="6"/>
  <c r="H276" i="6"/>
  <c r="G276" i="6"/>
  <c r="F276" i="6"/>
  <c r="J275" i="6"/>
  <c r="I275" i="6"/>
  <c r="H275" i="6"/>
  <c r="G275" i="6"/>
  <c r="F275" i="6"/>
  <c r="J274" i="6"/>
  <c r="I274" i="6"/>
  <c r="H274" i="6"/>
  <c r="G274" i="6"/>
  <c r="F274" i="6"/>
  <c r="N273" i="6"/>
  <c r="J273" i="6"/>
  <c r="I273" i="6"/>
  <c r="H273" i="6"/>
  <c r="G273" i="6"/>
  <c r="F273" i="6"/>
  <c r="J272" i="6"/>
  <c r="I272" i="6"/>
  <c r="H272" i="6"/>
  <c r="G272" i="6"/>
  <c r="F272" i="6"/>
  <c r="J271" i="6"/>
  <c r="I271" i="6"/>
  <c r="H271" i="6"/>
  <c r="G271" i="6"/>
  <c r="F271" i="6"/>
  <c r="J270" i="6"/>
  <c r="I270" i="6"/>
  <c r="H270" i="6"/>
  <c r="G270" i="6"/>
  <c r="F270" i="6"/>
  <c r="J269" i="6"/>
  <c r="I269" i="6"/>
  <c r="H269" i="6"/>
  <c r="G269" i="6"/>
  <c r="F269" i="6"/>
  <c r="J268" i="6"/>
  <c r="I268" i="6"/>
  <c r="H268" i="6"/>
  <c r="G268" i="6"/>
  <c r="F268" i="6"/>
  <c r="J267" i="6"/>
  <c r="I267" i="6"/>
  <c r="H267" i="6"/>
  <c r="G267" i="6"/>
  <c r="F267" i="6"/>
  <c r="N266" i="6"/>
  <c r="J266" i="6"/>
  <c r="I266" i="6"/>
  <c r="H266" i="6"/>
  <c r="G266" i="6"/>
  <c r="F266" i="6"/>
  <c r="J265" i="6"/>
  <c r="I265" i="6"/>
  <c r="H265" i="6"/>
  <c r="G265" i="6"/>
  <c r="F265" i="6"/>
  <c r="J264" i="6"/>
  <c r="I264" i="6"/>
  <c r="H264" i="6"/>
  <c r="G264" i="6"/>
  <c r="F264" i="6"/>
  <c r="J263" i="6"/>
  <c r="I263" i="6"/>
  <c r="H263" i="6"/>
  <c r="G263" i="6"/>
  <c r="F263" i="6"/>
  <c r="J262" i="6"/>
  <c r="I262" i="6"/>
  <c r="H262" i="6"/>
  <c r="G262" i="6"/>
  <c r="F262" i="6"/>
  <c r="J261" i="6"/>
  <c r="I261" i="6"/>
  <c r="H261" i="6"/>
  <c r="G261" i="6"/>
  <c r="F261" i="6"/>
  <c r="J260" i="6"/>
  <c r="I260" i="6"/>
  <c r="H260" i="6"/>
  <c r="G260" i="6"/>
  <c r="F260" i="6"/>
  <c r="J259" i="6"/>
  <c r="I259" i="6"/>
  <c r="H259" i="6"/>
  <c r="G259" i="6"/>
  <c r="F259" i="6"/>
  <c r="K248" i="6"/>
  <c r="H246" i="6"/>
  <c r="K245" i="6"/>
  <c r="J245" i="6"/>
  <c r="I245" i="6"/>
  <c r="H245" i="6"/>
  <c r="G245" i="6"/>
  <c r="F245" i="6"/>
  <c r="J244" i="6"/>
  <c r="I244" i="6"/>
  <c r="H244" i="6"/>
  <c r="G244" i="6"/>
  <c r="F244" i="6"/>
  <c r="J243" i="6"/>
  <c r="I243" i="6"/>
  <c r="H243" i="6"/>
  <c r="G243" i="6"/>
  <c r="F243" i="6"/>
  <c r="J242" i="6"/>
  <c r="I242" i="6"/>
  <c r="H242" i="6"/>
  <c r="G242" i="6"/>
  <c r="F242" i="6"/>
  <c r="J241" i="6"/>
  <c r="I241" i="6"/>
  <c r="H241" i="6"/>
  <c r="G241" i="6"/>
  <c r="F241" i="6"/>
  <c r="J240" i="6"/>
  <c r="I240" i="6"/>
  <c r="H240" i="6"/>
  <c r="G240" i="6"/>
  <c r="F240" i="6"/>
  <c r="J239" i="6"/>
  <c r="I239" i="6"/>
  <c r="H239" i="6"/>
  <c r="G239" i="6"/>
  <c r="F239" i="6"/>
  <c r="J238" i="6"/>
  <c r="I238" i="6"/>
  <c r="H238" i="6"/>
  <c r="G238" i="6"/>
  <c r="F238" i="6"/>
  <c r="J237" i="6"/>
  <c r="G237" i="6"/>
  <c r="F237" i="6"/>
  <c r="E237" i="6"/>
  <c r="I237" i="6" s="1"/>
  <c r="J236" i="6"/>
  <c r="I236" i="6"/>
  <c r="H236" i="6"/>
  <c r="G236" i="6"/>
  <c r="F236" i="6"/>
  <c r="J235" i="6"/>
  <c r="I235" i="6"/>
  <c r="H235" i="6"/>
  <c r="G235" i="6"/>
  <c r="F235" i="6"/>
  <c r="J234" i="6"/>
  <c r="I234" i="6"/>
  <c r="H234" i="6"/>
  <c r="G234" i="6"/>
  <c r="F234" i="6"/>
  <c r="J233" i="6"/>
  <c r="I233" i="6"/>
  <c r="H233" i="6"/>
  <c r="G233" i="6"/>
  <c r="F233" i="6"/>
  <c r="J232" i="6"/>
  <c r="I232" i="6"/>
  <c r="H232" i="6"/>
  <c r="G232" i="6"/>
  <c r="F232" i="6"/>
  <c r="J231" i="6"/>
  <c r="I231" i="6"/>
  <c r="H231" i="6"/>
  <c r="G231" i="6"/>
  <c r="F231" i="6"/>
  <c r="J230" i="6"/>
  <c r="I230" i="6"/>
  <c r="H230" i="6"/>
  <c r="G230" i="6"/>
  <c r="F230" i="6"/>
  <c r="J229" i="6"/>
  <c r="I229" i="6"/>
  <c r="H229" i="6"/>
  <c r="G229" i="6"/>
  <c r="F229" i="6"/>
  <c r="J228" i="6"/>
  <c r="I228" i="6"/>
  <c r="H228" i="6"/>
  <c r="G228" i="6"/>
  <c r="F228" i="6"/>
  <c r="K214" i="6"/>
  <c r="J214" i="6"/>
  <c r="I214" i="6"/>
  <c r="H214" i="6"/>
  <c r="G214" i="6"/>
  <c r="F214" i="6"/>
  <c r="J213" i="6"/>
  <c r="I213" i="6"/>
  <c r="H213" i="6"/>
  <c r="G213" i="6"/>
  <c r="F213" i="6"/>
  <c r="J212" i="6"/>
  <c r="I212" i="6"/>
  <c r="H212" i="6"/>
  <c r="G212" i="6"/>
  <c r="F212" i="6"/>
  <c r="J211" i="6"/>
  <c r="I211" i="6"/>
  <c r="H211" i="6"/>
  <c r="G211" i="6"/>
  <c r="F211" i="6"/>
  <c r="J210" i="6"/>
  <c r="I210" i="6"/>
  <c r="H210" i="6"/>
  <c r="G210" i="6"/>
  <c r="F210" i="6"/>
  <c r="J209" i="6"/>
  <c r="I209" i="6"/>
  <c r="H209" i="6"/>
  <c r="G209" i="6"/>
  <c r="F209" i="6"/>
  <c r="J208" i="6"/>
  <c r="I208" i="6"/>
  <c r="H208" i="6"/>
  <c r="G208" i="6"/>
  <c r="F208" i="6"/>
  <c r="J207" i="6"/>
  <c r="I207" i="6"/>
  <c r="H207" i="6"/>
  <c r="G207" i="6"/>
  <c r="F207" i="6"/>
  <c r="J206" i="6"/>
  <c r="I206" i="6"/>
  <c r="H206" i="6"/>
  <c r="G206" i="6"/>
  <c r="F206" i="6"/>
  <c r="J205" i="6"/>
  <c r="I205" i="6"/>
  <c r="H205" i="6"/>
  <c r="G205" i="6"/>
  <c r="F205" i="6"/>
  <c r="J204" i="6"/>
  <c r="I204" i="6"/>
  <c r="H204" i="6"/>
  <c r="G204" i="6"/>
  <c r="F204" i="6"/>
  <c r="J203" i="6"/>
  <c r="I203" i="6"/>
  <c r="H203" i="6"/>
  <c r="G203" i="6"/>
  <c r="F203" i="6"/>
  <c r="J202" i="6"/>
  <c r="I202" i="6"/>
  <c r="H202" i="6"/>
  <c r="G202" i="6"/>
  <c r="F202" i="6"/>
  <c r="J201" i="6"/>
  <c r="I201" i="6"/>
  <c r="H201" i="6"/>
  <c r="G201" i="6"/>
  <c r="F201" i="6"/>
  <c r="J200" i="6"/>
  <c r="I200" i="6"/>
  <c r="H200" i="6"/>
  <c r="G200" i="6"/>
  <c r="F200" i="6"/>
  <c r="J199" i="6"/>
  <c r="I199" i="6"/>
  <c r="H199" i="6"/>
  <c r="G199" i="6"/>
  <c r="F199" i="6"/>
  <c r="J198" i="6"/>
  <c r="I198" i="6"/>
  <c r="H198" i="6"/>
  <c r="G198" i="6"/>
  <c r="F198" i="6"/>
  <c r="J197" i="6"/>
  <c r="I197" i="6"/>
  <c r="H197" i="6"/>
  <c r="G197" i="6"/>
  <c r="F197" i="6"/>
  <c r="K183" i="6"/>
  <c r="K186" i="6" s="1"/>
  <c r="J184" i="6" s="1"/>
  <c r="J183" i="6"/>
  <c r="I183" i="6"/>
  <c r="H183" i="6"/>
  <c r="G183" i="6"/>
  <c r="F183" i="6"/>
  <c r="J182" i="6"/>
  <c r="I182" i="6"/>
  <c r="H182" i="6"/>
  <c r="G182" i="6"/>
  <c r="F182" i="6"/>
  <c r="J181" i="6"/>
  <c r="I181" i="6"/>
  <c r="H181" i="6"/>
  <c r="G181" i="6"/>
  <c r="F181" i="6"/>
  <c r="J180" i="6"/>
  <c r="I180" i="6"/>
  <c r="H180" i="6"/>
  <c r="G180" i="6"/>
  <c r="F180" i="6"/>
  <c r="J179" i="6"/>
  <c r="I179" i="6"/>
  <c r="H179" i="6"/>
  <c r="G179" i="6"/>
  <c r="F179" i="6"/>
  <c r="J178" i="6"/>
  <c r="I178" i="6"/>
  <c r="H178" i="6"/>
  <c r="G178" i="6"/>
  <c r="F178" i="6"/>
  <c r="J177" i="6"/>
  <c r="I177" i="6"/>
  <c r="H177" i="6"/>
  <c r="G177" i="6"/>
  <c r="F177" i="6"/>
  <c r="J176" i="6"/>
  <c r="I176" i="6"/>
  <c r="H176" i="6"/>
  <c r="G176" i="6"/>
  <c r="F176" i="6"/>
  <c r="J175" i="6"/>
  <c r="I175" i="6"/>
  <c r="H175" i="6"/>
  <c r="G175" i="6"/>
  <c r="F175" i="6"/>
  <c r="J174" i="6"/>
  <c r="I174" i="6"/>
  <c r="H174" i="6"/>
  <c r="G174" i="6"/>
  <c r="F174" i="6"/>
  <c r="J173" i="6"/>
  <c r="I173" i="6"/>
  <c r="H173" i="6"/>
  <c r="G173" i="6"/>
  <c r="F173" i="6"/>
  <c r="J172" i="6"/>
  <c r="I172" i="6"/>
  <c r="H172" i="6"/>
  <c r="G172" i="6"/>
  <c r="F172" i="6"/>
  <c r="J171" i="6"/>
  <c r="I171" i="6"/>
  <c r="H171" i="6"/>
  <c r="G171" i="6"/>
  <c r="F171" i="6"/>
  <c r="J170" i="6"/>
  <c r="I170" i="6"/>
  <c r="H170" i="6"/>
  <c r="G170" i="6"/>
  <c r="F170" i="6"/>
  <c r="L169" i="6"/>
  <c r="J169" i="6"/>
  <c r="I169" i="6"/>
  <c r="H169" i="6"/>
  <c r="G169" i="6"/>
  <c r="F169" i="6"/>
  <c r="J168" i="6"/>
  <c r="I168" i="6"/>
  <c r="H168" i="6"/>
  <c r="G168" i="6"/>
  <c r="F168" i="6"/>
  <c r="J167" i="6"/>
  <c r="I167" i="6"/>
  <c r="H167" i="6"/>
  <c r="G167" i="6"/>
  <c r="F167" i="6"/>
  <c r="J166" i="6"/>
  <c r="I166" i="6"/>
  <c r="H166" i="6"/>
  <c r="G166" i="6"/>
  <c r="F166" i="6"/>
  <c r="I157" i="6"/>
  <c r="K154" i="6"/>
  <c r="J152" i="6"/>
  <c r="G152" i="6"/>
  <c r="F152" i="6"/>
  <c r="K151" i="6"/>
  <c r="J151" i="6"/>
  <c r="I151" i="6"/>
  <c r="H151" i="6"/>
  <c r="G151" i="6"/>
  <c r="F151" i="6"/>
  <c r="J150" i="6"/>
  <c r="I150" i="6"/>
  <c r="H150" i="6"/>
  <c r="G150" i="6"/>
  <c r="F150" i="6"/>
  <c r="J149" i="6"/>
  <c r="I149" i="6"/>
  <c r="H149" i="6"/>
  <c r="G149" i="6"/>
  <c r="F149" i="6"/>
  <c r="J148" i="6"/>
  <c r="I148" i="6"/>
  <c r="H148" i="6"/>
  <c r="G148" i="6"/>
  <c r="F148" i="6"/>
  <c r="J147" i="6"/>
  <c r="I147" i="6"/>
  <c r="H147" i="6"/>
  <c r="G147" i="6"/>
  <c r="F147" i="6"/>
  <c r="J146" i="6"/>
  <c r="I146" i="6"/>
  <c r="H146" i="6"/>
  <c r="G146" i="6"/>
  <c r="F146" i="6"/>
  <c r="J145" i="6"/>
  <c r="I145" i="6"/>
  <c r="H145" i="6"/>
  <c r="G145" i="6"/>
  <c r="F145" i="6"/>
  <c r="J144" i="6"/>
  <c r="I144" i="6"/>
  <c r="H144" i="6"/>
  <c r="G144" i="6"/>
  <c r="F144" i="6"/>
  <c r="J143" i="6"/>
  <c r="I143" i="6"/>
  <c r="H143" i="6"/>
  <c r="G143" i="6"/>
  <c r="F143" i="6"/>
  <c r="J142" i="6"/>
  <c r="I142" i="6"/>
  <c r="H142" i="6"/>
  <c r="G142" i="6"/>
  <c r="F142" i="6"/>
  <c r="J141" i="6"/>
  <c r="I141" i="6"/>
  <c r="H141" i="6"/>
  <c r="G141" i="6"/>
  <c r="F141" i="6"/>
  <c r="J140" i="6"/>
  <c r="I140" i="6"/>
  <c r="H140" i="6"/>
  <c r="G140" i="6"/>
  <c r="F140" i="6"/>
  <c r="J139" i="6"/>
  <c r="I139" i="6"/>
  <c r="H139" i="6"/>
  <c r="G139" i="6"/>
  <c r="F139" i="6"/>
  <c r="J138" i="6"/>
  <c r="H138" i="6"/>
  <c r="G138" i="6"/>
  <c r="F138" i="6"/>
  <c r="E138" i="6"/>
  <c r="I138" i="6" s="1"/>
  <c r="J137" i="6"/>
  <c r="I137" i="6"/>
  <c r="H137" i="6"/>
  <c r="G137" i="6"/>
  <c r="F137" i="6"/>
  <c r="J136" i="6"/>
  <c r="I136" i="6"/>
  <c r="H136" i="6"/>
  <c r="G136" i="6"/>
  <c r="F136" i="6"/>
  <c r="J135" i="6"/>
  <c r="I135" i="6"/>
  <c r="H135" i="6"/>
  <c r="G135" i="6"/>
  <c r="F135" i="6"/>
  <c r="J134" i="6"/>
  <c r="I134" i="6"/>
  <c r="H134" i="6"/>
  <c r="G134" i="6"/>
  <c r="F134" i="6"/>
  <c r="K120" i="6"/>
  <c r="K123" i="6" s="1"/>
  <c r="J120" i="6"/>
  <c r="I120" i="6"/>
  <c r="H120" i="6"/>
  <c r="G120" i="6"/>
  <c r="F120" i="6"/>
  <c r="J119" i="6"/>
  <c r="I119" i="6"/>
  <c r="H119" i="6"/>
  <c r="G119" i="6"/>
  <c r="F119" i="6"/>
  <c r="J118" i="6"/>
  <c r="I118" i="6"/>
  <c r="H118" i="6"/>
  <c r="G118" i="6"/>
  <c r="F118" i="6"/>
  <c r="J117" i="6"/>
  <c r="I117" i="6"/>
  <c r="H117" i="6"/>
  <c r="G117" i="6"/>
  <c r="F117" i="6"/>
  <c r="J116" i="6"/>
  <c r="I116" i="6"/>
  <c r="H116" i="6"/>
  <c r="G116" i="6"/>
  <c r="F116" i="6"/>
  <c r="J115" i="6"/>
  <c r="I115" i="6"/>
  <c r="H115" i="6"/>
  <c r="G115" i="6"/>
  <c r="F115" i="6"/>
  <c r="J114" i="6"/>
  <c r="I114" i="6"/>
  <c r="H114" i="6"/>
  <c r="G114" i="6"/>
  <c r="F114" i="6"/>
  <c r="J113" i="6"/>
  <c r="I113" i="6"/>
  <c r="H113" i="6"/>
  <c r="G113" i="6"/>
  <c r="F113" i="6"/>
  <c r="J112" i="6"/>
  <c r="I112" i="6"/>
  <c r="H112" i="6"/>
  <c r="G112" i="6"/>
  <c r="F112" i="6"/>
  <c r="J111" i="6"/>
  <c r="I111" i="6"/>
  <c r="H111" i="6"/>
  <c r="G111" i="6"/>
  <c r="F111" i="6"/>
  <c r="J110" i="6"/>
  <c r="I110" i="6"/>
  <c r="H110" i="6"/>
  <c r="G110" i="6"/>
  <c r="F110" i="6"/>
  <c r="J109" i="6"/>
  <c r="I109" i="6"/>
  <c r="H109" i="6"/>
  <c r="G109" i="6"/>
  <c r="F109" i="6"/>
  <c r="J108" i="6"/>
  <c r="I108" i="6"/>
  <c r="H108" i="6"/>
  <c r="G108" i="6"/>
  <c r="F108" i="6"/>
  <c r="J107" i="6"/>
  <c r="I107" i="6"/>
  <c r="H107" i="6"/>
  <c r="G107" i="6"/>
  <c r="F107" i="6"/>
  <c r="J106" i="6"/>
  <c r="I106" i="6"/>
  <c r="H106" i="6"/>
  <c r="G106" i="6"/>
  <c r="F106" i="6"/>
  <c r="J105" i="6"/>
  <c r="I105" i="6"/>
  <c r="H105" i="6"/>
  <c r="G105" i="6"/>
  <c r="F105" i="6"/>
  <c r="J104" i="6"/>
  <c r="I104" i="6"/>
  <c r="H104" i="6"/>
  <c r="G104" i="6"/>
  <c r="F104" i="6"/>
  <c r="J103" i="6"/>
  <c r="I103" i="6"/>
  <c r="H103" i="6"/>
  <c r="G103" i="6"/>
  <c r="F103" i="6"/>
  <c r="K89" i="6"/>
  <c r="K92" i="6" s="1"/>
  <c r="J89" i="6"/>
  <c r="I89" i="6"/>
  <c r="H89" i="6"/>
  <c r="G89" i="6"/>
  <c r="F89" i="6"/>
  <c r="J88" i="6"/>
  <c r="I88" i="6"/>
  <c r="H88" i="6"/>
  <c r="G88" i="6"/>
  <c r="F88" i="6"/>
  <c r="J87" i="6"/>
  <c r="I87" i="6"/>
  <c r="H87" i="6"/>
  <c r="G87" i="6"/>
  <c r="F87" i="6"/>
  <c r="J86" i="6"/>
  <c r="I86" i="6"/>
  <c r="H86" i="6"/>
  <c r="G86" i="6"/>
  <c r="F86" i="6"/>
  <c r="J85" i="6"/>
  <c r="I85" i="6"/>
  <c r="H85" i="6"/>
  <c r="G85" i="6"/>
  <c r="F85" i="6"/>
  <c r="J84" i="6"/>
  <c r="I84" i="6"/>
  <c r="H84" i="6"/>
  <c r="G84" i="6"/>
  <c r="F84" i="6"/>
  <c r="J83" i="6"/>
  <c r="I83" i="6"/>
  <c r="H83" i="6"/>
  <c r="G83" i="6"/>
  <c r="F83" i="6"/>
  <c r="J82" i="6"/>
  <c r="I82" i="6"/>
  <c r="H82" i="6"/>
  <c r="G82" i="6"/>
  <c r="F82" i="6"/>
  <c r="J81" i="6"/>
  <c r="I81" i="6"/>
  <c r="H81" i="6"/>
  <c r="G81" i="6"/>
  <c r="F81" i="6"/>
  <c r="J80" i="6"/>
  <c r="I80" i="6"/>
  <c r="H80" i="6"/>
  <c r="G80" i="6"/>
  <c r="F80" i="6"/>
  <c r="J79" i="6"/>
  <c r="I79" i="6"/>
  <c r="H79" i="6"/>
  <c r="G79" i="6"/>
  <c r="F79" i="6"/>
  <c r="J78" i="6"/>
  <c r="I78" i="6"/>
  <c r="H78" i="6"/>
  <c r="G78" i="6"/>
  <c r="F78" i="6"/>
  <c r="J77" i="6"/>
  <c r="I77" i="6"/>
  <c r="H77" i="6"/>
  <c r="G77" i="6"/>
  <c r="F77" i="6"/>
  <c r="J76" i="6"/>
  <c r="I76" i="6"/>
  <c r="H76" i="6"/>
  <c r="G76" i="6"/>
  <c r="F76" i="6"/>
  <c r="J75" i="6"/>
  <c r="I75" i="6"/>
  <c r="H75" i="6"/>
  <c r="G75" i="6"/>
  <c r="F75" i="6"/>
  <c r="J74" i="6"/>
  <c r="I74" i="6"/>
  <c r="H74" i="6"/>
  <c r="G74" i="6"/>
  <c r="F74" i="6"/>
  <c r="J73" i="6"/>
  <c r="I73" i="6"/>
  <c r="H73" i="6"/>
  <c r="G73" i="6"/>
  <c r="F73" i="6"/>
  <c r="J72" i="6"/>
  <c r="I72" i="6"/>
  <c r="H72" i="6"/>
  <c r="G72" i="6"/>
  <c r="F72" i="6"/>
  <c r="J57" i="6"/>
  <c r="I57" i="6"/>
  <c r="H57" i="6"/>
  <c r="G57" i="6"/>
  <c r="F57" i="6"/>
  <c r="J56" i="6"/>
  <c r="I56" i="6"/>
  <c r="H56" i="6"/>
  <c r="G56" i="6"/>
  <c r="F56" i="6"/>
  <c r="J55" i="6"/>
  <c r="I55" i="6"/>
  <c r="H55" i="6"/>
  <c r="G55" i="6"/>
  <c r="F55" i="6"/>
  <c r="J54" i="6"/>
  <c r="I54" i="6"/>
  <c r="H54" i="6"/>
  <c r="G54" i="6"/>
  <c r="F54" i="6"/>
  <c r="J53" i="6"/>
  <c r="I53" i="6"/>
  <c r="H53" i="6"/>
  <c r="G53" i="6"/>
  <c r="F53" i="6"/>
  <c r="J52" i="6"/>
  <c r="I52" i="6"/>
  <c r="H52" i="6"/>
  <c r="G52" i="6"/>
  <c r="F52" i="6"/>
  <c r="J51" i="6"/>
  <c r="I51" i="6"/>
  <c r="H51" i="6"/>
  <c r="G51" i="6"/>
  <c r="F51" i="6"/>
  <c r="J50" i="6"/>
  <c r="I50" i="6"/>
  <c r="H50" i="6"/>
  <c r="G50" i="6"/>
  <c r="F50" i="6"/>
  <c r="I49" i="6"/>
  <c r="H49" i="6"/>
  <c r="F49" i="6"/>
  <c r="E49" i="6"/>
  <c r="J48" i="6"/>
  <c r="I48" i="6"/>
  <c r="H48" i="6"/>
  <c r="G48" i="6"/>
  <c r="F48" i="6"/>
  <c r="J47" i="6"/>
  <c r="I47" i="6"/>
  <c r="H47" i="6"/>
  <c r="G47" i="6"/>
  <c r="F47" i="6"/>
  <c r="J46" i="6"/>
  <c r="I46" i="6"/>
  <c r="H46" i="6"/>
  <c r="G46" i="6"/>
  <c r="F46" i="6"/>
  <c r="J45" i="6"/>
  <c r="I45" i="6"/>
  <c r="H45" i="6"/>
  <c r="G45" i="6"/>
  <c r="F45" i="6"/>
  <c r="J44" i="6"/>
  <c r="I44" i="6"/>
  <c r="H44" i="6"/>
  <c r="G44" i="6"/>
  <c r="F44" i="6"/>
  <c r="J43" i="6"/>
  <c r="I43" i="6"/>
  <c r="H43" i="6"/>
  <c r="G43" i="6"/>
  <c r="F43" i="6"/>
  <c r="J42" i="6"/>
  <c r="I42" i="6"/>
  <c r="H42" i="6"/>
  <c r="G42" i="6"/>
  <c r="F42" i="6"/>
  <c r="J41" i="6"/>
  <c r="I41" i="6"/>
  <c r="H41" i="6"/>
  <c r="G41" i="6"/>
  <c r="F41" i="6"/>
  <c r="J40" i="6"/>
  <c r="I40" i="6"/>
  <c r="H40" i="6"/>
  <c r="G40" i="6"/>
  <c r="F40" i="6"/>
  <c r="K27" i="6"/>
  <c r="G25" i="6" s="1"/>
  <c r="J25" i="6"/>
  <c r="K24" i="6"/>
  <c r="J24" i="6"/>
  <c r="I24" i="6"/>
  <c r="H24" i="6"/>
  <c r="G24" i="6"/>
  <c r="F24" i="6"/>
  <c r="J23" i="6"/>
  <c r="I23" i="6"/>
  <c r="H23" i="6"/>
  <c r="G23" i="6"/>
  <c r="F23" i="6"/>
  <c r="J22" i="6"/>
  <c r="I22" i="6"/>
  <c r="H22" i="6"/>
  <c r="G22" i="6"/>
  <c r="F22" i="6"/>
  <c r="J21" i="6"/>
  <c r="I21" i="6"/>
  <c r="H21" i="6"/>
  <c r="G21" i="6"/>
  <c r="F21" i="6"/>
  <c r="J20" i="6"/>
  <c r="I20" i="6"/>
  <c r="H20" i="6"/>
  <c r="G20" i="6"/>
  <c r="F20" i="6"/>
  <c r="J19" i="6"/>
  <c r="I19" i="6"/>
  <c r="H19" i="6"/>
  <c r="G19" i="6"/>
  <c r="F19" i="6"/>
  <c r="J18" i="6"/>
  <c r="I18" i="6"/>
  <c r="H18" i="6"/>
  <c r="G18" i="6"/>
  <c r="F18" i="6"/>
  <c r="J17" i="6"/>
  <c r="I17" i="6"/>
  <c r="H17" i="6"/>
  <c r="G17" i="6"/>
  <c r="F17" i="6"/>
  <c r="J16" i="6"/>
  <c r="I16" i="6"/>
  <c r="H16" i="6"/>
  <c r="G16" i="6"/>
  <c r="F16" i="6"/>
  <c r="J15" i="6"/>
  <c r="I15" i="6"/>
  <c r="H15" i="6"/>
  <c r="G15" i="6"/>
  <c r="F15" i="6"/>
  <c r="J14" i="6"/>
  <c r="I14" i="6"/>
  <c r="H14" i="6"/>
  <c r="G14" i="6"/>
  <c r="F14" i="6"/>
  <c r="J13" i="6"/>
  <c r="I13" i="6"/>
  <c r="H13" i="6"/>
  <c r="G13" i="6"/>
  <c r="F13" i="6"/>
  <c r="J12" i="6"/>
  <c r="I12" i="6"/>
  <c r="H12" i="6"/>
  <c r="G12" i="6"/>
  <c r="F12" i="6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J8" i="6"/>
  <c r="I8" i="6"/>
  <c r="H8" i="6"/>
  <c r="G8" i="6"/>
  <c r="F8" i="6"/>
  <c r="J7" i="6"/>
  <c r="I7" i="6"/>
  <c r="H7" i="6"/>
  <c r="G7" i="6"/>
  <c r="F7" i="6"/>
  <c r="M4" i="4"/>
  <c r="L4" i="4"/>
  <c r="K4" i="4"/>
  <c r="J4" i="4"/>
  <c r="I4" i="4"/>
  <c r="H4" i="4"/>
  <c r="G4" i="4"/>
  <c r="F4" i="4"/>
  <c r="E4" i="4"/>
  <c r="D4" i="4"/>
  <c r="C4" i="4"/>
  <c r="B4" i="4"/>
  <c r="B5" i="4" s="1"/>
  <c r="C28" i="2"/>
  <c r="G23" i="2"/>
  <c r="E18" i="2"/>
  <c r="C17" i="2"/>
  <c r="C18" i="2" s="1"/>
  <c r="C30" i="2" s="1"/>
  <c r="K10" i="2"/>
  <c r="O7" i="2"/>
  <c r="O6" i="2"/>
  <c r="C6" i="2"/>
  <c r="O5" i="2"/>
  <c r="O4" i="2"/>
  <c r="H4" i="2"/>
  <c r="C4" i="2"/>
  <c r="O3" i="2"/>
  <c r="G3" i="2"/>
  <c r="I10" i="2" s="1"/>
  <c r="C3" i="2"/>
  <c r="N2" i="2"/>
  <c r="G33" i="1"/>
  <c r="C28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N27" i="1" s="1"/>
  <c r="O25" i="1"/>
  <c r="O23" i="1"/>
  <c r="N20" i="1"/>
  <c r="N18" i="1"/>
  <c r="M18" i="1"/>
  <c r="M20" i="1" s="1"/>
  <c r="L18" i="1"/>
  <c r="L20" i="1" s="1"/>
  <c r="K18" i="1"/>
  <c r="K20" i="1" s="1"/>
  <c r="J18" i="1"/>
  <c r="J20" i="1" s="1"/>
  <c r="I18" i="1"/>
  <c r="I20" i="1" s="1"/>
  <c r="H18" i="1"/>
  <c r="H20" i="1" s="1"/>
  <c r="G18" i="1"/>
  <c r="G20" i="1" s="1"/>
  <c r="F18" i="1"/>
  <c r="F20" i="1" s="1"/>
  <c r="E18" i="1"/>
  <c r="E20" i="1" s="1"/>
  <c r="D18" i="1"/>
  <c r="D20" i="1" s="1"/>
  <c r="C18" i="1"/>
  <c r="C20" i="1" s="1"/>
  <c r="O13" i="1"/>
  <c r="O12" i="1"/>
  <c r="O10" i="1"/>
  <c r="O9" i="1"/>
  <c r="O11" i="1" s="1"/>
  <c r="O8" i="1"/>
  <c r="O7" i="1"/>
  <c r="O3" i="1"/>
  <c r="C5" i="4" l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20" i="1"/>
  <c r="K312" i="6"/>
  <c r="J90" i="6"/>
  <c r="F90" i="6"/>
  <c r="I90" i="6"/>
  <c r="H90" i="6"/>
  <c r="G90" i="6"/>
  <c r="H121" i="6"/>
  <c r="G121" i="6"/>
  <c r="G341" i="6"/>
  <c r="J341" i="6"/>
  <c r="F341" i="6"/>
  <c r="I341" i="6"/>
  <c r="F25" i="6"/>
  <c r="E25" i="6" s="1"/>
  <c r="G616" i="6"/>
  <c r="F616" i="6"/>
  <c r="H25" i="6"/>
  <c r="F121" i="6"/>
  <c r="J246" i="6"/>
  <c r="F246" i="6"/>
  <c r="I246" i="6"/>
  <c r="G246" i="6"/>
  <c r="H341" i="6"/>
  <c r="H430" i="6"/>
  <c r="K434" i="6"/>
  <c r="G430" i="6"/>
  <c r="J430" i="6"/>
  <c r="I430" i="6"/>
  <c r="I468" i="6"/>
  <c r="H468" i="6"/>
  <c r="F468" i="6"/>
  <c r="K468" i="6"/>
  <c r="J121" i="6"/>
  <c r="I277" i="6"/>
  <c r="H277" i="6"/>
  <c r="J277" i="6"/>
  <c r="G277" i="6"/>
  <c r="E277" i="6" s="1"/>
  <c r="H302" i="6"/>
  <c r="G302" i="6"/>
  <c r="I302" i="6"/>
  <c r="F302" i="6"/>
  <c r="G6" i="2"/>
  <c r="G4" i="2"/>
  <c r="G5" i="2" s="1"/>
  <c r="K2" i="2" s="1"/>
  <c r="K4" i="2" s="1"/>
  <c r="G9" i="2"/>
  <c r="I184" i="6"/>
  <c r="H184" i="6"/>
  <c r="G184" i="6"/>
  <c r="F184" i="6"/>
  <c r="E184" i="6" s="1"/>
  <c r="J302" i="6"/>
  <c r="C5" i="2"/>
  <c r="A1" i="2" s="1"/>
  <c r="C2" i="1" s="1"/>
  <c r="M7" i="2"/>
  <c r="M15" i="2" s="1"/>
  <c r="I9" i="2"/>
  <c r="I12" i="2" s="1"/>
  <c r="M12" i="2"/>
  <c r="I25" i="6"/>
  <c r="K57" i="6"/>
  <c r="G49" i="6"/>
  <c r="J49" i="6"/>
  <c r="I121" i="6"/>
  <c r="I152" i="6"/>
  <c r="E152" i="6" s="1"/>
  <c r="H152" i="6"/>
  <c r="H403" i="6"/>
  <c r="G403" i="6"/>
  <c r="I403" i="6"/>
  <c r="F403" i="6"/>
  <c r="F430" i="6"/>
  <c r="G468" i="6"/>
  <c r="K217" i="6"/>
  <c r="L208" i="6"/>
  <c r="I372" i="6"/>
  <c r="H372" i="6"/>
  <c r="I499" i="6"/>
  <c r="H499" i="6"/>
  <c r="E499" i="6" s="1"/>
  <c r="J588" i="6"/>
  <c r="F588" i="6"/>
  <c r="I588" i="6"/>
  <c r="C9" i="2"/>
  <c r="C10" i="2" s="1"/>
  <c r="M335" i="6"/>
  <c r="F372" i="6"/>
  <c r="K499" i="6"/>
  <c r="L533" i="6"/>
  <c r="H580" i="6"/>
  <c r="G580" i="6"/>
  <c r="G588" i="6"/>
  <c r="H237" i="6"/>
  <c r="L561" i="6"/>
  <c r="G155" i="6" l="1"/>
  <c r="J155" i="6"/>
  <c r="F155" i="6"/>
  <c r="H153" i="6"/>
  <c r="I155" i="6"/>
  <c r="I153" i="6"/>
  <c r="H155" i="6"/>
  <c r="G153" i="6"/>
  <c r="F153" i="6"/>
  <c r="J153" i="6"/>
  <c r="H502" i="6"/>
  <c r="K500" i="6"/>
  <c r="G500" i="6"/>
  <c r="K502" i="6"/>
  <c r="G502" i="6"/>
  <c r="J500" i="6"/>
  <c r="F500" i="6"/>
  <c r="F502" i="6"/>
  <c r="J502" i="6"/>
  <c r="I500" i="6"/>
  <c r="H500" i="6"/>
  <c r="I502" i="6"/>
  <c r="J280" i="6"/>
  <c r="N267" i="6" s="1"/>
  <c r="F280" i="6"/>
  <c r="H278" i="6"/>
  <c r="I280" i="6"/>
  <c r="G278" i="6"/>
  <c r="G280" i="6"/>
  <c r="J278" i="6"/>
  <c r="I278" i="6"/>
  <c r="F278" i="6"/>
  <c r="H280" i="6"/>
  <c r="K60" i="6"/>
  <c r="J187" i="6"/>
  <c r="L172" i="6" s="1"/>
  <c r="F187" i="6"/>
  <c r="H185" i="6"/>
  <c r="I187" i="6"/>
  <c r="G185" i="6"/>
  <c r="J185" i="6"/>
  <c r="I185" i="6"/>
  <c r="F185" i="6"/>
  <c r="H187" i="6"/>
  <c r="G187" i="6"/>
  <c r="H28" i="6"/>
  <c r="J26" i="6"/>
  <c r="F26" i="6"/>
  <c r="I28" i="6"/>
  <c r="I26" i="6"/>
  <c r="G26" i="6"/>
  <c r="J28" i="6"/>
  <c r="G28" i="6"/>
  <c r="H26" i="6"/>
  <c r="F28" i="6"/>
  <c r="H559" i="6"/>
  <c r="K559" i="6"/>
  <c r="G559" i="6"/>
  <c r="I559" i="6"/>
  <c r="F559" i="6"/>
  <c r="J559" i="6"/>
  <c r="J215" i="6"/>
  <c r="F215" i="6"/>
  <c r="I215" i="6"/>
  <c r="G215" i="6"/>
  <c r="H215" i="6"/>
  <c r="C24" i="1"/>
  <c r="C4" i="1"/>
  <c r="C30" i="1" s="1"/>
  <c r="D2" i="1"/>
  <c r="K437" i="6"/>
  <c r="E121" i="6"/>
  <c r="E341" i="6"/>
  <c r="E90" i="6"/>
  <c r="G12" i="2"/>
  <c r="H9" i="2"/>
  <c r="H12" i="2" s="1"/>
  <c r="M2" i="2" s="1"/>
  <c r="G10" i="2"/>
  <c r="H10" i="2" s="1"/>
  <c r="E468" i="6"/>
  <c r="C12" i="2"/>
  <c r="J310" i="6"/>
  <c r="F310" i="6"/>
  <c r="I310" i="6"/>
  <c r="H310" i="6"/>
  <c r="G310" i="6"/>
  <c r="E372" i="6"/>
  <c r="E403" i="6"/>
  <c r="J531" i="6"/>
  <c r="F531" i="6"/>
  <c r="I531" i="6"/>
  <c r="K531" i="6"/>
  <c r="G531" i="6"/>
  <c r="H531" i="6"/>
  <c r="E588" i="6"/>
  <c r="M18" i="2"/>
  <c r="E246" i="6"/>
  <c r="N559" i="6" l="1"/>
  <c r="E559" i="6"/>
  <c r="G93" i="6"/>
  <c r="I91" i="6"/>
  <c r="J93" i="6"/>
  <c r="F93" i="6"/>
  <c r="H91" i="6"/>
  <c r="H93" i="6"/>
  <c r="F91" i="6"/>
  <c r="J91" i="6"/>
  <c r="I93" i="6"/>
  <c r="G91" i="6"/>
  <c r="I435" i="6"/>
  <c r="H435" i="6"/>
  <c r="J435" i="6"/>
  <c r="G435" i="6"/>
  <c r="F435" i="6"/>
  <c r="E215" i="6"/>
  <c r="O215" i="6"/>
  <c r="L28" i="6"/>
  <c r="L30" i="6" s="1"/>
  <c r="M502" i="6"/>
  <c r="M504" i="6" s="1"/>
  <c r="E531" i="6"/>
  <c r="I124" i="6"/>
  <c r="G122" i="6"/>
  <c r="H124" i="6"/>
  <c r="J122" i="6"/>
  <c r="F122" i="6"/>
  <c r="F124" i="6"/>
  <c r="H122" i="6"/>
  <c r="I122" i="6"/>
  <c r="J124" i="6"/>
  <c r="G124" i="6"/>
  <c r="D24" i="1"/>
  <c r="D4" i="1"/>
  <c r="D30" i="1" s="1"/>
  <c r="E2" i="1"/>
  <c r="L187" i="6"/>
  <c r="L189" i="6" s="1"/>
  <c r="L280" i="6"/>
  <c r="L282" i="6" s="1"/>
  <c r="G249" i="6"/>
  <c r="I247" i="6"/>
  <c r="J249" i="6"/>
  <c r="F249" i="6"/>
  <c r="H247" i="6"/>
  <c r="J247" i="6"/>
  <c r="I249" i="6"/>
  <c r="G247" i="6"/>
  <c r="H249" i="6"/>
  <c r="F247" i="6"/>
  <c r="L155" i="6"/>
  <c r="L157" i="6" s="1"/>
  <c r="I406" i="6"/>
  <c r="G404" i="6"/>
  <c r="H406" i="6"/>
  <c r="J404" i="6"/>
  <c r="F404" i="6"/>
  <c r="F406" i="6"/>
  <c r="I404" i="6"/>
  <c r="G406" i="6"/>
  <c r="J406" i="6"/>
  <c r="H404" i="6"/>
  <c r="H471" i="6"/>
  <c r="K469" i="6"/>
  <c r="G469" i="6"/>
  <c r="K471" i="6"/>
  <c r="K474" i="6" s="1"/>
  <c r="G471" i="6"/>
  <c r="J469" i="6"/>
  <c r="F469" i="6"/>
  <c r="I471" i="6"/>
  <c r="H469" i="6"/>
  <c r="F471" i="6"/>
  <c r="I469" i="6"/>
  <c r="J591" i="6"/>
  <c r="F591" i="6"/>
  <c r="L591" i="6" s="1"/>
  <c r="L593" i="6" s="1"/>
  <c r="I589" i="6"/>
  <c r="I591" i="6"/>
  <c r="H589" i="6"/>
  <c r="J589" i="6"/>
  <c r="H591" i="6"/>
  <c r="G589" i="6"/>
  <c r="G591" i="6"/>
  <c r="F589" i="6"/>
  <c r="J375" i="6"/>
  <c r="J377" i="6" s="1"/>
  <c r="F375" i="6"/>
  <c r="H373" i="6"/>
  <c r="I375" i="6"/>
  <c r="G373" i="6"/>
  <c r="I373" i="6"/>
  <c r="H375" i="6"/>
  <c r="H377" i="6" s="1"/>
  <c r="F373" i="6"/>
  <c r="J373" i="6"/>
  <c r="G375" i="6"/>
  <c r="E310" i="6"/>
  <c r="H344" i="6"/>
  <c r="H346" i="6" s="1"/>
  <c r="J342" i="6"/>
  <c r="F342" i="6"/>
  <c r="G344" i="6"/>
  <c r="I342" i="6"/>
  <c r="I344" i="6"/>
  <c r="G342" i="6"/>
  <c r="F344" i="6"/>
  <c r="H342" i="6"/>
  <c r="J344" i="6"/>
  <c r="J346" i="6" s="1"/>
  <c r="L328" i="6" s="1"/>
  <c r="H58" i="6"/>
  <c r="G58" i="6"/>
  <c r="J58" i="6"/>
  <c r="I58" i="6"/>
  <c r="F58" i="6"/>
  <c r="L124" i="6" l="1"/>
  <c r="L126" i="6" s="1"/>
  <c r="G313" i="6"/>
  <c r="I311" i="6"/>
  <c r="J313" i="6"/>
  <c r="F313" i="6"/>
  <c r="H311" i="6"/>
  <c r="H313" i="6"/>
  <c r="F311" i="6"/>
  <c r="G311" i="6"/>
  <c r="I313" i="6"/>
  <c r="J311" i="6"/>
  <c r="L406" i="6"/>
  <c r="L408" i="6" s="1"/>
  <c r="H532" i="6"/>
  <c r="K532" i="6"/>
  <c r="G532" i="6"/>
  <c r="F532" i="6"/>
  <c r="K534" i="6"/>
  <c r="H534" i="6" s="1"/>
  <c r="J532" i="6"/>
  <c r="I532" i="6"/>
  <c r="J218" i="6"/>
  <c r="F218" i="6"/>
  <c r="H216" i="6"/>
  <c r="I218" i="6"/>
  <c r="G216" i="6"/>
  <c r="I216" i="6"/>
  <c r="H218" i="6"/>
  <c r="F216" i="6"/>
  <c r="J216" i="6"/>
  <c r="G218" i="6"/>
  <c r="L93" i="6"/>
  <c r="L95" i="6" s="1"/>
  <c r="J562" i="6"/>
  <c r="F562" i="6"/>
  <c r="H560" i="6"/>
  <c r="I562" i="6"/>
  <c r="K560" i="6"/>
  <c r="G560" i="6"/>
  <c r="G562" i="6"/>
  <c r="I560" i="6"/>
  <c r="F560" i="6"/>
  <c r="K562" i="6"/>
  <c r="J560" i="6"/>
  <c r="H562" i="6"/>
  <c r="E58" i="6"/>
  <c r="F346" i="6"/>
  <c r="L325" i="6" s="1"/>
  <c r="L329" i="6" s="1"/>
  <c r="L344" i="6"/>
  <c r="L346" i="6" s="1"/>
  <c r="F2" i="1"/>
  <c r="E4" i="1"/>
  <c r="E30" i="1" s="1"/>
  <c r="E24" i="1"/>
  <c r="L375" i="6"/>
  <c r="L377" i="6" s="1"/>
  <c r="F377" i="6"/>
  <c r="J471" i="6"/>
  <c r="M471" i="6" s="1"/>
  <c r="M473" i="6" s="1"/>
  <c r="L249" i="6"/>
  <c r="L251" i="6" s="1"/>
  <c r="E435" i="6"/>
  <c r="P559" i="6"/>
  <c r="J438" i="6" l="1"/>
  <c r="F438" i="6"/>
  <c r="H436" i="6"/>
  <c r="I438" i="6"/>
  <c r="G436" i="6"/>
  <c r="H438" i="6"/>
  <c r="F436" i="6"/>
  <c r="G438" i="6"/>
  <c r="J436" i="6"/>
  <c r="I436" i="6"/>
  <c r="L218" i="6"/>
  <c r="L220" i="6" s="1"/>
  <c r="G534" i="6"/>
  <c r="L313" i="6"/>
  <c r="L315" i="6" s="1"/>
  <c r="I61" i="6"/>
  <c r="G59" i="6"/>
  <c r="H61" i="6"/>
  <c r="J59" i="6"/>
  <c r="F59" i="6"/>
  <c r="G61" i="6"/>
  <c r="J61" i="6"/>
  <c r="F61" i="6"/>
  <c r="I59" i="6"/>
  <c r="H59" i="6"/>
  <c r="N560" i="6"/>
  <c r="F534" i="6"/>
  <c r="M562" i="6"/>
  <c r="M564" i="6" s="1"/>
  <c r="J534" i="6"/>
  <c r="I534" i="6"/>
  <c r="F4" i="1"/>
  <c r="F30" i="1" s="1"/>
  <c r="G2" i="1"/>
  <c r="F24" i="1"/>
  <c r="G24" i="1" l="1"/>
  <c r="G4" i="1"/>
  <c r="G30" i="1" s="1"/>
  <c r="H2" i="1"/>
  <c r="L438" i="6"/>
  <c r="L440" i="6" s="1"/>
  <c r="P560" i="6"/>
  <c r="O562" i="6"/>
  <c r="M534" i="6"/>
  <c r="M536" i="6" s="1"/>
  <c r="L61" i="6"/>
  <c r="L63" i="6" s="1"/>
  <c r="H4" i="1" l="1"/>
  <c r="H30" i="1" s="1"/>
  <c r="H24" i="1"/>
  <c r="I2" i="1"/>
  <c r="I24" i="1" l="1"/>
  <c r="J2" i="1"/>
  <c r="I4" i="1"/>
  <c r="I30" i="1" s="1"/>
  <c r="K2" i="1" l="1"/>
  <c r="J4" i="1"/>
  <c r="J30" i="1" s="1"/>
  <c r="J24" i="1"/>
  <c r="K24" i="1" l="1"/>
  <c r="K4" i="1"/>
  <c r="K30" i="1" s="1"/>
  <c r="L2" i="1"/>
  <c r="L4" i="1" l="1"/>
  <c r="L30" i="1" s="1"/>
  <c r="M2" i="1"/>
  <c r="L24" i="1"/>
  <c r="N2" i="1" l="1"/>
  <c r="M4" i="1"/>
  <c r="M30" i="1" s="1"/>
  <c r="M24" i="1"/>
  <c r="N24" i="1" l="1"/>
  <c r="N4" i="1"/>
  <c r="N30" i="1" s="1"/>
  <c r="O2" i="1"/>
  <c r="O4" i="1" l="1"/>
  <c r="O24" i="1"/>
</calcChain>
</file>

<file path=xl/sharedStrings.xml><?xml version="1.0" encoding="utf-8"?>
<sst xmlns="http://schemas.openxmlformats.org/spreadsheetml/2006/main" count="1728" uniqueCount="246">
  <si>
    <t>Receitas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</si>
  <si>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</si>
  <si>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</si>
  <si>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</si>
  <si>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</si>
  <si>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</si>
  <si>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</si>
  <si>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</si>
  <si>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</si>
  <si>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</si>
  <si>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</si>
  <si>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</si>
  <si>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</si>
  <si>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Total/ano</t>
  </si>
  <si>
    <t>Receita 1</t>
  </si>
  <si>
    <t>Receita 2</t>
  </si>
  <si>
    <t>Receita Total</t>
  </si>
  <si>
    <t>Despesas</t>
  </si>
  <si>
    <t xml:space="preserve">             Moradia</t>
  </si>
  <si>
    <t xml:space="preserve">              Celular</t>
  </si>
  <si>
    <t>Água</t>
  </si>
  <si>
    <t>Luz</t>
  </si>
  <si>
    <t>Internet</t>
  </si>
  <si>
    <t>Add A</t>
  </si>
  <si>
    <t>Gympass</t>
  </si>
  <si>
    <t>Lazer</t>
  </si>
  <si>
    <t xml:space="preserve"> </t>
  </si>
  <si>
    <t>Alimentação</t>
  </si>
  <si>
    <t>Transporte</t>
  </si>
  <si>
    <t>Impostos cartão</t>
  </si>
  <si>
    <t>Despesas Totais</t>
  </si>
  <si>
    <t>Poupança</t>
  </si>
  <si>
    <t>Poupança Mensal</t>
  </si>
  <si>
    <t>% Receita Poupado</t>
  </si>
  <si>
    <r>
      <rPr>
        <b/>
        <sz val="11"/>
        <color rgb="FFFFC000"/>
        <rFont val="Calibri"/>
        <charset val="1"/>
      </rPr>
      <t>Meta</t>
    </r>
    <r>
      <rPr>
        <b/>
        <sz val="11"/>
        <color rgb="FF002060"/>
        <rFont val="Calibri"/>
        <charset val="1"/>
      </rPr>
      <t xml:space="preserve"> Poupança</t>
    </r>
  </si>
  <si>
    <t>Poupança Acumulada</t>
  </si>
  <si>
    <r>
      <rPr>
        <b/>
        <sz val="11"/>
        <color theme="5"/>
        <rFont val="Calibri"/>
        <charset val="1"/>
      </rPr>
      <t xml:space="preserve">13º </t>
    </r>
    <r>
      <rPr>
        <b/>
        <sz val="11"/>
        <color rgb="FF002060"/>
        <rFont val="Calibri"/>
        <charset val="1"/>
      </rPr>
      <t xml:space="preserve"> + Férias + 1/3 Férias</t>
    </r>
  </si>
  <si>
    <t>Valor Atual / Real</t>
  </si>
  <si>
    <t>Rec - (Des + Poup)</t>
  </si>
  <si>
    <t>Salário Hora</t>
  </si>
  <si>
    <t>despesa</t>
  </si>
  <si>
    <t>Salário Bruto</t>
  </si>
  <si>
    <t>reserva</t>
  </si>
  <si>
    <t>Salário Líquido</t>
  </si>
  <si>
    <t>Salário Real</t>
  </si>
  <si>
    <t>Bruto $ 12,5%</t>
  </si>
  <si>
    <t>Menos 12,5%</t>
  </si>
  <si>
    <t>Valor dia 20</t>
  </si>
  <si>
    <t>Valor dia 05</t>
  </si>
  <si>
    <t>13º</t>
  </si>
  <si>
    <t>Total Mensal</t>
  </si>
  <si>
    <t>Férias</t>
  </si>
  <si>
    <t>sal</t>
  </si>
  <si>
    <t>dz + of</t>
  </si>
  <si>
    <t>Valor Real</t>
  </si>
  <si>
    <t>sobra</t>
  </si>
  <si>
    <t>agua</t>
  </si>
  <si>
    <t>Por que acredito que posso contribuir para o crescimento da sua empresa, mesmo não possuindo experiência, sou honesto e perseverante diante dos desafios.</t>
  </si>
  <si>
    <t>internet</t>
  </si>
  <si>
    <t xml:space="preserve">No trabalho desenvolvi uma instrução de trabalho explicando passo a passo as atividades a serem realizadas no setor e também criei uma tabela dinâmica para o estoque de recebimento, de modo que fosse possível visualizar a quantidade atualizada das peças, por corrida de cada material, facilitando a interação deste setor com o de compra e vendas. </t>
  </si>
  <si>
    <t>cartao</t>
  </si>
  <si>
    <t>tel</t>
  </si>
  <si>
    <t>aluguel</t>
  </si>
  <si>
    <t>https://sp.olx.com.br/sao-paulo-e-regiao/eletrodomesticos/geladeira-240l-1170701591?fav=1</t>
  </si>
  <si>
    <t>caedu</t>
  </si>
  <si>
    <t>total</t>
  </si>
  <si>
    <t>Cronograma de estudos</t>
  </si>
  <si>
    <t>Hora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</si>
  <si>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</si>
  <si>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</si>
  <si>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</si>
  <si>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</si>
  <si>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</si>
  <si>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</si>
  <si>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</si>
  <si>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Java - Spring</t>
  </si>
  <si>
    <t>Reforço ES II</t>
  </si>
  <si>
    <t>Reforço ENGLES</t>
  </si>
  <si>
    <t>Reforço PLA</t>
  </si>
  <si>
    <t>Reforço EA</t>
  </si>
  <si>
    <t>I A S D</t>
  </si>
  <si>
    <t>Reforço Redes</t>
  </si>
  <si>
    <t xml:space="preserve"> POO -Udemy</t>
  </si>
  <si>
    <t>Intervalo</t>
  </si>
  <si>
    <t>TS - Angular</t>
  </si>
  <si>
    <t>Percurso Facul.</t>
  </si>
  <si>
    <t>Aula Fatec</t>
  </si>
  <si>
    <t>Preparo Entrev</t>
  </si>
  <si>
    <t>Descanso</t>
  </si>
  <si>
    <t>Cursos Extras</t>
  </si>
  <si>
    <t>Cronograma de estudos / Dezembro</t>
  </si>
  <si>
    <t>Rw=Review</t>
  </si>
  <si>
    <t>Lição E. Sabatina</t>
  </si>
  <si>
    <t>Leave the gym</t>
  </si>
  <si>
    <t>Gym</t>
  </si>
  <si>
    <t>Go to Home</t>
  </si>
  <si>
    <t>Go to Work</t>
  </si>
  <si>
    <t>JavaScript</t>
  </si>
  <si>
    <t>Arrive at Work</t>
  </si>
  <si>
    <t>Working</t>
  </si>
  <si>
    <t>Rw - SQL</t>
  </si>
  <si>
    <t>Rw - Python</t>
  </si>
  <si>
    <t>Percurso facul</t>
  </si>
  <si>
    <t>Prog. web</t>
  </si>
  <si>
    <t>Reforço</t>
  </si>
  <si>
    <t>Seg. Informação</t>
  </si>
  <si>
    <t>Metod. Pesquisa</t>
  </si>
  <si>
    <t>Percurso Casa</t>
  </si>
  <si>
    <t>Revisão diária</t>
  </si>
  <si>
    <t>Dormir</t>
  </si>
  <si>
    <t>Cristiano</t>
  </si>
  <si>
    <t>Renda extra</t>
  </si>
  <si>
    <t>Total/Mês</t>
  </si>
  <si>
    <t>5 anos</t>
  </si>
  <si>
    <t>Acumulado</t>
  </si>
  <si>
    <t>Treino A</t>
  </si>
  <si>
    <t>Peito, ombros e tríceps</t>
  </si>
  <si>
    <t>Exercício</t>
  </si>
  <si>
    <t>Séries</t>
  </si>
  <si>
    <t>Repetições</t>
  </si>
  <si>
    <t>Supino reto com halteres</t>
  </si>
  <si>
    <t>10 a 12</t>
  </si>
  <si>
    <t>60 segundos</t>
  </si>
  <si>
    <t>Flexão de braços</t>
  </si>
  <si>
    <t>Desenvolvimento com halteres</t>
  </si>
  <si>
    <t>Elevação lateral</t>
  </si>
  <si>
    <t>Tríceps Francês</t>
  </si>
  <si>
    <t>Tríceps testa com halteres</t>
  </si>
  <si>
    <t>Treino B</t>
  </si>
  <si>
    <t>Quadríceps e isquiotibiais</t>
  </si>
  <si>
    <t>Agachamento com halteres</t>
  </si>
  <si>
    <t>Levantamento terra com halteres</t>
  </si>
  <si>
    <t>Afundo com halteres</t>
  </si>
  <si>
    <t>Stiff</t>
  </si>
  <si>
    <t>Treino C</t>
  </si>
  <si>
    <t>Costas, bíceps e abdômen</t>
  </si>
  <si>
    <t>Remada serrote</t>
  </si>
  <si>
    <t>Remada pegada pronada</t>
  </si>
  <si>
    <t>Rosca direta com halteres</t>
  </si>
  <si>
    <t>Rosca martelo com halteres</t>
  </si>
  <si>
    <t>Abdômen reto solo</t>
  </si>
  <si>
    <t>Circuito</t>
  </si>
  <si>
    <t>Polichinelos</t>
  </si>
  <si>
    <t>60 segundos*</t>
  </si>
  <si>
    <t>abdominal alpinista</t>
  </si>
  <si>
    <t>Salto elevando o joelho</t>
  </si>
  <si>
    <t>Pular corda</t>
  </si>
  <si>
    <t>Corrida sem sair do lugar</t>
  </si>
  <si>
    <t>Mês</t>
  </si>
  <si>
    <t>Frequência</t>
  </si>
  <si>
    <t>Valor por item</t>
  </si>
  <si>
    <t>Valor individual por item</t>
  </si>
  <si>
    <t>ITEM</t>
  </si>
  <si>
    <t xml:space="preserve"> VALOR TOTAL</t>
  </si>
  <si>
    <t>Marcílio</t>
  </si>
  <si>
    <t>Aninha</t>
  </si>
  <si>
    <t>Dayanne</t>
  </si>
  <si>
    <t>Eudes</t>
  </si>
  <si>
    <t>Salário base de Cálculo</t>
  </si>
  <si>
    <t>Despesas Mesais</t>
  </si>
  <si>
    <t>Mensal</t>
  </si>
  <si>
    <t>Aluguel</t>
  </si>
  <si>
    <t>Telefone</t>
  </si>
  <si>
    <t xml:space="preserve">    </t>
  </si>
  <si>
    <t>TV</t>
  </si>
  <si>
    <t>Compras</t>
  </si>
  <si>
    <t>Trimestral</t>
  </si>
  <si>
    <t>Gás</t>
  </si>
  <si>
    <t>Unico</t>
  </si>
  <si>
    <t>Assaí</t>
  </si>
  <si>
    <t xml:space="preserve">Mensal    </t>
  </si>
  <si>
    <t>Feira Semanal</t>
  </si>
  <si>
    <t>Fogão 2 x 9</t>
  </si>
  <si>
    <t>PCMIX  10 X 10</t>
  </si>
  <si>
    <t>Mâe</t>
  </si>
  <si>
    <t>Total Geral</t>
  </si>
  <si>
    <t>Percentual /mês / relação ao salário</t>
  </si>
  <si>
    <t>PORCEN/AJUST/ IGUAL / SALARIO</t>
  </si>
  <si>
    <t>Valor Total Individual</t>
  </si>
  <si>
    <t>&lt;  Para 5</t>
  </si>
  <si>
    <t>Ajustado  &gt;</t>
  </si>
  <si>
    <t>Diferença</t>
  </si>
  <si>
    <t>SKY</t>
  </si>
  <si>
    <t>Feira-Semanal</t>
  </si>
  <si>
    <t>Fogão 3 x 9</t>
  </si>
  <si>
    <t>Nagumo</t>
  </si>
  <si>
    <t>Fogão 4 x 9</t>
  </si>
  <si>
    <t xml:space="preserve">Água </t>
  </si>
  <si>
    <t>x</t>
  </si>
  <si>
    <t>Fogão 5 x 9</t>
  </si>
  <si>
    <t>TV    1 X 10</t>
  </si>
  <si>
    <t xml:space="preserve">Cristiane </t>
  </si>
  <si>
    <t>Fogão 6 x 9</t>
  </si>
  <si>
    <t>TV    2 X 10</t>
  </si>
  <si>
    <t>Cristiane</t>
  </si>
  <si>
    <t>Fogão 7 x 9</t>
  </si>
  <si>
    <t>TV    3 X 10</t>
  </si>
  <si>
    <t>Tinta</t>
  </si>
  <si>
    <t>feira Cerealista</t>
  </si>
  <si>
    <t>Fogão 8 x 9</t>
  </si>
  <si>
    <t>TV    4 X 10</t>
  </si>
  <si>
    <t>Fogão 9 x 9</t>
  </si>
  <si>
    <t>TV    5 X 10</t>
  </si>
  <si>
    <t>Porta Banheiro</t>
  </si>
  <si>
    <t>TV    6 X 10</t>
  </si>
  <si>
    <t>Passagem</t>
  </si>
  <si>
    <t>Crédito</t>
  </si>
  <si>
    <t>Aparelhho Pressão</t>
  </si>
  <si>
    <t>Sofá ML  1 X 8</t>
  </si>
  <si>
    <t>Avaste   1 X 3</t>
  </si>
  <si>
    <t>TV    7 X 10</t>
  </si>
  <si>
    <t>Sofá ML  2 X 8</t>
  </si>
  <si>
    <t xml:space="preserve">Passagem 1 X 4 </t>
  </si>
  <si>
    <t>TV    8 X 10</t>
  </si>
  <si>
    <t>Avast  2 X 3</t>
  </si>
  <si>
    <t>Roteador</t>
  </si>
  <si>
    <t>Sofá ML  3 X 8</t>
  </si>
  <si>
    <t>Avast  3 X 3</t>
  </si>
  <si>
    <t xml:space="preserve">Passagem 2 X 4 </t>
  </si>
  <si>
    <t>TV    9 X 10</t>
  </si>
  <si>
    <t>Sofá ML  4 X 8</t>
  </si>
  <si>
    <t xml:space="preserve">Passagem 3 X 4 </t>
  </si>
  <si>
    <t>TV    10 X 10</t>
  </si>
  <si>
    <t>Água Ibirá</t>
  </si>
  <si>
    <t>Sofá ML  5 X 8</t>
  </si>
  <si>
    <t xml:space="preserve">Passagem 4 X 4 </t>
  </si>
  <si>
    <t xml:space="preserve"> Taíse</t>
  </si>
  <si>
    <t>Catho</t>
  </si>
  <si>
    <t>Sofá ML  6 X 8</t>
  </si>
  <si>
    <t>Feira semanal</t>
  </si>
  <si>
    <t>Taíse</t>
  </si>
  <si>
    <t>Sofá ML  7 X 8</t>
  </si>
  <si>
    <t>Catho 2 x 3</t>
  </si>
  <si>
    <t>Sofá ML  8 X 8</t>
  </si>
  <si>
    <t>Natalia</t>
  </si>
  <si>
    <t>calculo para chegar ao valor</t>
  </si>
  <si>
    <t>+</t>
  </si>
  <si>
    <t>salario</t>
  </si>
  <si>
    <t>-</t>
  </si>
  <si>
    <t>6% vt</t>
  </si>
  <si>
    <t>INSS (7,5% E 9%)conforme tabela</t>
  </si>
  <si>
    <t>10% + 1% só Eudes ao inves 1% é 3%</t>
  </si>
  <si>
    <t>Semanal</t>
  </si>
  <si>
    <t>água</t>
  </si>
  <si>
    <t>Netflix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</si>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</sst>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 &quot;* #,##0.00_-;&quot;-R$ &quot;* #,##0.00_-;_-&quot;R$ &quot;* \-??_-;_-@_-"/>
    <numFmt numFmtId="165" formatCode="_-&quot;R$ &quot;* #,##0.000_-;&quot;-R$ &quot;* #,##0.000_-;_-&quot;R$ &quot;* \-??_-;_-@_-"/>
    <numFmt numFmtId="166" formatCode="0.000"/>
    <numFmt numFmtId="167" formatCode="0.0%"/>
  </numFmts>
  <fonts count="58" x14ac:knownFonts="1">
    <font>
      <sz val="11"/>
      <color theme="1"/>
      <name val="Calibri"/>
      <charset val="1"/>
    </font>
    <font>
      <b/>
      <sz val="11"/>
      <color theme="8" tint="-0.499984740745262"/>
      <name val="Calibri"/>
      <charset val="1"/>
    </font>
    <font>
      <b/>
      <sz val="11"/>
      <color rgb="FFFF0000"/>
      <name val="Calibri"/>
      <charset val="1"/>
    </font>
    <font>
      <b/>
      <sz val="12"/>
      <color theme="8"/>
      <name val="Calibri"/>
      <charset val="1"/>
    </font>
    <font>
      <b/>
      <sz val="12"/>
      <color theme="7"/>
      <name val="Calibri"/>
      <charset val="1"/>
    </font>
    <font>
      <b/>
      <sz val="20"/>
      <color theme="8" tint="-0.499984740745262"/>
      <name val="Calibri"/>
      <charset val="1"/>
    </font>
    <font>
      <b/>
      <sz val="11"/>
      <color rgb="FFFFC000"/>
      <name val="Calibri"/>
      <charset val="1"/>
    </font>
    <font>
      <b/>
      <sz val="15"/>
      <color rgb="FFFF0000"/>
      <name val="Calibri"/>
      <charset val="1"/>
    </font>
    <font>
      <sz val="11"/>
      <color rgb="FFFFC000"/>
      <name val="Calibri"/>
      <charset val="1"/>
    </font>
    <font>
      <sz val="11"/>
      <color rgb="FF00B050"/>
      <name val="Calibri"/>
      <charset val="1"/>
    </font>
    <font>
      <b/>
      <sz val="11"/>
      <color theme="1"/>
      <name val="Calibri"/>
      <charset val="1"/>
    </font>
    <font>
      <b/>
      <sz val="11"/>
      <color theme="5" tint="-0.499984740745262"/>
      <name val="Calibri"/>
      <charset val="1"/>
    </font>
    <font>
      <b/>
      <sz val="11"/>
      <color rgb="FF7030A0"/>
      <name val="Calibri"/>
      <charset val="1"/>
    </font>
    <font>
      <b/>
      <sz val="12"/>
      <color rgb="FF0070C0"/>
      <name val="Calibri"/>
      <charset val="1"/>
    </font>
    <font>
      <b/>
      <sz val="11"/>
      <color theme="2" tint="-9.9978637043366805E-2"/>
      <name val="Calibri"/>
      <charset val="1"/>
    </font>
    <font>
      <sz val="18"/>
      <color rgb="FF2C2F34"/>
      <name val="Segoe UI"/>
      <charset val="1"/>
    </font>
    <font>
      <sz val="14"/>
      <color theme="1"/>
      <name val="Segoe UI"/>
      <charset val="1"/>
    </font>
    <font>
      <b/>
      <sz val="12"/>
      <color theme="1"/>
      <name val="Calibri"/>
      <charset val="1"/>
    </font>
    <font>
      <b/>
      <sz val="12"/>
      <color rgb="FF002060"/>
      <name val="Calibri"/>
      <charset val="1"/>
    </font>
    <font>
      <sz val="10"/>
      <color theme="1"/>
      <name val="Tahoma"/>
      <charset val="1"/>
    </font>
    <font>
      <sz val="11"/>
      <color theme="1"/>
      <name val="Tahoma"/>
      <charset val="1"/>
    </font>
    <font>
      <b/>
      <sz val="12"/>
      <color theme="1"/>
      <name val="Arial"/>
      <charset val="1"/>
    </font>
    <font>
      <sz val="12"/>
      <color theme="1"/>
      <name val="Arial"/>
      <charset val="1"/>
    </font>
    <font>
      <b/>
      <sz val="12"/>
      <color rgb="FF00B050"/>
      <name val="Arial"/>
      <charset val="1"/>
    </font>
    <font>
      <b/>
      <sz val="12"/>
      <color rgb="FF92D050"/>
      <name val="Arial"/>
      <charset val="1"/>
    </font>
    <font>
      <b/>
      <sz val="12"/>
      <color theme="7" tint="-0.499984740745262"/>
      <name val="Arial"/>
      <charset val="1"/>
    </font>
    <font>
      <b/>
      <sz val="12"/>
      <color rgb="FF0070C0"/>
      <name val="Arial"/>
      <charset val="1"/>
    </font>
    <font>
      <b/>
      <sz val="12"/>
      <color rgb="FF7030A0"/>
      <name val="Arial"/>
      <charset val="1"/>
    </font>
    <font>
      <b/>
      <sz val="12"/>
      <color theme="8" tint="-0.499984740745262"/>
      <name val="Arial"/>
      <charset val="1"/>
    </font>
    <font>
      <b/>
      <sz val="12"/>
      <color theme="5"/>
      <name val="Arial"/>
      <charset val="1"/>
    </font>
    <font>
      <b/>
      <sz val="12"/>
      <color rgb="FFC00000"/>
      <name val="Arial"/>
      <charset val="1"/>
    </font>
    <font>
      <b/>
      <sz val="10"/>
      <color rgb="FF002060"/>
      <name val="Arial"/>
      <charset val="1"/>
    </font>
    <font>
      <b/>
      <sz val="11"/>
      <color theme="7" tint="-0.499984740745262"/>
      <name val="Arial"/>
      <charset val="1"/>
    </font>
    <font>
      <b/>
      <sz val="11"/>
      <color theme="5"/>
      <name val="Arial"/>
      <charset val="1"/>
    </font>
    <font>
      <b/>
      <sz val="11"/>
      <color rgb="FF002060"/>
      <name val="Arial"/>
      <charset val="1"/>
    </font>
    <font>
      <b/>
      <sz val="11"/>
      <color rgb="FF7030A0"/>
      <name val="Arial"/>
      <charset val="1"/>
    </font>
    <font>
      <b/>
      <sz val="11"/>
      <color rgb="FFC00000"/>
      <name val="Arial"/>
      <charset val="1"/>
    </font>
    <font>
      <b/>
      <sz val="11"/>
      <color theme="1"/>
      <name val="Arial"/>
      <charset val="1"/>
    </font>
    <font>
      <b/>
      <sz val="11"/>
      <color rgb="FF00B050"/>
      <name val="Arial"/>
      <charset val="1"/>
    </font>
    <font>
      <b/>
      <sz val="11"/>
      <color rgb="FF0070C0"/>
      <name val="Arial"/>
      <charset val="1"/>
    </font>
    <font>
      <b/>
      <sz val="11"/>
      <color rgb="FF92D050"/>
      <name val="Arial"/>
      <charset val="1"/>
    </font>
    <font>
      <sz val="11"/>
      <color theme="0" tint="-0.14999847407452621"/>
      <name val="Calibri"/>
      <charset val="1"/>
    </font>
    <font>
      <b/>
      <sz val="11"/>
      <color rgb="FFC00000"/>
      <name val="Calibri"/>
      <charset val="1"/>
    </font>
    <font>
      <b/>
      <sz val="11"/>
      <color rgb="FF002060"/>
      <name val="Calibri"/>
      <charset val="1"/>
    </font>
    <font>
      <b/>
      <sz val="11"/>
      <color rgb="FF0070C0"/>
      <name val="Calibri"/>
      <charset val="1"/>
    </font>
    <font>
      <b/>
      <sz val="11"/>
      <color rgb="FF92D050"/>
      <name val="Calibri"/>
      <charset val="1"/>
    </font>
    <font>
      <b/>
      <sz val="11"/>
      <color rgb="FF00B050"/>
      <name val="Calibri"/>
      <charset val="1"/>
    </font>
    <font>
      <sz val="11"/>
      <color rgb="FFFF0000"/>
      <name val="Calibri"/>
      <charset val="1"/>
    </font>
    <font>
      <sz val="11"/>
      <color rgb="FFC00000"/>
      <name val="Calibri"/>
      <charset val="1"/>
    </font>
    <font>
      <b/>
      <sz val="15"/>
      <color theme="1"/>
      <name val="Calibri"/>
      <charset val="1"/>
    </font>
    <font>
      <b/>
      <sz val="15"/>
      <color rgb="FF002060"/>
      <name val="Calibri"/>
      <charset val="1"/>
    </font>
    <font>
      <sz val="11"/>
      <color rgb="FF002060"/>
      <name val="Calibri"/>
      <charset val="1"/>
    </font>
    <font>
      <sz val="11"/>
      <color rgb="FF00B0F0"/>
      <name val="Calibri"/>
      <charset val="1"/>
    </font>
    <font>
      <b/>
      <sz val="11"/>
      <color theme="8"/>
      <name val="Calibri"/>
      <charset val="1"/>
    </font>
    <font>
      <sz val="11"/>
      <color rgb="FF0070C0"/>
      <name val="Calibri"/>
      <charset val="1"/>
    </font>
    <font>
      <b/>
      <sz val="13"/>
      <color theme="1"/>
      <name val="Calibri"/>
      <charset val="1"/>
    </font>
    <font>
      <b/>
      <sz val="11"/>
      <color theme="5"/>
      <name val="Calibri"/>
      <charset val="1"/>
    </font>
    <font>
      <sz val="11"/>
      <color theme="1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0.79989013336588644"/>
        <bgColor rgb="FFE2F0D9"/>
      </patternFill>
    </fill>
    <fill>
      <patternFill patternType="solid">
        <fgColor theme="0" tint="-4.9989318521683403E-2"/>
        <bgColor rgb="FFE2F0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4" tint="0.39988402966399123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7" tint="0.39988402966399123"/>
        <bgColor rgb="FFFFC000"/>
      </patternFill>
    </fill>
    <fill>
      <patternFill patternType="solid">
        <fgColor theme="9" tint="0.59987182226020086"/>
        <bgColor rgb="FFD9D9D9"/>
      </patternFill>
    </fill>
    <fill>
      <patternFill patternType="solid">
        <fgColor theme="9" tint="0.79989013336588644"/>
        <bgColor rgb="FFDEEBF7"/>
      </patternFill>
    </fill>
    <fill>
      <patternFill patternType="solid">
        <fgColor theme="0" tint="-0.249977111117893"/>
        <bgColor rgb="FFD0CECE"/>
      </patternFill>
    </fill>
    <fill>
      <patternFill patternType="solid">
        <fgColor rgb="FFFFC000"/>
        <bgColor rgb="FFFF9900"/>
      </patternFill>
    </fill>
    <fill>
      <patternFill patternType="solid">
        <fgColor theme="4" tint="0.59987182226020086"/>
        <bgColor rgb="FFD0CECE"/>
      </patternFill>
    </fill>
    <fill>
      <patternFill patternType="solid">
        <fgColor theme="0"/>
        <bgColor rgb="FFF2F2F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4" fontId="57" fillId="0" borderId="0" applyBorder="0" applyProtection="0"/>
    <xf numFmtId="9" fontId="57" fillId="0" borderId="0" applyBorder="0" applyProtection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left" vertical="top"/>
    </xf>
    <xf numFmtId="164" fontId="4" fillId="3" borderId="0" xfId="1" applyFont="1" applyFill="1" applyBorder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164" fontId="4" fillId="2" borderId="0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3" borderId="0" xfId="1" applyFont="1" applyFill="1" applyBorder="1" applyAlignment="1" applyProtection="1">
      <alignment horizontal="left"/>
    </xf>
    <xf numFmtId="164" fontId="0" fillId="2" borderId="0" xfId="0" applyNumberFormat="1" applyFill="1"/>
    <xf numFmtId="0" fontId="0" fillId="3" borderId="0" xfId="0" applyFont="1" applyFill="1"/>
    <xf numFmtId="0" fontId="0" fillId="2" borderId="0" xfId="0" applyFont="1" applyFill="1"/>
    <xf numFmtId="164" fontId="1" fillId="3" borderId="0" xfId="1" applyFont="1" applyFill="1" applyBorder="1" applyAlignment="1" applyProtection="1"/>
    <xf numFmtId="0" fontId="6" fillId="3" borderId="0" xfId="0" applyFont="1" applyFill="1"/>
    <xf numFmtId="10" fontId="8" fillId="0" borderId="0" xfId="2" applyNumberFormat="1" applyFont="1" applyBorder="1" applyAlignment="1" applyProtection="1">
      <alignment horizontal="center"/>
    </xf>
    <xf numFmtId="10" fontId="9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2" fillId="2" borderId="2" xfId="1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2" fillId="4" borderId="0" xfId="0" applyNumberFormat="1" applyFont="1" applyFill="1"/>
    <xf numFmtId="0" fontId="1" fillId="3" borderId="2" xfId="0" applyFont="1" applyFill="1" applyBorder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0" fillId="5" borderId="0" xfId="1" applyFont="1" applyFill="1" applyBorder="1" applyAlignment="1" applyProtection="1">
      <alignment horizontal="center"/>
    </xf>
    <xf numFmtId="164" fontId="12" fillId="5" borderId="0" xfId="1" applyFont="1" applyFill="1" applyBorder="1" applyAlignment="1" applyProtection="1">
      <alignment horizontal="center"/>
    </xf>
    <xf numFmtId="0" fontId="10" fillId="4" borderId="0" xfId="0" applyFont="1" applyFill="1" applyAlignment="1">
      <alignment horizontal="center"/>
    </xf>
    <xf numFmtId="164" fontId="2" fillId="5" borderId="0" xfId="1" applyFont="1" applyFill="1" applyBorder="1" applyAlignment="1" applyProtection="1">
      <alignment horizontal="center"/>
    </xf>
    <xf numFmtId="0" fontId="10" fillId="0" borderId="0" xfId="0" applyFont="1"/>
    <xf numFmtId="0" fontId="13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Font="1" applyAlignment="1">
      <alignment horizontal="center" vertical="center"/>
    </xf>
    <xf numFmtId="0" fontId="0" fillId="6" borderId="0" xfId="0" applyFill="1"/>
    <xf numFmtId="164" fontId="0" fillId="0" borderId="0" xfId="1" applyFont="1" applyBorder="1" applyAlignment="1" applyProtection="1"/>
    <xf numFmtId="0" fontId="1" fillId="3" borderId="0" xfId="0" applyFont="1" applyFill="1" applyAlignment="1"/>
    <xf numFmtId="0" fontId="14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3" borderId="3" xfId="0" applyFont="1" applyFill="1" applyBorder="1"/>
    <xf numFmtId="0" fontId="16" fillId="0" borderId="5" xfId="0" applyFont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4" fontId="19" fillId="0" borderId="5" xfId="1" applyFont="1" applyBorder="1" applyAlignment="1" applyProtection="1">
      <alignment horizontal="center" vertical="center"/>
    </xf>
    <xf numFmtId="164" fontId="20" fillId="0" borderId="1" xfId="1" applyFont="1" applyBorder="1" applyAlignment="1" applyProtection="1">
      <alignment horizontal="center" vertical="center"/>
    </xf>
    <xf numFmtId="0" fontId="21" fillId="9" borderId="5" xfId="0" applyFont="1" applyFill="1" applyBorder="1" applyAlignment="1">
      <alignment horizontal="center"/>
    </xf>
    <xf numFmtId="20" fontId="22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20" fontId="25" fillId="0" borderId="5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1" fillId="9" borderId="9" xfId="0" applyFont="1" applyFill="1" applyBorder="1" applyAlignment="1">
      <alignment horizontal="center"/>
    </xf>
    <xf numFmtId="20" fontId="22" fillId="7" borderId="8" xfId="0" applyNumberFormat="1" applyFont="1" applyFill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20" fontId="25" fillId="7" borderId="8" xfId="0" applyNumberFormat="1" applyFont="1" applyFill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40" fillId="0" borderId="5" xfId="0" applyFont="1" applyBorder="1" applyAlignment="1">
      <alignment horizontal="center"/>
    </xf>
    <xf numFmtId="20" fontId="22" fillId="7" borderId="11" xfId="0" applyNumberFormat="1" applyFont="1" applyFill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165" fontId="41" fillId="0" borderId="0" xfId="1" applyNumberFormat="1" applyFont="1" applyBorder="1" applyAlignment="1" applyProtection="1"/>
    <xf numFmtId="0" fontId="43" fillId="0" borderId="0" xfId="0" applyFont="1"/>
    <xf numFmtId="165" fontId="0" fillId="0" borderId="0" xfId="1" applyNumberFormat="1" applyFont="1" applyBorder="1" applyAlignment="1" applyProtection="1"/>
    <xf numFmtId="0" fontId="44" fillId="0" borderId="0" xfId="0" applyFont="1"/>
    <xf numFmtId="164" fontId="1" fillId="0" borderId="0" xfId="1" applyFont="1" applyBorder="1" applyAlignment="1" applyProtection="1"/>
    <xf numFmtId="9" fontId="44" fillId="0" borderId="0" xfId="0" applyNumberFormat="1" applyFont="1" applyAlignment="1">
      <alignment horizontal="left"/>
    </xf>
    <xf numFmtId="164" fontId="44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0" fontId="43" fillId="0" borderId="0" xfId="0" applyFont="1" applyAlignment="1">
      <alignment horizontal="center"/>
    </xf>
    <xf numFmtId="164" fontId="45" fillId="0" borderId="0" xfId="0" applyNumberFormat="1" applyFont="1"/>
    <xf numFmtId="164" fontId="46" fillId="0" borderId="0" xfId="0" applyNumberFormat="1" applyFont="1"/>
    <xf numFmtId="164" fontId="43" fillId="0" borderId="0" xfId="1" applyFont="1" applyBorder="1" applyAlignment="1" applyProtection="1"/>
    <xf numFmtId="164" fontId="57" fillId="0" borderId="0" xfId="1"/>
    <xf numFmtId="164" fontId="47" fillId="0" borderId="0" xfId="1" applyFont="1" applyBorder="1" applyAlignment="1" applyProtection="1"/>
    <xf numFmtId="2" fontId="0" fillId="0" borderId="0" xfId="0" applyNumberFormat="1"/>
    <xf numFmtId="166" fontId="0" fillId="0" borderId="0" xfId="0" applyNumberFormat="1"/>
    <xf numFmtId="164" fontId="47" fillId="0" borderId="0" xfId="1" applyFont="1"/>
    <xf numFmtId="167" fontId="43" fillId="0" borderId="0" xfId="0" applyNumberFormat="1" applyFont="1" applyAlignment="1">
      <alignment horizontal="center"/>
    </xf>
    <xf numFmtId="2" fontId="48" fillId="0" borderId="0" xfId="0" applyNumberFormat="1" applyFont="1"/>
    <xf numFmtId="0" fontId="42" fillId="0" borderId="0" xfId="0" applyFont="1" applyAlignment="1">
      <alignment horizontal="center"/>
    </xf>
    <xf numFmtId="0" fontId="50" fillId="2" borderId="2" xfId="0" applyFont="1" applyFill="1" applyBorder="1" applyAlignment="1">
      <alignment horizontal="center" vertical="center"/>
    </xf>
    <xf numFmtId="0" fontId="51" fillId="0" borderId="0" xfId="0" applyFont="1" applyBorder="1"/>
    <xf numFmtId="164" fontId="51" fillId="0" borderId="2" xfId="0" applyNumberFormat="1" applyFont="1" applyBorder="1"/>
    <xf numFmtId="0" fontId="52" fillId="3" borderId="0" xfId="0" applyFont="1" applyFill="1" applyBorder="1"/>
    <xf numFmtId="0" fontId="51" fillId="3" borderId="2" xfId="0" applyFont="1" applyFill="1" applyBorder="1" applyAlignment="1">
      <alignment horizontal="center"/>
    </xf>
    <xf numFmtId="164" fontId="51" fillId="0" borderId="2" xfId="1" applyFont="1" applyBorder="1" applyAlignment="1" applyProtection="1"/>
    <xf numFmtId="0" fontId="51" fillId="0" borderId="2" xfId="0" applyFont="1" applyBorder="1"/>
    <xf numFmtId="0" fontId="51" fillId="12" borderId="2" xfId="0" applyFont="1" applyFill="1" applyBorder="1"/>
    <xf numFmtId="0" fontId="43" fillId="0" borderId="0" xfId="0" applyFont="1" applyAlignment="1">
      <alignment vertical="center"/>
    </xf>
    <xf numFmtId="0" fontId="43" fillId="0" borderId="3" xfId="0" applyFont="1" applyBorder="1" applyAlignment="1">
      <alignment vertical="center"/>
    </xf>
    <xf numFmtId="0" fontId="43" fillId="3" borderId="0" xfId="0" applyFont="1" applyFill="1" applyAlignment="1">
      <alignment vertical="center"/>
    </xf>
    <xf numFmtId="164" fontId="51" fillId="3" borderId="2" xfId="1" applyFont="1" applyFill="1" applyBorder="1" applyAlignment="1" applyProtection="1"/>
    <xf numFmtId="164" fontId="47" fillId="3" borderId="2" xfId="1" applyFont="1" applyFill="1" applyBorder="1" applyAlignment="1" applyProtection="1"/>
    <xf numFmtId="164" fontId="47" fillId="3" borderId="2" xfId="0" applyNumberFormat="1" applyFont="1" applyFill="1" applyBorder="1"/>
    <xf numFmtId="0" fontId="0" fillId="12" borderId="0" xfId="0" applyFill="1"/>
    <xf numFmtId="167" fontId="46" fillId="3" borderId="2" xfId="2" applyNumberFormat="1" applyFont="1" applyFill="1" applyBorder="1" applyAlignment="1" applyProtection="1">
      <alignment horizontal="center" vertical="center"/>
    </xf>
    <xf numFmtId="164" fontId="6" fillId="0" borderId="2" xfId="1" applyFont="1" applyBorder="1" applyAlignment="1" applyProtection="1"/>
    <xf numFmtId="164" fontId="54" fillId="3" borderId="0" xfId="0" applyNumberFormat="1" applyFont="1" applyFill="1"/>
    <xf numFmtId="0" fontId="44" fillId="0" borderId="0" xfId="0" applyFont="1" applyAlignment="1">
      <alignment horizontal="center"/>
    </xf>
    <xf numFmtId="164" fontId="54" fillId="0" borderId="0" xfId="0" applyNumberFormat="1" applyFont="1"/>
    <xf numFmtId="164" fontId="51" fillId="12" borderId="2" xfId="1" applyFont="1" applyFill="1" applyBorder="1" applyAlignment="1" applyProtection="1"/>
    <xf numFmtId="0" fontId="43" fillId="0" borderId="0" xfId="0" applyFont="1" applyAlignment="1"/>
    <xf numFmtId="164" fontId="0" fillId="5" borderId="0" xfId="1" applyFont="1" applyFill="1" applyBorder="1" applyAlignment="1" applyProtection="1"/>
    <xf numFmtId="164" fontId="10" fillId="11" borderId="0" xfId="0" applyNumberFormat="1" applyFont="1" applyFill="1"/>
    <xf numFmtId="0" fontId="43" fillId="3" borderId="0" xfId="0" applyFont="1" applyFill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56" fillId="12" borderId="0" xfId="0" applyFont="1" applyFill="1" applyBorder="1" applyAlignment="1">
      <alignment horizontal="right"/>
    </xf>
    <xf numFmtId="0" fontId="44" fillId="3" borderId="0" xfId="0" applyFont="1" applyFill="1" applyBorder="1" applyAlignment="1">
      <alignment horizontal="center"/>
    </xf>
    <xf numFmtId="0" fontId="55" fillId="11" borderId="0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/>
    </xf>
    <xf numFmtId="0" fontId="49" fillId="11" borderId="0" xfId="0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3" fillId="0" borderId="3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9" fillId="11" borderId="2" xfId="0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3" fillId="1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2" fillId="10" borderId="0" xfId="0" applyFont="1" applyFill="1" applyBorder="1" applyAlignment="1">
      <alignment horizontal="center"/>
    </xf>
    <xf numFmtId="0" fontId="21" fillId="8" borderId="5" xfId="0" applyFont="1" applyFill="1" applyBorder="1" applyAlignment="1">
      <alignment horizontal="center"/>
    </xf>
    <xf numFmtId="0" fontId="21" fillId="8" borderId="7" xfId="0" applyFont="1" applyFill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textRotation="90"/>
    </xf>
    <xf numFmtId="0" fontId="5" fillId="3" borderId="0" xfId="0" applyFont="1" applyFill="1" applyBorder="1" applyAlignment="1">
      <alignment horizontal="center" vertical="center"/>
    </xf>
    <xf numFmtId="10" fontId="7" fillId="3" borderId="0" xfId="2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6000"/>
      <rgbColor rgb="00800080"/>
      <rgbColor rgb="00008080"/>
      <rgbColor rgb="00BFBFBF"/>
      <rgbColor rgb="00808080"/>
      <rgbColor rgb="009999FF"/>
      <rgbColor rgb="007030A0"/>
      <rgbColor rgb="00F2F2F2"/>
      <rgbColor rgb="00DEEBF7"/>
      <rgbColor rgb="00660066"/>
      <rgbColor rgb="00FF8080"/>
      <rgbColor rgb="000070C0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D9D9D9"/>
      <rgbColor rgb="00E2F0D9"/>
      <rgbColor rgb="00C5E0B4"/>
      <rgbColor rgb="009DC3E6"/>
      <rgbColor rgb="00FF99CC"/>
      <rgbColor rgb="00D0CECE"/>
      <rgbColor rgb="00FFD966"/>
      <rgbColor rgb="004472C4"/>
      <rgbColor rgb="0033CCCC"/>
      <rgbColor rgb="0092D050"/>
      <rgbColor rgb="00FFC000"/>
      <rgbColor rgb="00FF9900"/>
      <rgbColor rgb="00ED7D31"/>
      <rgbColor rgb="00666699"/>
      <rgbColor rgb="00969696"/>
      <rgbColor rgb="00002060"/>
      <rgbColor rgb="0000B050"/>
      <rgbColor rgb="00003300"/>
      <rgbColor rgb="00333300"/>
      <rgbColor rgb="00843C0B"/>
      <rgbColor rgb="00993366"/>
      <rgbColor rgb="00203864"/>
      <rgbColor rgb="002C2F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780840</xdr:colOff>
      <xdr:row>10</xdr:row>
      <xdr:rowOff>0</xdr:rowOff>
    </xdr:from>
    <xdr:to>
      <xdr:col>14</xdr:col>
      <xdr:colOff>171360</xdr:colOff>
      <xdr:row>11</xdr:row>
      <xdr:rowOff>85680</xdr:rowOff>
    </xdr:to>
    <xdr:cxnSp macro="">
      <xdr:nvCxnSpPr>
        <xdr:cNvPr id="2" name="Conector de seta reta 2"/>
        <xdr:cNvCxnSpPr/>
      </xdr:nvCxnSpPr>
      <xdr:spPr>
        <a:xfrm flipV="1">
          <a:off x="9820910" y="1905000"/>
          <a:ext cx="1010920" cy="275590"/>
        </a:xfrm>
        <a:prstGeom prst="straightConnector1">
          <a:avLst/>
        </a:prstGeom>
        <a:ln w="19050">
          <a:solidFill>
            <a:srgbClr val="4472C4"/>
          </a:solidFill>
          <a:miter/>
          <a:tailEnd type="triangle" w="med" len="med"/>
        </a:ln>
      </xdr:spPr>
    </xdr:cxnSp>
    <xdr:clientData/>
  </xdr:twoCellAnchor>
  <xdr:twoCellAnchor>
    <xdr:from>
      <xdr:col>12</xdr:col>
      <xdr:colOff>771480</xdr:colOff>
      <xdr:row>12</xdr:row>
      <xdr:rowOff>171360</xdr:rowOff>
    </xdr:from>
    <xdr:to>
      <xdr:col>14</xdr:col>
      <xdr:colOff>114120</xdr:colOff>
      <xdr:row>14</xdr:row>
      <xdr:rowOff>104760</xdr:rowOff>
    </xdr:to>
    <xdr:cxnSp macro="">
      <xdr:nvCxnSpPr>
        <xdr:cNvPr id="3" name="Conector de seta reta 4"/>
        <xdr:cNvCxnSpPr/>
      </xdr:nvCxnSpPr>
      <xdr:spPr>
        <a:xfrm flipV="1">
          <a:off x="9811385" y="2456815"/>
          <a:ext cx="963295" cy="314325"/>
        </a:xfrm>
        <a:prstGeom prst="straightConnector1">
          <a:avLst/>
        </a:prstGeom>
        <a:ln w="19050">
          <a:solidFill>
            <a:srgbClr val="4472C4"/>
          </a:solidFill>
          <a:miter/>
          <a:tailEnd type="triangle" w="med" len="med"/>
        </a:ln>
      </xdr:spPr>
    </xdr:cxnSp>
    <xdr:clientData/>
  </xdr:twoCellAnchor>
  <xdr:twoCellAnchor>
    <xdr:from>
      <xdr:col>13</xdr:col>
      <xdr:colOff>229680</xdr:colOff>
      <xdr:row>11</xdr:row>
      <xdr:rowOff>122040</xdr:rowOff>
    </xdr:from>
    <xdr:to>
      <xdr:col>13</xdr:col>
      <xdr:colOff>654120</xdr:colOff>
      <xdr:row>12</xdr:row>
      <xdr:rowOff>166320</xdr:rowOff>
    </xdr:to>
    <xdr:sp macro="" textlink="">
      <xdr:nvSpPr>
        <xdr:cNvPr id="4" name="CaixaDeTexto 5"/>
        <xdr:cNvSpPr/>
      </xdr:nvSpPr>
      <xdr:spPr>
        <a:xfrm rot="20205000">
          <a:off x="10079990" y="2217420"/>
          <a:ext cx="424815" cy="234315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chemeClr val="dk1"/>
              </a:solidFill>
              <a:latin typeface="Calibri" panose="020F0502020204030204"/>
            </a:rPr>
            <a:t>10%</a:t>
          </a:r>
          <a:endParaRPr lang="pt-BR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reinomestre.com.br/levantamento-ter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workbookViewId="0">
      <pane ySplit="1" topLeftCell="A2" activePane="bottomLeft" state="frozen"/>
      <selection pane="bottomLeft" activeCell="C8" sqref="C8"/>
    </sheetView>
  </sheetViews>
  <sheetFormatPr defaultColWidth="8.7109375" defaultRowHeight="15" x14ac:dyDescent="0.25"/>
  <cols>
    <col min="2" max="2" width="10.85546875" customWidth="1"/>
    <col min="3" max="3" width="12.42578125" customWidth="1"/>
    <col min="4" max="4" width="12.140625" customWidth="1"/>
    <col min="5" max="5" width="12.85546875" customWidth="1"/>
    <col min="6" max="6" width="13.5703125" customWidth="1"/>
    <col min="7" max="7" width="13.28515625" customWidth="1"/>
    <col min="8" max="8" width="13.7109375" customWidth="1"/>
    <col min="9" max="10" width="13.28515625" customWidth="1"/>
    <col min="11" max="11" width="11.85546875" customWidth="1"/>
    <col min="12" max="13" width="12.28515625" customWidth="1"/>
    <col min="14" max="14" width="13" customWidth="1"/>
    <col min="15" max="15" width="14.28515625" customWidth="1"/>
  </cols>
  <sheetData>
    <row r="1" spans="1:15" ht="18.75" customHeight="1" x14ac:dyDescent="0.25">
      <c r="A1" s="143" t="s">
        <v>0</v>
      </c>
      <c r="B1" s="143"/>
      <c r="C1" s="106" t="s">
        <v>1</v>
      </c>
      <c r="D1" s="106" t="s">
        <v>2</v>
      </c>
      <c r="E1" s="106" t="s">
        <v>3</v>
      </c>
      <c r="F1" s="106" t="s">
        <v>4</v>
      </c>
      <c r="G1" s="106" t="s">
        <v>5</v>
      </c>
      <c r="H1" s="106" t="s">
        <v>6</v>
      </c>
      <c r="I1" s="106" t="s">
        <v>7</v>
      </c>
      <c r="J1" s="106" t="s">
        <v>8</v>
      </c>
      <c r="K1" s="106" t="s">
        <v>9</v>
      </c>
      <c r="L1" s="106" t="s">
        <v>10</v>
      </c>
      <c r="M1" s="106" t="s">
        <v>11</v>
      </c>
      <c r="N1" s="106" t="s">
        <v>12</v>
      </c>
      <c r="O1" s="106" t="s">
        <v>13</v>
      </c>
    </row>
    <row r="2" spans="1:15" x14ac:dyDescent="0.25">
      <c r="A2" s="146">
        <v>2017</v>
      </c>
      <c r="B2" s="107" t="s">
        <v>14</v>
      </c>
      <c r="C2" s="108">
        <f>Wages!A1</f>
        <v>1312.5</v>
      </c>
      <c r="D2" s="108">
        <f t="shared" ref="D2:N2" si="0">C2</f>
        <v>1312.5</v>
      </c>
      <c r="E2" s="108">
        <f t="shared" si="0"/>
        <v>1312.5</v>
      </c>
      <c r="F2" s="108">
        <f t="shared" si="0"/>
        <v>1312.5</v>
      </c>
      <c r="G2" s="108">
        <f t="shared" si="0"/>
        <v>1312.5</v>
      </c>
      <c r="H2" s="108">
        <f t="shared" si="0"/>
        <v>1312.5</v>
      </c>
      <c r="I2" s="108">
        <f t="shared" si="0"/>
        <v>1312.5</v>
      </c>
      <c r="J2" s="108">
        <f t="shared" si="0"/>
        <v>1312.5</v>
      </c>
      <c r="K2" s="108">
        <f t="shared" si="0"/>
        <v>1312.5</v>
      </c>
      <c r="L2" s="108">
        <f t="shared" si="0"/>
        <v>1312.5</v>
      </c>
      <c r="M2" s="108">
        <f t="shared" si="0"/>
        <v>1312.5</v>
      </c>
      <c r="N2" s="108">
        <f t="shared" si="0"/>
        <v>1312.5</v>
      </c>
      <c r="O2" s="108">
        <f>SUM(C2:N2)</f>
        <v>15750</v>
      </c>
    </row>
    <row r="3" spans="1:15" x14ac:dyDescent="0.25">
      <c r="A3" s="146"/>
      <c r="B3" s="109" t="s">
        <v>15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v>0</v>
      </c>
      <c r="J3" s="110">
        <v>0</v>
      </c>
      <c r="K3" s="110">
        <v>0</v>
      </c>
      <c r="L3" s="110">
        <v>0</v>
      </c>
      <c r="M3" s="110">
        <v>0</v>
      </c>
      <c r="N3" s="110">
        <v>0</v>
      </c>
      <c r="O3" s="110">
        <f>SUM(D3:N3)</f>
        <v>0</v>
      </c>
    </row>
    <row r="4" spans="1:15" x14ac:dyDescent="0.25">
      <c r="A4" s="144" t="s">
        <v>16</v>
      </c>
      <c r="B4" s="144"/>
      <c r="C4" s="111">
        <f t="shared" ref="C4:N4" si="1">IFERROR(SUM(C2+C3),"")</f>
        <v>1312.5</v>
      </c>
      <c r="D4" s="111">
        <f t="shared" si="1"/>
        <v>1312.5</v>
      </c>
      <c r="E4" s="111">
        <f t="shared" si="1"/>
        <v>1312.5</v>
      </c>
      <c r="F4" s="111">
        <f t="shared" si="1"/>
        <v>1312.5</v>
      </c>
      <c r="G4" s="111">
        <f t="shared" si="1"/>
        <v>1312.5</v>
      </c>
      <c r="H4" s="111">
        <f t="shared" si="1"/>
        <v>1312.5</v>
      </c>
      <c r="I4" s="111">
        <f t="shared" si="1"/>
        <v>1312.5</v>
      </c>
      <c r="J4" s="111">
        <f t="shared" si="1"/>
        <v>1312.5</v>
      </c>
      <c r="K4" s="111">
        <f t="shared" si="1"/>
        <v>1312.5</v>
      </c>
      <c r="L4" s="111">
        <f t="shared" si="1"/>
        <v>1312.5</v>
      </c>
      <c r="M4" s="111">
        <f t="shared" si="1"/>
        <v>1312.5</v>
      </c>
      <c r="N4" s="111">
        <f t="shared" si="1"/>
        <v>1312.5</v>
      </c>
      <c r="O4" s="111">
        <f>SUM(O2:O3)</f>
        <v>15750</v>
      </c>
    </row>
    <row r="5" spans="1:15" x14ac:dyDescent="0.25"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15" ht="19.5" x14ac:dyDescent="0.25">
      <c r="A6" s="136" t="s">
        <v>17</v>
      </c>
      <c r="B6" s="136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</row>
    <row r="7" spans="1:15" x14ac:dyDescent="0.25">
      <c r="A7" s="114" t="s">
        <v>18</v>
      </c>
      <c r="B7" s="115"/>
      <c r="C7" s="111">
        <v>639.83000000000004</v>
      </c>
      <c r="D7" s="111">
        <v>639.83000000000004</v>
      </c>
      <c r="E7" s="111">
        <v>639.83000000000004</v>
      </c>
      <c r="F7" s="111">
        <v>639.83000000000004</v>
      </c>
      <c r="G7" s="111">
        <v>639.83000000000004</v>
      </c>
      <c r="H7" s="111">
        <v>639.83000000000004</v>
      </c>
      <c r="I7" s="111">
        <v>639.83000000000004</v>
      </c>
      <c r="J7" s="111">
        <v>639.83000000000004</v>
      </c>
      <c r="K7" s="111">
        <v>639.83000000000004</v>
      </c>
      <c r="L7" s="111">
        <v>639.83000000000004</v>
      </c>
      <c r="M7" s="111">
        <v>639.83000000000004</v>
      </c>
      <c r="N7" s="111">
        <v>639.83000000000004</v>
      </c>
      <c r="O7" s="111">
        <f>SUM(C7:N7)</f>
        <v>7677.96</v>
      </c>
    </row>
    <row r="8" spans="1:15" x14ac:dyDescent="0.25">
      <c r="A8" s="116" t="s">
        <v>19</v>
      </c>
      <c r="B8" s="116"/>
      <c r="C8" s="117">
        <v>25</v>
      </c>
      <c r="D8" s="117">
        <v>25</v>
      </c>
      <c r="E8" s="117">
        <v>25</v>
      </c>
      <c r="F8" s="117">
        <v>25</v>
      </c>
      <c r="G8" s="117">
        <v>25</v>
      </c>
      <c r="H8" s="117">
        <v>25</v>
      </c>
      <c r="I8" s="117">
        <v>25</v>
      </c>
      <c r="J8" s="117">
        <v>25</v>
      </c>
      <c r="K8" s="117">
        <v>25</v>
      </c>
      <c r="L8" s="117">
        <v>25</v>
      </c>
      <c r="M8" s="117">
        <v>25</v>
      </c>
      <c r="N8" s="117">
        <v>25</v>
      </c>
      <c r="O8" s="117">
        <f>SUM(C8:N8)</f>
        <v>300</v>
      </c>
    </row>
    <row r="9" spans="1:15" x14ac:dyDescent="0.25">
      <c r="A9" s="145" t="s">
        <v>20</v>
      </c>
      <c r="B9" s="145"/>
      <c r="C9" s="111">
        <v>65.760000000000005</v>
      </c>
      <c r="D9" s="111">
        <v>65.760000000000005</v>
      </c>
      <c r="E9" s="111">
        <v>65.760000000000005</v>
      </c>
      <c r="F9" s="111">
        <v>65.760000000000005</v>
      </c>
      <c r="G9" s="111">
        <v>65.760000000000005</v>
      </c>
      <c r="H9" s="111">
        <v>65.760000000000005</v>
      </c>
      <c r="I9" s="111">
        <v>65.760000000000005</v>
      </c>
      <c r="J9" s="111">
        <v>65.760000000000005</v>
      </c>
      <c r="K9" s="111">
        <v>65.760000000000005</v>
      </c>
      <c r="L9" s="111">
        <v>65.760000000000005</v>
      </c>
      <c r="M9" s="111">
        <v>65.760000000000005</v>
      </c>
      <c r="N9" s="111">
        <v>65.760000000000005</v>
      </c>
      <c r="O9" s="111">
        <f>SUM(C9:N9)</f>
        <v>789.12</v>
      </c>
    </row>
    <row r="10" spans="1:15" x14ac:dyDescent="0.25">
      <c r="A10" s="140" t="s">
        <v>21</v>
      </c>
      <c r="B10" s="140"/>
      <c r="C10" s="117">
        <v>0</v>
      </c>
      <c r="D10" s="117">
        <v>78.17</v>
      </c>
      <c r="E10" s="117">
        <v>0</v>
      </c>
      <c r="F10" s="117">
        <v>78.17</v>
      </c>
      <c r="G10" s="117">
        <v>0</v>
      </c>
      <c r="H10" s="117">
        <v>78.17</v>
      </c>
      <c r="I10" s="117">
        <v>0</v>
      </c>
      <c r="J10" s="117">
        <v>78.17</v>
      </c>
      <c r="K10" s="117">
        <v>0</v>
      </c>
      <c r="L10" s="117">
        <v>78.17</v>
      </c>
      <c r="M10" s="117">
        <v>0</v>
      </c>
      <c r="N10" s="117">
        <v>78.17</v>
      </c>
      <c r="O10" s="117">
        <f>SUM(C10:N10)</f>
        <v>469.02000000000004</v>
      </c>
    </row>
    <row r="11" spans="1:15" x14ac:dyDescent="0.25">
      <c r="A11" s="139" t="s">
        <v>22</v>
      </c>
      <c r="B11" s="139"/>
      <c r="C11" s="111">
        <v>118</v>
      </c>
      <c r="D11" s="111">
        <v>118</v>
      </c>
      <c r="E11" s="111">
        <v>118</v>
      </c>
      <c r="F11" s="111">
        <v>118</v>
      </c>
      <c r="G11" s="111">
        <v>118</v>
      </c>
      <c r="H11" s="111">
        <v>118</v>
      </c>
      <c r="I11" s="111">
        <v>118</v>
      </c>
      <c r="J11" s="111">
        <v>118</v>
      </c>
      <c r="K11" s="111">
        <v>118</v>
      </c>
      <c r="L11" s="111">
        <v>118</v>
      </c>
      <c r="M11" s="111">
        <v>118</v>
      </c>
      <c r="N11" s="111">
        <v>118</v>
      </c>
      <c r="O11" s="111">
        <f>SUM(O9:O10)</f>
        <v>1258.1400000000001</v>
      </c>
    </row>
    <row r="12" spans="1:15" x14ac:dyDescent="0.25">
      <c r="A12" s="140" t="s">
        <v>23</v>
      </c>
      <c r="B12" s="140"/>
      <c r="C12" s="117">
        <v>69.900000000000006</v>
      </c>
      <c r="D12" s="117">
        <v>69.900000000000006</v>
      </c>
      <c r="E12" s="117">
        <v>69.900000000000006</v>
      </c>
      <c r="F12" s="117">
        <v>69.900000000000006</v>
      </c>
      <c r="G12" s="117">
        <v>69.900000000000006</v>
      </c>
      <c r="H12" s="117">
        <v>69.900000000000006</v>
      </c>
      <c r="I12" s="117">
        <v>69.900000000000006</v>
      </c>
      <c r="J12" s="117">
        <v>69.900000000000006</v>
      </c>
      <c r="K12" s="117">
        <v>69.900000000000006</v>
      </c>
      <c r="L12" s="117">
        <v>69.900000000000006</v>
      </c>
      <c r="M12" s="117"/>
      <c r="N12" s="117"/>
      <c r="O12" s="111">
        <f>SUM(C12:N12)</f>
        <v>698.99999999999989</v>
      </c>
    </row>
    <row r="13" spans="1:15" x14ac:dyDescent="0.25">
      <c r="A13" s="139" t="s">
        <v>24</v>
      </c>
      <c r="B13" s="139"/>
      <c r="C13" s="111">
        <v>79.900000000000006</v>
      </c>
      <c r="D13" s="111">
        <v>79.900000000000006</v>
      </c>
      <c r="E13" s="111">
        <v>79.900000000000006</v>
      </c>
      <c r="F13" s="111">
        <v>79.900000000000006</v>
      </c>
      <c r="G13" s="111">
        <v>79.900000000000006</v>
      </c>
      <c r="H13" s="111">
        <v>79.900000000000006</v>
      </c>
      <c r="I13" s="111">
        <v>79.900000000000006</v>
      </c>
      <c r="J13" s="111">
        <v>79.900000000000006</v>
      </c>
      <c r="K13" s="111">
        <v>79.900000000000006</v>
      </c>
      <c r="L13" s="111">
        <v>79.900000000000006</v>
      </c>
      <c r="M13" s="111">
        <v>79.900000000000006</v>
      </c>
      <c r="N13" s="111">
        <v>79.900000000000006</v>
      </c>
      <c r="O13" s="111">
        <f>SUM(C13:N13)</f>
        <v>958.79999999999984</v>
      </c>
    </row>
    <row r="14" spans="1:15" x14ac:dyDescent="0.25">
      <c r="A14" s="141" t="s">
        <v>25</v>
      </c>
      <c r="B14" s="141"/>
      <c r="C14" s="118"/>
      <c r="D14" s="117"/>
      <c r="E14" s="117"/>
      <c r="F14" s="117"/>
      <c r="G14" s="117"/>
      <c r="H14" s="117"/>
      <c r="I14" s="117"/>
      <c r="J14" s="117"/>
      <c r="K14" s="117"/>
      <c r="L14" s="117" t="s">
        <v>26</v>
      </c>
      <c r="M14" s="117" t="s">
        <v>26</v>
      </c>
      <c r="N14" s="117" t="s">
        <v>26</v>
      </c>
      <c r="O14" s="117"/>
    </row>
    <row r="15" spans="1:15" x14ac:dyDescent="0.25">
      <c r="A15" s="142" t="s">
        <v>27</v>
      </c>
      <c r="B15" s="142"/>
      <c r="C15" s="111">
        <v>150</v>
      </c>
      <c r="D15" s="111">
        <v>150</v>
      </c>
      <c r="E15" s="111">
        <v>150</v>
      </c>
      <c r="F15" s="111">
        <v>150</v>
      </c>
      <c r="G15" s="111">
        <v>150</v>
      </c>
      <c r="H15" s="111">
        <v>150</v>
      </c>
      <c r="I15" s="111">
        <v>150</v>
      </c>
      <c r="J15" s="111">
        <v>150</v>
      </c>
      <c r="K15" s="111">
        <v>150</v>
      </c>
      <c r="L15" s="111">
        <v>150</v>
      </c>
      <c r="M15" s="111">
        <v>150</v>
      </c>
      <c r="N15" s="111">
        <v>150</v>
      </c>
      <c r="O15" s="111"/>
    </row>
    <row r="16" spans="1:15" x14ac:dyDescent="0.25">
      <c r="A16" s="130" t="s">
        <v>26</v>
      </c>
      <c r="B16" s="130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</row>
    <row r="17" spans="1:15" x14ac:dyDescent="0.25">
      <c r="A17" s="137" t="s">
        <v>28</v>
      </c>
      <c r="B17" s="137"/>
      <c r="C17" s="111">
        <v>0</v>
      </c>
      <c r="D17" s="111">
        <v>0</v>
      </c>
      <c r="E17" s="111">
        <v>0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  <c r="K17" s="111">
        <v>0</v>
      </c>
      <c r="L17" s="111">
        <v>0</v>
      </c>
      <c r="M17" s="111">
        <v>0</v>
      </c>
      <c r="N17" s="111">
        <v>0</v>
      </c>
      <c r="O17" s="111"/>
    </row>
    <row r="18" spans="1:15" x14ac:dyDescent="0.25">
      <c r="A18" s="130" t="s">
        <v>29</v>
      </c>
      <c r="B18" s="130"/>
      <c r="C18" s="117">
        <f t="shared" ref="C18:N18" si="2">10.5+6.99</f>
        <v>17.490000000000002</v>
      </c>
      <c r="D18" s="117">
        <f t="shared" si="2"/>
        <v>17.490000000000002</v>
      </c>
      <c r="E18" s="117">
        <f t="shared" si="2"/>
        <v>17.490000000000002</v>
      </c>
      <c r="F18" s="117">
        <f t="shared" si="2"/>
        <v>17.490000000000002</v>
      </c>
      <c r="G18" s="117">
        <f t="shared" si="2"/>
        <v>17.490000000000002</v>
      </c>
      <c r="H18" s="117">
        <f t="shared" si="2"/>
        <v>17.490000000000002</v>
      </c>
      <c r="I18" s="117">
        <f t="shared" si="2"/>
        <v>17.490000000000002</v>
      </c>
      <c r="J18" s="117">
        <f t="shared" si="2"/>
        <v>17.490000000000002</v>
      </c>
      <c r="K18" s="117">
        <f t="shared" si="2"/>
        <v>17.490000000000002</v>
      </c>
      <c r="L18" s="117">
        <f t="shared" si="2"/>
        <v>17.490000000000002</v>
      </c>
      <c r="M18" s="117">
        <f t="shared" si="2"/>
        <v>17.490000000000002</v>
      </c>
      <c r="N18" s="117">
        <f t="shared" si="2"/>
        <v>17.490000000000002</v>
      </c>
      <c r="O18" s="117"/>
    </row>
    <row r="19" spans="1:15" x14ac:dyDescent="0.25">
      <c r="A19" s="137" t="s">
        <v>26</v>
      </c>
      <c r="B19" s="137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 t="s">
        <v>26</v>
      </c>
    </row>
    <row r="20" spans="1:15" x14ac:dyDescent="0.25">
      <c r="A20" s="130" t="s">
        <v>30</v>
      </c>
      <c r="B20" s="130"/>
      <c r="C20" s="119">
        <f t="shared" ref="C20:N20" si="3">SUM(C7:C19)</f>
        <v>1165.8799999999999</v>
      </c>
      <c r="D20" s="119">
        <f t="shared" si="3"/>
        <v>1244.05</v>
      </c>
      <c r="E20" s="119">
        <f t="shared" si="3"/>
        <v>1165.8799999999999</v>
      </c>
      <c r="F20" s="119">
        <f t="shared" si="3"/>
        <v>1244.05</v>
      </c>
      <c r="G20" s="119">
        <f t="shared" si="3"/>
        <v>1165.8799999999999</v>
      </c>
      <c r="H20" s="119">
        <f t="shared" si="3"/>
        <v>1244.05</v>
      </c>
      <c r="I20" s="119">
        <f t="shared" si="3"/>
        <v>1165.8799999999999</v>
      </c>
      <c r="J20" s="119">
        <f t="shared" si="3"/>
        <v>1244.05</v>
      </c>
      <c r="K20" s="119">
        <f t="shared" si="3"/>
        <v>1165.8799999999999</v>
      </c>
      <c r="L20" s="119">
        <f t="shared" si="3"/>
        <v>1244.05</v>
      </c>
      <c r="M20" s="119">
        <f t="shared" si="3"/>
        <v>1095.98</v>
      </c>
      <c r="N20" s="119">
        <f t="shared" si="3"/>
        <v>1174.1499999999999</v>
      </c>
      <c r="O20" s="119">
        <f>SUM(C20:N20)</f>
        <v>14319.779999999997</v>
      </c>
    </row>
    <row r="21" spans="1:15" x14ac:dyDescent="0.25">
      <c r="A21" s="135"/>
      <c r="B21" s="135"/>
    </row>
    <row r="22" spans="1:15" ht="19.5" x14ac:dyDescent="0.25">
      <c r="A22" s="136" t="s">
        <v>31</v>
      </c>
      <c r="B22" s="136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</row>
    <row r="23" spans="1:15" x14ac:dyDescent="0.25">
      <c r="A23" s="137" t="s">
        <v>32</v>
      </c>
      <c r="B23" s="137"/>
      <c r="C23" s="111">
        <v>145</v>
      </c>
      <c r="D23" s="111">
        <v>68.45</v>
      </c>
      <c r="E23" s="111">
        <v>146.62</v>
      </c>
      <c r="F23" s="111">
        <v>68.45</v>
      </c>
      <c r="G23" s="111">
        <v>146.62</v>
      </c>
      <c r="H23" s="111">
        <v>68.45</v>
      </c>
      <c r="I23" s="111">
        <v>146.62</v>
      </c>
      <c r="J23" s="111">
        <v>68.45</v>
      </c>
      <c r="K23" s="111">
        <v>146.62</v>
      </c>
      <c r="L23" s="111">
        <v>68.45</v>
      </c>
      <c r="M23" s="111">
        <v>216.52</v>
      </c>
      <c r="N23" s="111">
        <v>138.35</v>
      </c>
      <c r="O23" s="111">
        <f>SUM(C23:N23)</f>
        <v>1428.6</v>
      </c>
    </row>
    <row r="24" spans="1:15" x14ac:dyDescent="0.25">
      <c r="A24" s="130" t="s">
        <v>33</v>
      </c>
      <c r="B24" s="130"/>
      <c r="C24" s="121">
        <f t="shared" ref="C24:O24" si="4">C23*1/C2</f>
        <v>0.11047619047619048</v>
      </c>
      <c r="D24" s="121">
        <f t="shared" si="4"/>
        <v>5.2152380952380957E-2</v>
      </c>
      <c r="E24" s="121">
        <f t="shared" si="4"/>
        <v>0.11171047619047619</v>
      </c>
      <c r="F24" s="121">
        <f t="shared" si="4"/>
        <v>5.2152380952380957E-2</v>
      </c>
      <c r="G24" s="121">
        <f t="shared" si="4"/>
        <v>0.11171047619047619</v>
      </c>
      <c r="H24" s="121">
        <f t="shared" si="4"/>
        <v>5.2152380952380957E-2</v>
      </c>
      <c r="I24" s="121">
        <f t="shared" si="4"/>
        <v>0.11171047619047619</v>
      </c>
      <c r="J24" s="121">
        <f t="shared" si="4"/>
        <v>5.2152380952380957E-2</v>
      </c>
      <c r="K24" s="121">
        <f t="shared" si="4"/>
        <v>0.11171047619047619</v>
      </c>
      <c r="L24" s="121">
        <f t="shared" si="4"/>
        <v>5.2152380952380957E-2</v>
      </c>
      <c r="M24" s="121">
        <f t="shared" si="4"/>
        <v>0.16496761904761906</v>
      </c>
      <c r="N24" s="121">
        <f t="shared" si="4"/>
        <v>0.1054095238095238</v>
      </c>
      <c r="O24" s="121">
        <f t="shared" si="4"/>
        <v>9.0704761904761899E-2</v>
      </c>
    </row>
    <row r="25" spans="1:15" x14ac:dyDescent="0.25">
      <c r="A25" s="138" t="s">
        <v>34</v>
      </c>
      <c r="B25" s="138"/>
      <c r="C25" s="122">
        <v>750</v>
      </c>
      <c r="D25" s="122">
        <v>750</v>
      </c>
      <c r="E25" s="122">
        <v>750</v>
      </c>
      <c r="F25" s="122">
        <v>750</v>
      </c>
      <c r="G25" s="122">
        <v>750</v>
      </c>
      <c r="H25" s="122">
        <v>750</v>
      </c>
      <c r="I25" s="122">
        <v>750</v>
      </c>
      <c r="J25" s="122">
        <v>750</v>
      </c>
      <c r="K25" s="122">
        <v>750</v>
      </c>
      <c r="L25" s="122">
        <v>750</v>
      </c>
      <c r="M25" s="122">
        <v>750</v>
      </c>
      <c r="N25" s="122">
        <v>750</v>
      </c>
      <c r="O25" s="122">
        <f>SUM(C25:N25)</f>
        <v>9000</v>
      </c>
    </row>
    <row r="26" spans="1:15" x14ac:dyDescent="0.25">
      <c r="A26" s="130" t="s">
        <v>35</v>
      </c>
      <c r="B26" s="130"/>
      <c r="C26" s="117">
        <v>6000</v>
      </c>
      <c r="D26" s="117">
        <f t="shared" ref="D26:N26" si="5">C26+D23</f>
        <v>6068.45</v>
      </c>
      <c r="E26" s="117">
        <f t="shared" si="5"/>
        <v>6215.07</v>
      </c>
      <c r="F26" s="117">
        <f t="shared" si="5"/>
        <v>6283.5199999999995</v>
      </c>
      <c r="G26" s="117">
        <f t="shared" si="5"/>
        <v>6430.1399999999994</v>
      </c>
      <c r="H26" s="117">
        <f t="shared" si="5"/>
        <v>6498.5899999999992</v>
      </c>
      <c r="I26" s="117">
        <f t="shared" si="5"/>
        <v>6645.2099999999991</v>
      </c>
      <c r="J26" s="117">
        <f t="shared" si="5"/>
        <v>6713.6599999999989</v>
      </c>
      <c r="K26" s="117">
        <f t="shared" si="5"/>
        <v>6860.2799999999988</v>
      </c>
      <c r="L26" s="117">
        <f t="shared" si="5"/>
        <v>6928.7299999999987</v>
      </c>
      <c r="M26" s="117">
        <f t="shared" si="5"/>
        <v>7145.2499999999991</v>
      </c>
      <c r="N26" s="117">
        <f t="shared" si="5"/>
        <v>7283.5999999999995</v>
      </c>
      <c r="O26" s="117"/>
    </row>
    <row r="27" spans="1:15" ht="12.75" customHeight="1" x14ac:dyDescent="0.25">
      <c r="A27" s="131" t="s">
        <v>26</v>
      </c>
      <c r="B27" s="131"/>
      <c r="K27" s="132" t="s">
        <v>36</v>
      </c>
      <c r="L27" s="132"/>
      <c r="M27" s="128">
        <v>4631.0200000000004</v>
      </c>
      <c r="N27" s="129">
        <f>N26+M27</f>
        <v>11914.619999999999</v>
      </c>
      <c r="O27" s="129"/>
    </row>
    <row r="28" spans="1:15" x14ac:dyDescent="0.25">
      <c r="A28" s="133" t="s">
        <v>37</v>
      </c>
      <c r="B28" s="133"/>
      <c r="C28" s="123">
        <f>C26</f>
        <v>6000</v>
      </c>
      <c r="D28" s="123">
        <v>0</v>
      </c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</row>
    <row r="29" spans="1:15" x14ac:dyDescent="0.25">
      <c r="A29" s="124"/>
      <c r="B29" s="124"/>
      <c r="C29" s="125"/>
    </row>
    <row r="30" spans="1:15" ht="17.25" x14ac:dyDescent="0.25">
      <c r="A30" s="134" t="s">
        <v>38</v>
      </c>
      <c r="B30" s="134"/>
      <c r="C30" s="126">
        <f t="shared" ref="C30:N30" si="6">SUM(C4-(C20+C23))</f>
        <v>1.6200000000001182</v>
      </c>
      <c r="D30" s="126">
        <f t="shared" si="6"/>
        <v>0</v>
      </c>
      <c r="E30" s="126">
        <f t="shared" si="6"/>
        <v>0</v>
      </c>
      <c r="F30" s="126">
        <f t="shared" si="6"/>
        <v>0</v>
      </c>
      <c r="G30" s="126">
        <f t="shared" si="6"/>
        <v>0</v>
      </c>
      <c r="H30" s="126">
        <f t="shared" si="6"/>
        <v>0</v>
      </c>
      <c r="I30" s="126">
        <f t="shared" si="6"/>
        <v>0</v>
      </c>
      <c r="J30" s="126">
        <f t="shared" si="6"/>
        <v>0</v>
      </c>
      <c r="K30" s="126">
        <f t="shared" si="6"/>
        <v>0</v>
      </c>
      <c r="L30" s="126">
        <f t="shared" si="6"/>
        <v>0</v>
      </c>
      <c r="M30" s="126">
        <f t="shared" si="6"/>
        <v>0</v>
      </c>
      <c r="N30" s="126">
        <f t="shared" si="6"/>
        <v>2.2737367544323206E-13</v>
      </c>
      <c r="O30" s="126"/>
    </row>
    <row r="31" spans="1:15" x14ac:dyDescent="0.25">
      <c r="B31" s="127" t="s">
        <v>26</v>
      </c>
    </row>
    <row r="33" spans="7:7" x14ac:dyDescent="0.25">
      <c r="G33">
        <f>750-640</f>
        <v>110</v>
      </c>
    </row>
  </sheetData>
  <mergeCells count="26">
    <mergeCell ref="A1:B1"/>
    <mergeCell ref="A4:B4"/>
    <mergeCell ref="A6:B6"/>
    <mergeCell ref="A9:B9"/>
    <mergeCell ref="A10:B10"/>
    <mergeCell ref="A2:A3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K27:L27"/>
    <mergeCell ref="A28:B28"/>
    <mergeCell ref="A30:B30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workbookViewId="0">
      <selection activeCell="H14" sqref="H14"/>
    </sheetView>
  </sheetViews>
  <sheetFormatPr defaultColWidth="8.7109375" defaultRowHeight="15" x14ac:dyDescent="0.25"/>
  <cols>
    <col min="1" max="1" width="13.28515625" customWidth="1"/>
    <col min="2" max="2" width="13.85546875" customWidth="1"/>
    <col min="3" max="3" width="12.140625" customWidth="1"/>
    <col min="6" max="6" width="14.140625" customWidth="1"/>
    <col min="7" max="7" width="12.140625" customWidth="1"/>
    <col min="8" max="8" width="12.5703125" customWidth="1"/>
    <col min="9" max="9" width="10.5703125" customWidth="1"/>
    <col min="11" max="11" width="12.140625" customWidth="1"/>
    <col min="13" max="14" width="12.140625" customWidth="1"/>
    <col min="15" max="15" width="10.5703125"/>
    <col min="16" max="16" width="12.140625" customWidth="1"/>
  </cols>
  <sheetData>
    <row r="1" spans="1:16" x14ac:dyDescent="0.25">
      <c r="A1" s="86">
        <f>C$5</f>
        <v>1312.5</v>
      </c>
      <c r="B1" s="86">
        <v>14.375</v>
      </c>
      <c r="F1" s="147"/>
      <c r="G1" s="147"/>
    </row>
    <row r="2" spans="1:16" x14ac:dyDescent="0.25">
      <c r="B2" s="87" t="s">
        <v>39</v>
      </c>
      <c r="C2" s="88">
        <v>12.5</v>
      </c>
      <c r="F2" s="87" t="s">
        <v>39</v>
      </c>
      <c r="G2" s="88">
        <v>18.18</v>
      </c>
      <c r="J2" t="s">
        <v>40</v>
      </c>
      <c r="K2" s="38">
        <f>G5-1500</f>
        <v>1299.7199999999998</v>
      </c>
      <c r="L2">
        <v>1250</v>
      </c>
      <c r="M2" s="38">
        <f>H12-L2</f>
        <v>1889.6859999999997</v>
      </c>
      <c r="N2" s="97">
        <f>12.5*220</f>
        <v>2750</v>
      </c>
    </row>
    <row r="3" spans="1:16" x14ac:dyDescent="0.25">
      <c r="B3" s="87" t="s">
        <v>41</v>
      </c>
      <c r="C3" s="42">
        <f>C2*6*5*4</f>
        <v>1500</v>
      </c>
      <c r="F3" s="87" t="s">
        <v>41</v>
      </c>
      <c r="G3" s="42">
        <f>G2*220</f>
        <v>3999.6</v>
      </c>
      <c r="J3" t="s">
        <v>42</v>
      </c>
      <c r="K3" s="98">
        <v>1250</v>
      </c>
      <c r="N3" s="99">
        <v>3750</v>
      </c>
      <c r="O3" s="38">
        <f>N3/220</f>
        <v>17.045454545454547</v>
      </c>
      <c r="P3" s="98">
        <v>3257.8</v>
      </c>
    </row>
    <row r="4" spans="1:16" x14ac:dyDescent="0.25">
      <c r="B4" s="87" t="s">
        <v>43</v>
      </c>
      <c r="C4" s="42">
        <f>C3-(C3*0)</f>
        <v>1500</v>
      </c>
      <c r="F4" s="87" t="s">
        <v>43</v>
      </c>
      <c r="G4" s="42">
        <f>G3-(G3*0.15)</f>
        <v>3399.66</v>
      </c>
      <c r="H4" s="38">
        <f>G3*0.15</f>
        <v>599.93999999999994</v>
      </c>
      <c r="I4" s="100"/>
      <c r="K4" s="101">
        <f>K2-K3</f>
        <v>49.7199999999998</v>
      </c>
      <c r="N4" s="99">
        <v>4200</v>
      </c>
      <c r="O4" s="38">
        <f>N4/220</f>
        <v>19.09090909090909</v>
      </c>
      <c r="P4" s="42">
        <v>3442.37</v>
      </c>
    </row>
    <row r="5" spans="1:16" x14ac:dyDescent="0.25">
      <c r="B5" s="89" t="s">
        <v>44</v>
      </c>
      <c r="C5" s="90">
        <f>$C$4-$C$6</f>
        <v>1312.5</v>
      </c>
      <c r="F5" s="89" t="s">
        <v>44</v>
      </c>
      <c r="G5" s="90">
        <f>G4-G6</f>
        <v>2799.72</v>
      </c>
      <c r="I5" s="96" t="s">
        <v>26</v>
      </c>
      <c r="K5" s="101"/>
      <c r="N5" s="99">
        <v>4000</v>
      </c>
      <c r="O5" s="38">
        <f>N5/220</f>
        <v>18.181818181818183</v>
      </c>
      <c r="P5" s="98">
        <v>3585.94</v>
      </c>
    </row>
    <row r="6" spans="1:16" x14ac:dyDescent="0.25">
      <c r="B6" s="91" t="s">
        <v>45</v>
      </c>
      <c r="C6" s="38">
        <f>C3*0.125</f>
        <v>187.5</v>
      </c>
      <c r="F6" s="91" t="s">
        <v>45</v>
      </c>
      <c r="G6" s="38">
        <f>G3*0.15</f>
        <v>599.93999999999994</v>
      </c>
      <c r="H6" s="92"/>
      <c r="K6" s="101"/>
      <c r="N6" s="102">
        <v>4500</v>
      </c>
      <c r="O6" s="38">
        <f>N6/220</f>
        <v>20.454545454545453</v>
      </c>
      <c r="P6" s="98">
        <v>3785.89</v>
      </c>
    </row>
    <row r="7" spans="1:16" x14ac:dyDescent="0.25">
      <c r="F7" s="91"/>
      <c r="G7" s="38"/>
      <c r="H7" s="93"/>
      <c r="M7" s="38">
        <f>G3/3</f>
        <v>1333.2</v>
      </c>
      <c r="N7" s="102">
        <v>5000</v>
      </c>
      <c r="O7" s="42">
        <f>N7/220</f>
        <v>22.727272727272727</v>
      </c>
      <c r="P7">
        <v>4119.1400000000003</v>
      </c>
    </row>
    <row r="8" spans="1:16" x14ac:dyDescent="0.25">
      <c r="H8" s="94" t="s">
        <v>46</v>
      </c>
      <c r="I8" s="103">
        <v>0.125</v>
      </c>
      <c r="K8">
        <v>340</v>
      </c>
      <c r="O8" s="42"/>
    </row>
    <row r="9" spans="1:16" x14ac:dyDescent="0.25">
      <c r="B9" s="87" t="s">
        <v>47</v>
      </c>
      <c r="C9" s="95">
        <f>C3*0.4</f>
        <v>600</v>
      </c>
      <c r="F9" s="87" t="s">
        <v>47</v>
      </c>
      <c r="G9" s="95">
        <f>G3*0.4</f>
        <v>1599.8400000000001</v>
      </c>
      <c r="H9" s="38">
        <f>G9-I9</f>
        <v>1399.8600000000001</v>
      </c>
      <c r="I9" s="38">
        <f>(G3*0.125)*0.4</f>
        <v>199.98000000000002</v>
      </c>
      <c r="K9">
        <v>280</v>
      </c>
      <c r="O9" s="42"/>
    </row>
    <row r="10" spans="1:16" x14ac:dyDescent="0.25">
      <c r="B10" s="87" t="s">
        <v>48</v>
      </c>
      <c r="C10" s="95">
        <f>C3-(C3*0.09)-C9</f>
        <v>765</v>
      </c>
      <c r="F10" s="87" t="s">
        <v>48</v>
      </c>
      <c r="G10" s="95">
        <f>G3-(G3*0.09)-G9</f>
        <v>2039.7959999999998</v>
      </c>
      <c r="H10" s="38">
        <f>G10-I10</f>
        <v>1739.8259999999998</v>
      </c>
      <c r="I10" s="38">
        <f>(G3*0.125)*0.6</f>
        <v>299.96999999999997</v>
      </c>
      <c r="K10">
        <f>SUM(K8:K9)</f>
        <v>620</v>
      </c>
      <c r="O10" s="104">
        <v>208.72900000000001</v>
      </c>
    </row>
    <row r="11" spans="1:16" x14ac:dyDescent="0.25">
      <c r="M11" s="105" t="s">
        <v>49</v>
      </c>
      <c r="O11" s="42"/>
    </row>
    <row r="12" spans="1:16" x14ac:dyDescent="0.25">
      <c r="B12" s="87" t="s">
        <v>50</v>
      </c>
      <c r="C12" s="96">
        <f>SUM(C9:C10)</f>
        <v>1365</v>
      </c>
      <c r="F12" s="87" t="s">
        <v>50</v>
      </c>
      <c r="G12" s="96">
        <f>SUM(G9:G10)</f>
        <v>3639.636</v>
      </c>
      <c r="H12" s="38">
        <f>SUM(H9:H10)</f>
        <v>3139.6859999999997</v>
      </c>
      <c r="I12" s="38">
        <f>SUM(I9:I10)</f>
        <v>499.95</v>
      </c>
      <c r="M12" s="38">
        <f>G3-(G3*0.09)</f>
        <v>3639.636</v>
      </c>
    </row>
    <row r="13" spans="1:16" x14ac:dyDescent="0.25">
      <c r="O13" s="104">
        <v>305.82900000000001</v>
      </c>
    </row>
    <row r="14" spans="1:16" x14ac:dyDescent="0.25">
      <c r="M14" s="105" t="s">
        <v>51</v>
      </c>
      <c r="O14" s="100"/>
    </row>
    <row r="15" spans="1:16" x14ac:dyDescent="0.25">
      <c r="M15" s="38">
        <f>G3+M7</f>
        <v>5332.8</v>
      </c>
      <c r="O15" s="100"/>
    </row>
    <row r="16" spans="1:16" x14ac:dyDescent="0.25">
      <c r="B16" t="s">
        <v>52</v>
      </c>
      <c r="C16">
        <v>1750</v>
      </c>
      <c r="F16">
        <v>136.08000000000001</v>
      </c>
    </row>
    <row r="17" spans="2:13" x14ac:dyDescent="0.25">
      <c r="B17" t="s">
        <v>53</v>
      </c>
      <c r="C17">
        <f>C16*0.125</f>
        <v>218.75</v>
      </c>
      <c r="D17">
        <v>175</v>
      </c>
      <c r="E17">
        <v>43.75</v>
      </c>
      <c r="F17">
        <v>34.020000000000003</v>
      </c>
      <c r="M17" s="105" t="s">
        <v>54</v>
      </c>
    </row>
    <row r="18" spans="2:13" x14ac:dyDescent="0.25">
      <c r="B18" t="s">
        <v>55</v>
      </c>
      <c r="C18">
        <f>C16-C17</f>
        <v>1531.25</v>
      </c>
      <c r="E18">
        <f>D17+E17</f>
        <v>218.75</v>
      </c>
      <c r="M18" s="38">
        <f>(M12-(M12*0.1))+(M15-(M15*0.1))</f>
        <v>8075.1923999999999</v>
      </c>
    </row>
    <row r="20" spans="2:13" x14ac:dyDescent="0.25">
      <c r="B20" t="s">
        <v>56</v>
      </c>
      <c r="C20">
        <v>63.59</v>
      </c>
      <c r="I20" t="s">
        <v>57</v>
      </c>
    </row>
    <row r="21" spans="2:13" x14ac:dyDescent="0.25">
      <c r="B21" t="s">
        <v>58</v>
      </c>
      <c r="C21">
        <v>109.9</v>
      </c>
      <c r="I21" t="s">
        <v>59</v>
      </c>
    </row>
    <row r="22" spans="2:13" x14ac:dyDescent="0.25">
      <c r="B22" t="s">
        <v>60</v>
      </c>
      <c r="C22">
        <v>225</v>
      </c>
    </row>
    <row r="23" spans="2:13" x14ac:dyDescent="0.25">
      <c r="B23" t="s">
        <v>61</v>
      </c>
      <c r="C23">
        <v>25</v>
      </c>
      <c r="G23">
        <f>F17-F21</f>
        <v>34.020000000000003</v>
      </c>
    </row>
    <row r="25" spans="2:13" x14ac:dyDescent="0.25">
      <c r="B25" t="s">
        <v>62</v>
      </c>
      <c r="C25">
        <v>640</v>
      </c>
      <c r="F25" t="s">
        <v>63</v>
      </c>
    </row>
    <row r="26" spans="2:13" x14ac:dyDescent="0.25">
      <c r="B26" t="s">
        <v>64</v>
      </c>
      <c r="C26">
        <v>10</v>
      </c>
    </row>
    <row r="28" spans="2:13" x14ac:dyDescent="0.25">
      <c r="B28" t="s">
        <v>65</v>
      </c>
      <c r="C28">
        <f>SUM(C19:C27)</f>
        <v>1073.49</v>
      </c>
    </row>
    <row r="30" spans="2:13" x14ac:dyDescent="0.25">
      <c r="C30">
        <f>C18-C28</f>
        <v>457.76</v>
      </c>
    </row>
  </sheetData>
  <mergeCells count="1">
    <mergeCell ref="F1:G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8" workbookViewId="0">
      <selection activeCell="H43" sqref="H43"/>
    </sheetView>
  </sheetViews>
  <sheetFormatPr defaultColWidth="8.7109375" defaultRowHeight="15" x14ac:dyDescent="0.25"/>
  <cols>
    <col min="2" max="2" width="18" customWidth="1"/>
    <col min="3" max="3" width="18.7109375" customWidth="1"/>
    <col min="4" max="4" width="19.28515625" customWidth="1"/>
    <col min="5" max="6" width="18.7109375" customWidth="1"/>
    <col min="7" max="7" width="17.28515625" customWidth="1"/>
    <col min="8" max="8" width="17" customWidth="1"/>
    <col min="10" max="10" width="11.28515625" customWidth="1"/>
  </cols>
  <sheetData>
    <row r="1" spans="1:8" ht="15.75" x14ac:dyDescent="0.25">
      <c r="A1" s="148" t="s">
        <v>66</v>
      </c>
      <c r="B1" s="148"/>
      <c r="C1" s="148"/>
      <c r="D1" s="148"/>
      <c r="E1" s="148"/>
      <c r="F1" s="148"/>
      <c r="G1" s="148"/>
      <c r="H1" s="148"/>
    </row>
    <row r="2" spans="1:8" ht="15.75" x14ac:dyDescent="0.25">
      <c r="A2" s="53" t="s">
        <v>67</v>
      </c>
      <c r="B2" s="53" t="s">
        <v>68</v>
      </c>
      <c r="C2" s="53" t="s">
        <v>69</v>
      </c>
      <c r="D2" s="53" t="s">
        <v>70</v>
      </c>
      <c r="E2" s="53" t="s">
        <v>71</v>
      </c>
      <c r="F2" s="53" t="s">
        <v>72</v>
      </c>
      <c r="G2" s="53" t="s">
        <v>73</v>
      </c>
      <c r="H2" s="53" t="s">
        <v>74</v>
      </c>
    </row>
    <row r="3" spans="1:8" ht="15.75" x14ac:dyDescent="0.25">
      <c r="A3" s="54">
        <v>0.29166666666666702</v>
      </c>
      <c r="B3" s="55" t="s">
        <v>75</v>
      </c>
      <c r="C3" s="56" t="s">
        <v>76</v>
      </c>
      <c r="D3" s="56" t="s">
        <v>77</v>
      </c>
      <c r="E3" s="56" t="s">
        <v>78</v>
      </c>
      <c r="F3" s="56" t="s">
        <v>79</v>
      </c>
      <c r="G3" s="55" t="s">
        <v>75</v>
      </c>
      <c r="H3" s="57" t="s">
        <v>80</v>
      </c>
    </row>
    <row r="4" spans="1:8" ht="15.75" x14ac:dyDescent="0.25">
      <c r="A4" s="54">
        <v>0.33333333333333298</v>
      </c>
      <c r="B4" s="55" t="s">
        <v>75</v>
      </c>
      <c r="C4" s="56" t="s">
        <v>76</v>
      </c>
      <c r="D4" s="56" t="s">
        <v>77</v>
      </c>
      <c r="E4" s="56" t="s">
        <v>78</v>
      </c>
      <c r="F4" s="56" t="s">
        <v>79</v>
      </c>
      <c r="G4" s="55" t="s">
        <v>75</v>
      </c>
      <c r="H4" s="57" t="s">
        <v>80</v>
      </c>
    </row>
    <row r="5" spans="1:8" ht="15.75" x14ac:dyDescent="0.25">
      <c r="A5" s="54">
        <v>0.375</v>
      </c>
      <c r="B5" s="55" t="s">
        <v>75</v>
      </c>
      <c r="C5" s="56" t="s">
        <v>76</v>
      </c>
      <c r="D5" s="56" t="s">
        <v>81</v>
      </c>
      <c r="E5" s="56" t="s">
        <v>78</v>
      </c>
      <c r="F5" s="56" t="s">
        <v>79</v>
      </c>
      <c r="G5" s="55" t="s">
        <v>75</v>
      </c>
      <c r="H5" s="57" t="s">
        <v>80</v>
      </c>
    </row>
    <row r="6" spans="1:8" ht="15.75" x14ac:dyDescent="0.25">
      <c r="A6" s="54">
        <v>0.41666666666666702</v>
      </c>
      <c r="B6" s="55" t="s">
        <v>75</v>
      </c>
      <c r="C6" s="58" t="s">
        <v>82</v>
      </c>
      <c r="D6" s="58" t="s">
        <v>82</v>
      </c>
      <c r="E6" s="58" t="s">
        <v>82</v>
      </c>
      <c r="F6" s="58" t="s">
        <v>82</v>
      </c>
      <c r="G6" s="58" t="s">
        <v>82</v>
      </c>
      <c r="H6" s="57" t="s">
        <v>80</v>
      </c>
    </row>
    <row r="7" spans="1:8" ht="15.75" x14ac:dyDescent="0.25">
      <c r="A7" s="54">
        <v>0.45833333333333298</v>
      </c>
      <c r="B7" s="55" t="s">
        <v>75</v>
      </c>
      <c r="C7" s="58" t="s">
        <v>82</v>
      </c>
      <c r="D7" s="58" t="s">
        <v>82</v>
      </c>
      <c r="E7" s="58" t="s">
        <v>82</v>
      </c>
      <c r="F7" s="58" t="s">
        <v>82</v>
      </c>
      <c r="G7" s="58" t="s">
        <v>82</v>
      </c>
      <c r="H7" s="57" t="s">
        <v>80</v>
      </c>
    </row>
    <row r="8" spans="1:8" ht="15.75" x14ac:dyDescent="0.25">
      <c r="A8" s="59">
        <v>0.5</v>
      </c>
      <c r="B8" s="60" t="s">
        <v>83</v>
      </c>
      <c r="C8" s="60" t="s">
        <v>83</v>
      </c>
      <c r="D8" s="60" t="s">
        <v>83</v>
      </c>
      <c r="E8" s="60" t="s">
        <v>83</v>
      </c>
      <c r="F8" s="60" t="s">
        <v>83</v>
      </c>
      <c r="G8" s="60" t="s">
        <v>83</v>
      </c>
      <c r="H8" s="57" t="s">
        <v>80</v>
      </c>
    </row>
    <row r="9" spans="1:8" ht="15.75" x14ac:dyDescent="0.25">
      <c r="A9" s="54">
        <v>0.54166666666666696</v>
      </c>
      <c r="B9" s="61" t="s">
        <v>84</v>
      </c>
      <c r="C9" s="55" t="s">
        <v>75</v>
      </c>
      <c r="D9" s="61" t="s">
        <v>84</v>
      </c>
      <c r="E9" s="60" t="s">
        <v>85</v>
      </c>
      <c r="F9" s="60" t="s">
        <v>85</v>
      </c>
      <c r="G9" s="61" t="s">
        <v>84</v>
      </c>
      <c r="H9" s="57" t="s">
        <v>80</v>
      </c>
    </row>
    <row r="10" spans="1:8" ht="15.75" x14ac:dyDescent="0.25">
      <c r="A10" s="54">
        <v>0.58333333333333304</v>
      </c>
      <c r="B10" s="61" t="s">
        <v>84</v>
      </c>
      <c r="C10" s="55" t="s">
        <v>75</v>
      </c>
      <c r="D10" s="61" t="s">
        <v>84</v>
      </c>
      <c r="E10" s="60" t="s">
        <v>85</v>
      </c>
      <c r="F10" s="60" t="s">
        <v>85</v>
      </c>
      <c r="G10" s="61" t="s">
        <v>84</v>
      </c>
      <c r="H10" s="57" t="s">
        <v>80</v>
      </c>
    </row>
    <row r="11" spans="1:8" ht="15.75" x14ac:dyDescent="0.25">
      <c r="A11" s="54">
        <v>0.625</v>
      </c>
      <c r="B11" s="61" t="s">
        <v>84</v>
      </c>
      <c r="C11" s="55" t="s">
        <v>75</v>
      </c>
      <c r="D11" s="61" t="s">
        <v>84</v>
      </c>
      <c r="E11" s="62" t="s">
        <v>86</v>
      </c>
      <c r="F11" s="62" t="s">
        <v>86</v>
      </c>
      <c r="G11" s="61" t="s">
        <v>84</v>
      </c>
      <c r="H11" s="57" t="s">
        <v>80</v>
      </c>
    </row>
    <row r="12" spans="1:8" ht="15.75" x14ac:dyDescent="0.25">
      <c r="A12" s="54">
        <v>0.66666666666666696</v>
      </c>
      <c r="B12" s="63" t="s">
        <v>87</v>
      </c>
      <c r="C12" s="55" t="s">
        <v>75</v>
      </c>
      <c r="D12" s="61" t="s">
        <v>84</v>
      </c>
      <c r="E12" s="62" t="s">
        <v>86</v>
      </c>
      <c r="F12" s="62" t="s">
        <v>86</v>
      </c>
      <c r="G12" s="61" t="s">
        <v>84</v>
      </c>
      <c r="H12" s="57" t="s">
        <v>80</v>
      </c>
    </row>
    <row r="13" spans="1:8" ht="15.75" x14ac:dyDescent="0.25">
      <c r="A13" s="54">
        <v>0.70833333333333304</v>
      </c>
      <c r="B13" s="63" t="s">
        <v>87</v>
      </c>
      <c r="C13" s="55" t="s">
        <v>75</v>
      </c>
      <c r="D13" s="61" t="s">
        <v>84</v>
      </c>
      <c r="E13" s="62" t="s">
        <v>86</v>
      </c>
      <c r="F13" s="62" t="s">
        <v>86</v>
      </c>
      <c r="G13" s="61" t="s">
        <v>84</v>
      </c>
      <c r="H13" s="57" t="s">
        <v>80</v>
      </c>
    </row>
    <row r="14" spans="1:8" ht="15.75" x14ac:dyDescent="0.25">
      <c r="A14" s="54">
        <v>0.75</v>
      </c>
      <c r="B14" s="63" t="s">
        <v>87</v>
      </c>
      <c r="C14" s="60" t="s">
        <v>85</v>
      </c>
      <c r="D14" s="60" t="s">
        <v>85</v>
      </c>
      <c r="E14" s="62" t="s">
        <v>86</v>
      </c>
      <c r="F14" s="62" t="s">
        <v>86</v>
      </c>
      <c r="G14" s="61" t="s">
        <v>84</v>
      </c>
      <c r="H14" s="57" t="s">
        <v>80</v>
      </c>
    </row>
    <row r="15" spans="1:8" ht="15.75" x14ac:dyDescent="0.25">
      <c r="A15" s="54">
        <v>0.79166666666666696</v>
      </c>
      <c r="B15" s="63" t="s">
        <v>87</v>
      </c>
      <c r="C15" s="62" t="s">
        <v>86</v>
      </c>
      <c r="D15" s="62" t="s">
        <v>86</v>
      </c>
      <c r="E15" s="62" t="s">
        <v>86</v>
      </c>
      <c r="F15" s="62" t="s">
        <v>86</v>
      </c>
      <c r="G15" s="64" t="s">
        <v>88</v>
      </c>
      <c r="H15" s="57" t="s">
        <v>80</v>
      </c>
    </row>
    <row r="16" spans="1:8" ht="15.75" x14ac:dyDescent="0.25">
      <c r="A16" s="54">
        <v>0.83333333333333404</v>
      </c>
      <c r="B16" s="63" t="s">
        <v>87</v>
      </c>
      <c r="C16" s="62" t="s">
        <v>86</v>
      </c>
      <c r="D16" s="62" t="s">
        <v>86</v>
      </c>
      <c r="E16" s="62" t="s">
        <v>86</v>
      </c>
      <c r="F16" s="62" t="s">
        <v>86</v>
      </c>
      <c r="G16" s="64" t="s">
        <v>88</v>
      </c>
      <c r="H16" s="65" t="s">
        <v>89</v>
      </c>
    </row>
    <row r="17" spans="1:10" ht="15.75" x14ac:dyDescent="0.25">
      <c r="A17" s="54">
        <v>0.875000000000001</v>
      </c>
      <c r="B17" s="56" t="s">
        <v>25</v>
      </c>
      <c r="C17" s="62" t="s">
        <v>86</v>
      </c>
      <c r="D17" s="62" t="s">
        <v>86</v>
      </c>
      <c r="E17" s="62" t="s">
        <v>86</v>
      </c>
      <c r="F17" s="62" t="s">
        <v>86</v>
      </c>
      <c r="G17" s="64" t="s">
        <v>88</v>
      </c>
      <c r="H17" s="65" t="s">
        <v>89</v>
      </c>
    </row>
    <row r="18" spans="1:10" ht="15.75" x14ac:dyDescent="0.25">
      <c r="A18" s="54">
        <v>0.91666666666666796</v>
      </c>
      <c r="B18" s="56" t="s">
        <v>25</v>
      </c>
      <c r="C18" s="62" t="s">
        <v>86</v>
      </c>
      <c r="D18" s="62" t="s">
        <v>86</v>
      </c>
      <c r="E18" s="62" t="s">
        <v>86</v>
      </c>
      <c r="F18" s="62" t="s">
        <v>86</v>
      </c>
      <c r="G18" s="64" t="s">
        <v>88</v>
      </c>
      <c r="H18" s="65" t="s">
        <v>89</v>
      </c>
    </row>
    <row r="19" spans="1:10" ht="15.75" x14ac:dyDescent="0.25">
      <c r="A19" s="54">
        <v>0.95833333333333504</v>
      </c>
      <c r="B19" s="56" t="s">
        <v>25</v>
      </c>
      <c r="C19" s="60" t="s">
        <v>85</v>
      </c>
      <c r="D19" s="60" t="s">
        <v>85</v>
      </c>
      <c r="E19" s="60" t="s">
        <v>85</v>
      </c>
      <c r="F19" s="60" t="s">
        <v>85</v>
      </c>
      <c r="G19" s="64" t="s">
        <v>88</v>
      </c>
      <c r="H19" s="65" t="s">
        <v>89</v>
      </c>
    </row>
    <row r="20" spans="1:10" ht="15.75" x14ac:dyDescent="0.25">
      <c r="A20" s="54">
        <v>1</v>
      </c>
      <c r="B20" s="64" t="s">
        <v>88</v>
      </c>
      <c r="C20" s="60" t="s">
        <v>85</v>
      </c>
      <c r="D20" s="60" t="s">
        <v>85</v>
      </c>
      <c r="E20" s="60" t="s">
        <v>85</v>
      </c>
      <c r="F20" s="60" t="s">
        <v>85</v>
      </c>
      <c r="G20" s="64" t="s">
        <v>88</v>
      </c>
      <c r="H20" s="65" t="s">
        <v>89</v>
      </c>
    </row>
    <row r="23" spans="1:10" ht="15.75" x14ac:dyDescent="0.25">
      <c r="A23" s="149" t="s">
        <v>90</v>
      </c>
      <c r="B23" s="149"/>
      <c r="C23" s="149"/>
      <c r="D23" s="149"/>
      <c r="E23" s="149"/>
      <c r="F23" s="149"/>
      <c r="G23" s="149"/>
      <c r="H23" s="149"/>
    </row>
    <row r="24" spans="1:10" ht="15.75" x14ac:dyDescent="0.25">
      <c r="A24" s="66" t="s">
        <v>67</v>
      </c>
      <c r="B24" s="53" t="s">
        <v>68</v>
      </c>
      <c r="C24" s="53" t="s">
        <v>69</v>
      </c>
      <c r="D24" s="53" t="s">
        <v>70</v>
      </c>
      <c r="E24" s="53" t="s">
        <v>71</v>
      </c>
      <c r="F24" s="53" t="s">
        <v>72</v>
      </c>
      <c r="G24" s="53" t="s">
        <v>73</v>
      </c>
      <c r="H24" s="67" t="s">
        <v>74</v>
      </c>
      <c r="J24" t="s">
        <v>91</v>
      </c>
    </row>
    <row r="25" spans="1:10" ht="15.75" x14ac:dyDescent="0.25">
      <c r="A25" s="68">
        <v>0.20833333333333301</v>
      </c>
      <c r="B25" s="69" t="s">
        <v>92</v>
      </c>
      <c r="C25" s="69" t="s">
        <v>92</v>
      </c>
      <c r="D25" s="69" t="s">
        <v>92</v>
      </c>
      <c r="E25" s="69" t="s">
        <v>92</v>
      </c>
      <c r="F25" s="69" t="s">
        <v>92</v>
      </c>
      <c r="G25" s="69" t="s">
        <v>92</v>
      </c>
      <c r="H25" s="70" t="s">
        <v>92</v>
      </c>
    </row>
    <row r="26" spans="1:10" ht="15.75" x14ac:dyDescent="0.25">
      <c r="A26" s="68">
        <v>0.23958333333333301</v>
      </c>
      <c r="B26" s="71" t="s">
        <v>93</v>
      </c>
      <c r="C26" s="71" t="s">
        <v>93</v>
      </c>
      <c r="D26" s="71" t="s">
        <v>93</v>
      </c>
      <c r="E26" s="71" t="s">
        <v>93</v>
      </c>
      <c r="F26" s="71" t="s">
        <v>93</v>
      </c>
      <c r="G26" s="71" t="s">
        <v>93</v>
      </c>
      <c r="H26" s="72" t="s">
        <v>88</v>
      </c>
    </row>
    <row r="27" spans="1:10" ht="15.75" x14ac:dyDescent="0.25">
      <c r="A27" s="68">
        <v>0.25</v>
      </c>
      <c r="B27" s="73" t="s">
        <v>94</v>
      </c>
      <c r="C27" s="73" t="s">
        <v>94</v>
      </c>
      <c r="D27" s="73" t="s">
        <v>94</v>
      </c>
      <c r="E27" s="73" t="s">
        <v>94</v>
      </c>
      <c r="F27" s="73" t="s">
        <v>94</v>
      </c>
      <c r="G27" s="73" t="s">
        <v>94</v>
      </c>
      <c r="H27" s="72" t="s">
        <v>88</v>
      </c>
    </row>
    <row r="28" spans="1:10" ht="15.75" x14ac:dyDescent="0.25">
      <c r="A28" s="68">
        <v>0.30555555555555602</v>
      </c>
      <c r="B28" s="74" t="s">
        <v>95</v>
      </c>
      <c r="C28" s="75" t="s">
        <v>96</v>
      </c>
      <c r="D28" s="75" t="s">
        <v>96</v>
      </c>
      <c r="E28" s="75" t="s">
        <v>96</v>
      </c>
      <c r="F28" s="75" t="s">
        <v>96</v>
      </c>
      <c r="G28" s="75" t="s">
        <v>96</v>
      </c>
      <c r="H28" s="76" t="s">
        <v>80</v>
      </c>
    </row>
    <row r="29" spans="1:10" ht="15.75" x14ac:dyDescent="0.25">
      <c r="A29" s="68">
        <v>0.36458333333333298</v>
      </c>
      <c r="B29" s="77" t="s">
        <v>97</v>
      </c>
      <c r="C29" s="78" t="s">
        <v>98</v>
      </c>
      <c r="D29" s="78" t="s">
        <v>98</v>
      </c>
      <c r="E29" s="78" t="s">
        <v>98</v>
      </c>
      <c r="F29" s="78" t="s">
        <v>98</v>
      </c>
      <c r="G29" s="78" t="s">
        <v>98</v>
      </c>
      <c r="H29" s="76" t="s">
        <v>80</v>
      </c>
    </row>
    <row r="30" spans="1:10" ht="15.75" x14ac:dyDescent="0.25">
      <c r="A30" s="68">
        <v>0.375</v>
      </c>
      <c r="B30" s="77" t="s">
        <v>97</v>
      </c>
      <c r="C30" s="71" t="s">
        <v>99</v>
      </c>
      <c r="D30" s="71" t="s">
        <v>99</v>
      </c>
      <c r="E30" s="71" t="s">
        <v>99</v>
      </c>
      <c r="F30" s="71" t="s">
        <v>99</v>
      </c>
      <c r="G30" s="71" t="s">
        <v>99</v>
      </c>
      <c r="H30" s="76" t="s">
        <v>80</v>
      </c>
    </row>
    <row r="31" spans="1:10" ht="15.75" x14ac:dyDescent="0.25">
      <c r="A31" s="68">
        <v>0.41666666666666702</v>
      </c>
      <c r="B31" s="77" t="s">
        <v>97</v>
      </c>
      <c r="C31" s="71" t="s">
        <v>99</v>
      </c>
      <c r="D31" s="71" t="s">
        <v>99</v>
      </c>
      <c r="E31" s="71" t="s">
        <v>99</v>
      </c>
      <c r="F31" s="71" t="s">
        <v>99</v>
      </c>
      <c r="G31" s="71" t="s">
        <v>99</v>
      </c>
      <c r="H31" s="76" t="s">
        <v>80</v>
      </c>
    </row>
    <row r="32" spans="1:10" ht="15.75" x14ac:dyDescent="0.25">
      <c r="A32" s="68">
        <v>0.45833333333333298</v>
      </c>
      <c r="B32" s="77" t="s">
        <v>97</v>
      </c>
      <c r="C32" s="71" t="s">
        <v>99</v>
      </c>
      <c r="D32" s="71" t="s">
        <v>99</v>
      </c>
      <c r="E32" s="71" t="s">
        <v>99</v>
      </c>
      <c r="F32" s="71" t="s">
        <v>99</v>
      </c>
      <c r="G32" s="71" t="s">
        <v>99</v>
      </c>
      <c r="H32" s="76" t="s">
        <v>80</v>
      </c>
    </row>
    <row r="33" spans="1:8" ht="15.75" x14ac:dyDescent="0.25">
      <c r="A33" s="79">
        <v>0.5</v>
      </c>
      <c r="B33" s="75" t="s">
        <v>83</v>
      </c>
      <c r="C33" s="75" t="s">
        <v>83</v>
      </c>
      <c r="D33" s="75" t="s">
        <v>83</v>
      </c>
      <c r="E33" s="75" t="s">
        <v>83</v>
      </c>
      <c r="F33" s="75" t="s">
        <v>83</v>
      </c>
      <c r="G33" s="75" t="s">
        <v>83</v>
      </c>
      <c r="H33" s="76" t="s">
        <v>80</v>
      </c>
    </row>
    <row r="34" spans="1:8" ht="15.75" x14ac:dyDescent="0.25">
      <c r="A34" s="68">
        <v>0.54166666666666696</v>
      </c>
      <c r="B34" s="78" t="s">
        <v>100</v>
      </c>
      <c r="C34" s="71" t="s">
        <v>99</v>
      </c>
      <c r="D34" s="71" t="s">
        <v>99</v>
      </c>
      <c r="E34" s="71" t="s">
        <v>99</v>
      </c>
      <c r="F34" s="71" t="s">
        <v>99</v>
      </c>
      <c r="G34" s="71" t="s">
        <v>99</v>
      </c>
      <c r="H34" s="76" t="s">
        <v>80</v>
      </c>
    </row>
    <row r="35" spans="1:8" ht="15.75" x14ac:dyDescent="0.25">
      <c r="A35" s="68">
        <v>0.58333333333333304</v>
      </c>
      <c r="B35" s="78" t="s">
        <v>100</v>
      </c>
      <c r="C35" s="71" t="s">
        <v>99</v>
      </c>
      <c r="D35" s="71" t="s">
        <v>99</v>
      </c>
      <c r="E35" s="71" t="s">
        <v>99</v>
      </c>
      <c r="F35" s="71" t="s">
        <v>99</v>
      </c>
      <c r="G35" s="71" t="s">
        <v>99</v>
      </c>
      <c r="H35" s="76" t="s">
        <v>80</v>
      </c>
    </row>
    <row r="36" spans="1:8" ht="15.75" x14ac:dyDescent="0.25">
      <c r="A36" s="68">
        <v>0.625</v>
      </c>
      <c r="B36" s="78" t="s">
        <v>100</v>
      </c>
      <c r="C36" s="71" t="s">
        <v>99</v>
      </c>
      <c r="D36" s="71" t="s">
        <v>99</v>
      </c>
      <c r="E36" s="71" t="s">
        <v>99</v>
      </c>
      <c r="F36" s="71" t="s">
        <v>99</v>
      </c>
      <c r="G36" s="71" t="s">
        <v>99</v>
      </c>
      <c r="H36" s="76" t="s">
        <v>80</v>
      </c>
    </row>
    <row r="37" spans="1:8" ht="15.75" x14ac:dyDescent="0.25">
      <c r="A37" s="68">
        <v>0.66666666666666696</v>
      </c>
      <c r="B37" s="78" t="s">
        <v>101</v>
      </c>
      <c r="C37" s="74" t="s">
        <v>102</v>
      </c>
      <c r="D37" s="74" t="s">
        <v>102</v>
      </c>
      <c r="E37" s="74" t="s">
        <v>102</v>
      </c>
      <c r="F37" s="74" t="s">
        <v>102</v>
      </c>
      <c r="G37" s="74" t="s">
        <v>102</v>
      </c>
      <c r="H37" s="76" t="s">
        <v>80</v>
      </c>
    </row>
    <row r="38" spans="1:8" ht="15.75" x14ac:dyDescent="0.25">
      <c r="A38" s="68">
        <v>0.70138888888888895</v>
      </c>
      <c r="B38" s="78" t="s">
        <v>101</v>
      </c>
      <c r="C38" s="75" t="s">
        <v>103</v>
      </c>
      <c r="D38" s="75" t="s">
        <v>103</v>
      </c>
      <c r="E38" s="75" t="s">
        <v>103</v>
      </c>
      <c r="F38" s="75" t="s">
        <v>103</v>
      </c>
      <c r="G38" s="80" t="s">
        <v>88</v>
      </c>
      <c r="H38" s="76" t="s">
        <v>80</v>
      </c>
    </row>
    <row r="39" spans="1:8" ht="15.75" x14ac:dyDescent="0.25">
      <c r="A39" s="68">
        <v>0.75</v>
      </c>
      <c r="B39" s="77" t="s">
        <v>75</v>
      </c>
      <c r="C39" s="75" t="s">
        <v>103</v>
      </c>
      <c r="D39" s="75" t="s">
        <v>103</v>
      </c>
      <c r="E39" s="75" t="s">
        <v>103</v>
      </c>
      <c r="F39" s="75" t="s">
        <v>103</v>
      </c>
      <c r="G39" s="80" t="s">
        <v>88</v>
      </c>
      <c r="H39" s="76" t="s">
        <v>80</v>
      </c>
    </row>
    <row r="40" spans="1:8" ht="15.75" x14ac:dyDescent="0.25">
      <c r="A40" s="68">
        <v>0.77083333333333404</v>
      </c>
      <c r="B40" s="77" t="s">
        <v>75</v>
      </c>
      <c r="C40" s="71" t="s">
        <v>83</v>
      </c>
      <c r="D40" s="71" t="s">
        <v>83</v>
      </c>
      <c r="E40" s="71" t="s">
        <v>83</v>
      </c>
      <c r="F40" s="71" t="s">
        <v>83</v>
      </c>
      <c r="G40" s="80" t="s">
        <v>88</v>
      </c>
      <c r="H40" s="70" t="s">
        <v>104</v>
      </c>
    </row>
    <row r="41" spans="1:8" ht="15.75" x14ac:dyDescent="0.25">
      <c r="A41" s="68">
        <v>0.79166666666666696</v>
      </c>
      <c r="B41" s="77" t="s">
        <v>75</v>
      </c>
      <c r="C41" s="73" t="s">
        <v>105</v>
      </c>
      <c r="D41" s="73" t="s">
        <v>105</v>
      </c>
      <c r="E41" s="73" t="s">
        <v>105</v>
      </c>
      <c r="F41" s="73" t="s">
        <v>105</v>
      </c>
      <c r="G41" s="80" t="s">
        <v>88</v>
      </c>
      <c r="H41" s="70" t="s">
        <v>104</v>
      </c>
    </row>
    <row r="42" spans="1:8" ht="15.75" x14ac:dyDescent="0.25">
      <c r="A42" s="68">
        <v>0.83333333333333504</v>
      </c>
      <c r="B42" s="78" t="s">
        <v>84</v>
      </c>
      <c r="C42" s="73" t="s">
        <v>105</v>
      </c>
      <c r="D42" s="73" t="s">
        <v>105</v>
      </c>
      <c r="E42" s="73" t="s">
        <v>105</v>
      </c>
      <c r="F42" s="73" t="s">
        <v>105</v>
      </c>
      <c r="G42" s="80" t="s">
        <v>88</v>
      </c>
      <c r="H42" s="70" t="s">
        <v>104</v>
      </c>
    </row>
    <row r="43" spans="1:8" ht="15.75" x14ac:dyDescent="0.25">
      <c r="A43" s="68">
        <v>0.86111111111111105</v>
      </c>
      <c r="B43" s="78" t="s">
        <v>84</v>
      </c>
      <c r="C43" s="71" t="s">
        <v>83</v>
      </c>
      <c r="D43" s="71" t="s">
        <v>83</v>
      </c>
      <c r="E43" s="71" t="s">
        <v>83</v>
      </c>
      <c r="F43" s="71" t="s">
        <v>83</v>
      </c>
      <c r="G43" s="80" t="s">
        <v>88</v>
      </c>
      <c r="H43" s="70" t="s">
        <v>104</v>
      </c>
    </row>
    <row r="44" spans="1:8" ht="15.75" x14ac:dyDescent="0.25">
      <c r="A44" s="68">
        <v>0.875000000000002</v>
      </c>
      <c r="B44" s="78" t="s">
        <v>84</v>
      </c>
      <c r="C44" s="81" t="s">
        <v>106</v>
      </c>
      <c r="D44" s="81" t="s">
        <v>106</v>
      </c>
      <c r="E44" s="81" t="s">
        <v>106</v>
      </c>
      <c r="F44" s="81" t="s">
        <v>106</v>
      </c>
      <c r="G44" s="80" t="s">
        <v>88</v>
      </c>
      <c r="H44" s="70" t="s">
        <v>104</v>
      </c>
    </row>
    <row r="45" spans="1:8" ht="15.75" x14ac:dyDescent="0.25">
      <c r="A45" s="68">
        <v>0.91666666666666896</v>
      </c>
      <c r="B45" s="82" t="s">
        <v>82</v>
      </c>
      <c r="C45" s="81" t="s">
        <v>106</v>
      </c>
      <c r="D45" s="81" t="s">
        <v>106</v>
      </c>
      <c r="E45" s="81" t="s">
        <v>106</v>
      </c>
      <c r="F45" s="81" t="s">
        <v>106</v>
      </c>
      <c r="G45" s="80" t="s">
        <v>88</v>
      </c>
      <c r="H45" s="70" t="s">
        <v>104</v>
      </c>
    </row>
    <row r="46" spans="1:8" ht="15.75" x14ac:dyDescent="0.25">
      <c r="A46" s="68">
        <v>0.94444444444444497</v>
      </c>
      <c r="B46" s="82" t="s">
        <v>82</v>
      </c>
      <c r="C46" s="80" t="s">
        <v>107</v>
      </c>
      <c r="D46" s="80" t="s">
        <v>107</v>
      </c>
      <c r="E46" s="80" t="s">
        <v>107</v>
      </c>
      <c r="F46" s="80" t="s">
        <v>107</v>
      </c>
      <c r="G46" s="80" t="s">
        <v>88</v>
      </c>
      <c r="H46" s="70" t="s">
        <v>104</v>
      </c>
    </row>
    <row r="47" spans="1:8" ht="15.75" x14ac:dyDescent="0.25">
      <c r="A47" s="68">
        <v>0.95833333333333304</v>
      </c>
      <c r="B47" s="82" t="s">
        <v>82</v>
      </c>
      <c r="C47" s="78" t="s">
        <v>108</v>
      </c>
      <c r="D47" s="78" t="s">
        <v>108</v>
      </c>
      <c r="E47" s="78" t="s">
        <v>108</v>
      </c>
      <c r="F47" s="78" t="s">
        <v>108</v>
      </c>
      <c r="G47" s="80" t="s">
        <v>88</v>
      </c>
      <c r="H47" s="70" t="s">
        <v>104</v>
      </c>
    </row>
    <row r="48" spans="1:8" ht="15.75" x14ac:dyDescent="0.25">
      <c r="A48" s="83">
        <v>0</v>
      </c>
      <c r="B48" s="84" t="s">
        <v>109</v>
      </c>
      <c r="C48" s="84" t="s">
        <v>109</v>
      </c>
      <c r="D48" s="84" t="s">
        <v>109</v>
      </c>
      <c r="E48" s="84" t="s">
        <v>109</v>
      </c>
      <c r="F48" s="84" t="s">
        <v>109</v>
      </c>
      <c r="G48" s="84" t="s">
        <v>109</v>
      </c>
      <c r="H48" s="85" t="s">
        <v>109</v>
      </c>
    </row>
  </sheetData>
  <mergeCells count="2">
    <mergeCell ref="A1:H1"/>
    <mergeCell ref="A23:H23"/>
  </mergeCells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11" sqref="C11"/>
    </sheetView>
  </sheetViews>
  <sheetFormatPr defaultColWidth="8.7109375" defaultRowHeight="15" x14ac:dyDescent="0.25"/>
  <cols>
    <col min="1" max="1" width="12.7109375" bestFit="1" customWidth="1"/>
    <col min="2" max="5" width="13.42578125" bestFit="1" customWidth="1"/>
    <col min="6" max="13" width="14.42578125" bestFit="1" customWidth="1"/>
    <col min="14" max="14" width="18.28515625" bestFit="1" customWidth="1"/>
  </cols>
  <sheetData>
    <row r="1" spans="1:14" ht="15.75" x14ac:dyDescent="0.25">
      <c r="A1" s="48">
        <v>2017</v>
      </c>
      <c r="B1" s="49" t="s">
        <v>7</v>
      </c>
      <c r="C1" s="49" t="s">
        <v>8</v>
      </c>
      <c r="D1" s="49" t="s">
        <v>9</v>
      </c>
      <c r="E1" s="49" t="s">
        <v>10</v>
      </c>
      <c r="F1" s="49" t="s">
        <v>11</v>
      </c>
      <c r="G1" s="49" t="s">
        <v>12</v>
      </c>
      <c r="H1" s="49" t="s">
        <v>1</v>
      </c>
      <c r="I1" s="49" t="s">
        <v>2</v>
      </c>
      <c r="J1" s="49" t="s">
        <v>3</v>
      </c>
      <c r="K1" s="49" t="s">
        <v>4</v>
      </c>
      <c r="L1" s="49" t="s">
        <v>5</v>
      </c>
      <c r="M1" s="49" t="s">
        <v>6</v>
      </c>
    </row>
    <row r="2" spans="1:14" ht="15.75" x14ac:dyDescent="0.25">
      <c r="A2" s="50" t="s">
        <v>110</v>
      </c>
      <c r="B2" s="51">
        <v>5500</v>
      </c>
      <c r="C2" s="51">
        <v>5500</v>
      </c>
      <c r="D2" s="51">
        <v>5500</v>
      </c>
      <c r="E2" s="51">
        <v>5500</v>
      </c>
      <c r="F2" s="51">
        <v>5500</v>
      </c>
      <c r="G2" s="51">
        <v>5500</v>
      </c>
      <c r="H2" s="51">
        <v>5500</v>
      </c>
      <c r="I2" s="51">
        <v>5500</v>
      </c>
      <c r="J2" s="51">
        <v>5500</v>
      </c>
      <c r="K2" s="51">
        <v>5500</v>
      </c>
      <c r="L2" s="51">
        <v>5500</v>
      </c>
      <c r="M2" s="51">
        <v>5500</v>
      </c>
    </row>
    <row r="3" spans="1:14" ht="13.5" customHeight="1" x14ac:dyDescent="0.25">
      <c r="A3" s="50" t="s">
        <v>111</v>
      </c>
      <c r="B3" s="51">
        <v>15000</v>
      </c>
      <c r="C3" s="51">
        <v>15000</v>
      </c>
      <c r="D3" s="51">
        <v>15000</v>
      </c>
      <c r="E3" s="51">
        <v>15000</v>
      </c>
      <c r="F3" s="51">
        <v>15000</v>
      </c>
      <c r="G3" s="51">
        <v>15000</v>
      </c>
      <c r="H3" s="51">
        <v>15000</v>
      </c>
      <c r="I3" s="51">
        <v>15000</v>
      </c>
      <c r="J3" s="51">
        <v>15000</v>
      </c>
      <c r="K3" s="51">
        <v>15000</v>
      </c>
      <c r="L3" s="51">
        <v>15000</v>
      </c>
      <c r="M3" s="51">
        <v>15000</v>
      </c>
    </row>
    <row r="4" spans="1:14" ht="15.75" x14ac:dyDescent="0.25">
      <c r="A4" s="50" t="s">
        <v>112</v>
      </c>
      <c r="B4" s="51">
        <f t="shared" ref="B4:M4" si="0">SUM(B2:B3)</f>
        <v>20500</v>
      </c>
      <c r="C4" s="51">
        <f t="shared" si="0"/>
        <v>20500</v>
      </c>
      <c r="D4" s="51">
        <f t="shared" si="0"/>
        <v>20500</v>
      </c>
      <c r="E4" s="51">
        <f t="shared" si="0"/>
        <v>20500</v>
      </c>
      <c r="F4" s="51">
        <f t="shared" si="0"/>
        <v>20500</v>
      </c>
      <c r="G4" s="51">
        <f t="shared" si="0"/>
        <v>20500</v>
      </c>
      <c r="H4" s="51">
        <f t="shared" si="0"/>
        <v>20500</v>
      </c>
      <c r="I4" s="51">
        <f t="shared" si="0"/>
        <v>20500</v>
      </c>
      <c r="J4" s="51">
        <f t="shared" si="0"/>
        <v>20500</v>
      </c>
      <c r="K4" s="51">
        <f t="shared" si="0"/>
        <v>20500</v>
      </c>
      <c r="L4" s="51">
        <f t="shared" si="0"/>
        <v>20500</v>
      </c>
      <c r="M4" s="51">
        <f t="shared" si="0"/>
        <v>20500</v>
      </c>
      <c r="N4" s="37" t="s">
        <v>113</v>
      </c>
    </row>
    <row r="5" spans="1:14" ht="15.75" x14ac:dyDescent="0.25">
      <c r="A5" s="50" t="s">
        <v>114</v>
      </c>
      <c r="B5" s="51">
        <f>B4</f>
        <v>20500</v>
      </c>
      <c r="C5" s="51">
        <f t="shared" ref="C5:M5" si="1">B5+C4</f>
        <v>41000</v>
      </c>
      <c r="D5" s="51">
        <f t="shared" si="1"/>
        <v>61500</v>
      </c>
      <c r="E5" s="51">
        <f t="shared" si="1"/>
        <v>82000</v>
      </c>
      <c r="F5" s="51">
        <f t="shared" si="1"/>
        <v>102500</v>
      </c>
      <c r="G5" s="51">
        <f t="shared" si="1"/>
        <v>123000</v>
      </c>
      <c r="H5" s="51">
        <f t="shared" si="1"/>
        <v>143500</v>
      </c>
      <c r="I5" s="51">
        <f t="shared" si="1"/>
        <v>164000</v>
      </c>
      <c r="J5" s="51">
        <f t="shared" si="1"/>
        <v>184500</v>
      </c>
      <c r="K5" s="51">
        <f t="shared" si="1"/>
        <v>205000</v>
      </c>
      <c r="L5" s="51">
        <f t="shared" si="1"/>
        <v>225500</v>
      </c>
      <c r="M5" s="51">
        <f t="shared" si="1"/>
        <v>246000</v>
      </c>
      <c r="N5" s="52">
        <f>M5*5</f>
        <v>1230000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3" workbookViewId="0">
      <selection activeCell="A28" sqref="A28:D28"/>
    </sheetView>
  </sheetViews>
  <sheetFormatPr defaultColWidth="38.28515625" defaultRowHeight="15" x14ac:dyDescent="0.25"/>
  <cols>
    <col min="1" max="1" width="41.85546875" customWidth="1"/>
  </cols>
  <sheetData>
    <row r="1" spans="1:4" ht="16.5" customHeight="1" x14ac:dyDescent="0.25">
      <c r="A1" s="151" t="s">
        <v>115</v>
      </c>
      <c r="B1" s="151"/>
      <c r="C1" s="151"/>
      <c r="D1" s="151"/>
    </row>
    <row r="2" spans="1:4" ht="16.5" customHeight="1" x14ac:dyDescent="0.25">
      <c r="A2" s="150" t="s">
        <v>116</v>
      </c>
      <c r="B2" s="150"/>
      <c r="C2" s="150"/>
      <c r="D2" s="150"/>
    </row>
    <row r="3" spans="1:4" ht="16.5" customHeight="1" x14ac:dyDescent="0.25">
      <c r="A3" s="47" t="s">
        <v>117</v>
      </c>
      <c r="B3" s="47" t="s">
        <v>118</v>
      </c>
      <c r="C3" s="47" t="s">
        <v>119</v>
      </c>
      <c r="D3" s="47" t="s">
        <v>83</v>
      </c>
    </row>
    <row r="4" spans="1:4" ht="16.5" customHeight="1" x14ac:dyDescent="0.25">
      <c r="A4" s="47" t="s">
        <v>120</v>
      </c>
      <c r="B4" s="47">
        <v>4</v>
      </c>
      <c r="C4" s="47" t="s">
        <v>121</v>
      </c>
      <c r="D4" s="47" t="s">
        <v>122</v>
      </c>
    </row>
    <row r="5" spans="1:4" ht="16.5" customHeight="1" x14ac:dyDescent="0.25">
      <c r="A5" s="47" t="s">
        <v>123</v>
      </c>
      <c r="B5" s="47">
        <v>4</v>
      </c>
      <c r="C5" s="47" t="s">
        <v>121</v>
      </c>
      <c r="D5" s="47" t="s">
        <v>122</v>
      </c>
    </row>
    <row r="6" spans="1:4" ht="16.5" customHeight="1" x14ac:dyDescent="0.25">
      <c r="A6" s="47" t="s">
        <v>124</v>
      </c>
      <c r="B6" s="47">
        <v>4</v>
      </c>
      <c r="C6" s="47" t="s">
        <v>121</v>
      </c>
      <c r="D6" s="47" t="s">
        <v>122</v>
      </c>
    </row>
    <row r="7" spans="1:4" ht="16.5" customHeight="1" x14ac:dyDescent="0.25">
      <c r="A7" s="47" t="s">
        <v>125</v>
      </c>
      <c r="B7" s="47">
        <v>4</v>
      </c>
      <c r="C7" s="47" t="s">
        <v>121</v>
      </c>
      <c r="D7" s="47" t="s">
        <v>122</v>
      </c>
    </row>
    <row r="8" spans="1:4" ht="16.5" customHeight="1" x14ac:dyDescent="0.25">
      <c r="A8" s="47" t="s">
        <v>126</v>
      </c>
      <c r="B8" s="47">
        <v>4</v>
      </c>
      <c r="C8" s="47" t="s">
        <v>121</v>
      </c>
      <c r="D8" s="47" t="s">
        <v>122</v>
      </c>
    </row>
    <row r="9" spans="1:4" ht="16.5" customHeight="1" x14ac:dyDescent="0.25">
      <c r="A9" s="47" t="s">
        <v>127</v>
      </c>
      <c r="B9" s="47">
        <v>4</v>
      </c>
      <c r="C9" s="47" t="s">
        <v>121</v>
      </c>
      <c r="D9" s="47" t="s">
        <v>122</v>
      </c>
    </row>
    <row r="11" spans="1:4" ht="16.5" customHeight="1" x14ac:dyDescent="0.25">
      <c r="A11" s="151" t="s">
        <v>128</v>
      </c>
      <c r="B11" s="151"/>
      <c r="C11" s="151"/>
      <c r="D11" s="151"/>
    </row>
    <row r="12" spans="1:4" ht="16.5" customHeight="1" x14ac:dyDescent="0.25">
      <c r="A12" s="150" t="s">
        <v>129</v>
      </c>
      <c r="B12" s="150"/>
      <c r="C12" s="150"/>
      <c r="D12" s="150"/>
    </row>
    <row r="13" spans="1:4" ht="16.5" customHeight="1" x14ac:dyDescent="0.25">
      <c r="A13" s="47" t="s">
        <v>117</v>
      </c>
      <c r="B13" s="47" t="s">
        <v>118</v>
      </c>
      <c r="C13" s="47" t="s">
        <v>119</v>
      </c>
      <c r="D13" s="47" t="s">
        <v>83</v>
      </c>
    </row>
    <row r="14" spans="1:4" ht="16.5" customHeight="1" x14ac:dyDescent="0.25">
      <c r="A14" s="47" t="s">
        <v>130</v>
      </c>
      <c r="B14" s="47">
        <v>5</v>
      </c>
      <c r="C14" s="47" t="s">
        <v>121</v>
      </c>
      <c r="D14" s="47" t="s">
        <v>122</v>
      </c>
    </row>
    <row r="15" spans="1:4" ht="16.5" customHeight="1" x14ac:dyDescent="0.25">
      <c r="A15" s="47" t="s">
        <v>131</v>
      </c>
      <c r="B15" s="47">
        <v>5</v>
      </c>
      <c r="C15" s="47" t="s">
        <v>121</v>
      </c>
      <c r="D15" s="47" t="s">
        <v>122</v>
      </c>
    </row>
    <row r="16" spans="1:4" ht="16.5" customHeight="1" x14ac:dyDescent="0.25">
      <c r="A16" s="47" t="s">
        <v>132</v>
      </c>
      <c r="B16" s="47">
        <v>5</v>
      </c>
      <c r="C16" s="47" t="s">
        <v>121</v>
      </c>
      <c r="D16" s="47" t="s">
        <v>122</v>
      </c>
    </row>
    <row r="17" spans="1:4" ht="16.5" customHeight="1" x14ac:dyDescent="0.25">
      <c r="A17" s="47" t="s">
        <v>133</v>
      </c>
      <c r="B17" s="47">
        <v>5</v>
      </c>
      <c r="C17" s="47" t="s">
        <v>121</v>
      </c>
      <c r="D17" s="47" t="s">
        <v>122</v>
      </c>
    </row>
    <row r="19" spans="1:4" ht="16.5" customHeight="1" x14ac:dyDescent="0.25">
      <c r="A19" s="151" t="s">
        <v>134</v>
      </c>
      <c r="B19" s="151"/>
      <c r="C19" s="151"/>
      <c r="D19" s="151"/>
    </row>
    <row r="20" spans="1:4" ht="16.5" customHeight="1" x14ac:dyDescent="0.25">
      <c r="A20" s="150" t="s">
        <v>135</v>
      </c>
      <c r="B20" s="150"/>
      <c r="C20" s="150"/>
      <c r="D20" s="150"/>
    </row>
    <row r="21" spans="1:4" ht="16.5" customHeight="1" x14ac:dyDescent="0.25">
      <c r="A21" s="47" t="s">
        <v>117</v>
      </c>
      <c r="B21" s="47" t="s">
        <v>118</v>
      </c>
      <c r="C21" s="47" t="s">
        <v>119</v>
      </c>
      <c r="D21" s="47" t="s">
        <v>83</v>
      </c>
    </row>
    <row r="22" spans="1:4" ht="16.5" customHeight="1" x14ac:dyDescent="0.25">
      <c r="A22" s="47" t="s">
        <v>136</v>
      </c>
      <c r="B22" s="47">
        <v>4</v>
      </c>
      <c r="C22" s="47" t="s">
        <v>121</v>
      </c>
      <c r="D22" s="47" t="s">
        <v>122</v>
      </c>
    </row>
    <row r="23" spans="1:4" ht="16.5" customHeight="1" x14ac:dyDescent="0.25">
      <c r="A23" s="47" t="s">
        <v>137</v>
      </c>
      <c r="B23" s="47">
        <v>4</v>
      </c>
      <c r="C23" s="47" t="s">
        <v>121</v>
      </c>
      <c r="D23" s="47" t="s">
        <v>122</v>
      </c>
    </row>
    <row r="24" spans="1:4" ht="16.5" customHeight="1" x14ac:dyDescent="0.25">
      <c r="A24" s="47" t="s">
        <v>138</v>
      </c>
      <c r="B24" s="47">
        <v>4</v>
      </c>
      <c r="C24" s="47" t="s">
        <v>121</v>
      </c>
      <c r="D24" s="47" t="s">
        <v>122</v>
      </c>
    </row>
    <row r="25" spans="1:4" ht="16.5" customHeight="1" x14ac:dyDescent="0.25">
      <c r="A25" s="47" t="s">
        <v>139</v>
      </c>
      <c r="B25" s="47">
        <v>4</v>
      </c>
      <c r="C25" s="47" t="s">
        <v>121</v>
      </c>
      <c r="D25" s="47" t="s">
        <v>122</v>
      </c>
    </row>
    <row r="26" spans="1:4" ht="16.5" customHeight="1" x14ac:dyDescent="0.25">
      <c r="A26" s="47" t="s">
        <v>140</v>
      </c>
      <c r="B26" s="47">
        <v>4</v>
      </c>
      <c r="C26" s="47">
        <v>15</v>
      </c>
      <c r="D26" s="47" t="s">
        <v>122</v>
      </c>
    </row>
    <row r="28" spans="1:4" ht="16.5" customHeight="1" x14ac:dyDescent="0.25">
      <c r="A28" s="151" t="s">
        <v>141</v>
      </c>
      <c r="B28" s="151"/>
      <c r="C28" s="151"/>
      <c r="D28" s="151"/>
    </row>
    <row r="29" spans="1:4" ht="16.5" customHeight="1" x14ac:dyDescent="0.25">
      <c r="A29" s="47" t="s">
        <v>117</v>
      </c>
      <c r="B29" s="47" t="s">
        <v>118</v>
      </c>
      <c r="C29" s="47" t="s">
        <v>119</v>
      </c>
      <c r="D29" s="47" t="s">
        <v>83</v>
      </c>
    </row>
    <row r="30" spans="1:4" ht="16.5" customHeight="1" x14ac:dyDescent="0.25">
      <c r="A30" s="47" t="s">
        <v>142</v>
      </c>
      <c r="B30" s="47">
        <v>3</v>
      </c>
      <c r="C30" s="47">
        <v>15</v>
      </c>
      <c r="D30" s="47" t="s">
        <v>143</v>
      </c>
    </row>
    <row r="31" spans="1:4" ht="16.5" customHeight="1" x14ac:dyDescent="0.25">
      <c r="A31" s="47" t="s">
        <v>144</v>
      </c>
      <c r="B31" s="47">
        <v>3</v>
      </c>
      <c r="C31" s="47">
        <v>15</v>
      </c>
      <c r="D31" s="47" t="s">
        <v>143</v>
      </c>
    </row>
    <row r="32" spans="1:4" ht="16.5" customHeight="1" x14ac:dyDescent="0.25">
      <c r="A32" s="47" t="s">
        <v>145</v>
      </c>
      <c r="B32" s="47">
        <v>3</v>
      </c>
      <c r="C32" s="47">
        <v>15</v>
      </c>
      <c r="D32" s="47" t="s">
        <v>143</v>
      </c>
    </row>
    <row r="33" spans="1:4" ht="16.5" customHeight="1" x14ac:dyDescent="0.25">
      <c r="A33" s="47" t="s">
        <v>146</v>
      </c>
      <c r="B33" s="47">
        <v>3</v>
      </c>
      <c r="C33" s="47">
        <v>15</v>
      </c>
      <c r="D33" s="47" t="s">
        <v>143</v>
      </c>
    </row>
    <row r="34" spans="1:4" ht="16.5" customHeight="1" x14ac:dyDescent="0.25">
      <c r="A34" s="47" t="s">
        <v>147</v>
      </c>
      <c r="B34" s="47">
        <v>3</v>
      </c>
      <c r="C34" s="47">
        <v>15</v>
      </c>
      <c r="D34" s="47" t="s">
        <v>143</v>
      </c>
    </row>
  </sheetData>
  <mergeCells count="7">
    <mergeCell ref="A20:D20"/>
    <mergeCell ref="A28:D28"/>
    <mergeCell ref="A1:D1"/>
    <mergeCell ref="A2:D2"/>
    <mergeCell ref="A11:D11"/>
    <mergeCell ref="A12:D12"/>
    <mergeCell ref="A19:D19"/>
  </mergeCells>
  <hyperlinks>
    <hyperlink ref="A15" r:id="rId1"/>
  </hyperlinks>
  <printOptions horizontalCentered="1" verticalCentered="1"/>
  <pageMargins left="0.39374999999999999" right="0.39374999999999999" top="0.59027777777777801" bottom="0.59027777777777801" header="0.511811023622047" footer="0.511811023622047"/>
  <pageSetup paperSize="9" scale="87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4"/>
  <sheetViews>
    <sheetView showGridLines="0" tabSelected="1" topLeftCell="A642" zoomScale="85" zoomScaleNormal="85" workbookViewId="0">
      <selection activeCell="J659" sqref="J659"/>
    </sheetView>
  </sheetViews>
  <sheetFormatPr defaultColWidth="8.7109375" defaultRowHeight="15" x14ac:dyDescent="0.25"/>
  <cols>
    <col min="1" max="1" width="4" customWidth="1"/>
    <col min="2" max="2" width="11" customWidth="1"/>
    <col min="3" max="3" width="14.42578125" customWidth="1"/>
    <col min="4" max="4" width="15.28515625" customWidth="1"/>
    <col min="5" max="10" width="13.5703125" customWidth="1"/>
    <col min="11" max="11" width="14.85546875" customWidth="1"/>
    <col min="12" max="12" width="14.5703125" customWidth="1"/>
    <col min="13" max="13" width="14.28515625" customWidth="1"/>
    <col min="14" max="14" width="10.5703125" customWidth="1"/>
    <col min="26" max="26" width="16.85546875" customWidth="1"/>
    <col min="27" max="27" width="13.5703125" customWidth="1"/>
    <col min="28" max="28" width="15.5703125" customWidth="1"/>
    <col min="29" max="29" width="12.140625" customWidth="1"/>
    <col min="30" max="30" width="12.7109375" customWidth="1"/>
  </cols>
  <sheetData>
    <row r="1" spans="2:10" ht="9" customHeight="1" x14ac:dyDescent="0.25"/>
    <row r="2" spans="2:10" ht="15" customHeight="1" x14ac:dyDescent="0.25">
      <c r="B2" s="1" t="s">
        <v>148</v>
      </c>
      <c r="C2" s="2" t="s">
        <v>149</v>
      </c>
      <c r="D2" s="2" t="s">
        <v>150</v>
      </c>
      <c r="E2" s="2"/>
      <c r="F2" s="156" t="s">
        <v>151</v>
      </c>
      <c r="G2" s="156"/>
      <c r="H2" s="156"/>
      <c r="I2" s="156"/>
      <c r="J2" s="156"/>
    </row>
    <row r="3" spans="2:10" ht="14.25" customHeight="1" x14ac:dyDescent="0.25">
      <c r="B3" s="3" t="s">
        <v>5</v>
      </c>
      <c r="C3" s="4"/>
      <c r="D3" s="4" t="s">
        <v>152</v>
      </c>
      <c r="E3" s="4" t="s">
        <v>153</v>
      </c>
      <c r="F3" s="5" t="s">
        <v>154</v>
      </c>
      <c r="G3" s="5" t="s">
        <v>155</v>
      </c>
      <c r="H3" s="5" t="s">
        <v>110</v>
      </c>
      <c r="I3" s="5" t="s">
        <v>156</v>
      </c>
      <c r="J3" s="25" t="s">
        <v>157</v>
      </c>
    </row>
    <row r="4" spans="2:10" ht="12.75" customHeight="1" x14ac:dyDescent="0.25">
      <c r="B4" s="6">
        <v>2015</v>
      </c>
      <c r="C4" s="2"/>
      <c r="D4" s="2"/>
      <c r="E4" s="2"/>
      <c r="F4" s="2"/>
      <c r="G4" s="2"/>
      <c r="H4" s="2"/>
      <c r="I4" s="2"/>
      <c r="J4" s="2"/>
    </row>
    <row r="5" spans="2:10" ht="13.5" customHeight="1" x14ac:dyDescent="0.25">
      <c r="B5" s="7" t="s">
        <v>26</v>
      </c>
      <c r="C5" s="2"/>
      <c r="D5" s="8" t="s">
        <v>158</v>
      </c>
      <c r="E5" s="2"/>
      <c r="F5" s="9">
        <v>1080</v>
      </c>
      <c r="G5" s="9">
        <v>736.96</v>
      </c>
      <c r="H5" s="9">
        <v>1538.46</v>
      </c>
      <c r="I5" s="9">
        <v>921.27</v>
      </c>
      <c r="J5" s="9">
        <v>1547.57</v>
      </c>
    </row>
    <row r="6" spans="2:10" ht="8.25" customHeight="1" x14ac:dyDescent="0.25">
      <c r="B6" s="10"/>
      <c r="C6" s="4"/>
      <c r="D6" s="11"/>
      <c r="E6" s="4"/>
      <c r="F6" s="12"/>
      <c r="G6" s="12"/>
      <c r="H6" s="12"/>
      <c r="I6" s="12"/>
      <c r="J6" s="12"/>
    </row>
    <row r="7" spans="2:10" ht="12" customHeight="1" x14ac:dyDescent="0.25">
      <c r="B7" s="153" t="s">
        <v>159</v>
      </c>
      <c r="C7" s="13" t="s">
        <v>160</v>
      </c>
      <c r="D7" s="14" t="s">
        <v>161</v>
      </c>
      <c r="E7" s="15">
        <v>400</v>
      </c>
      <c r="F7" s="16">
        <f t="shared" ref="F7:F24" si="0">$E7/5</f>
        <v>80</v>
      </c>
      <c r="G7" s="15">
        <f t="shared" ref="G7:G24" si="1">$E7/5</f>
        <v>80</v>
      </c>
      <c r="H7" s="16">
        <f t="shared" ref="H7:H24" si="2">$E7/5</f>
        <v>80</v>
      </c>
      <c r="I7" s="15">
        <f t="shared" ref="I7:I24" si="3">$E7/5</f>
        <v>80</v>
      </c>
      <c r="J7" s="16">
        <f t="shared" ref="J7:J24" si="4">$E7/5</f>
        <v>80</v>
      </c>
    </row>
    <row r="8" spans="2:10" x14ac:dyDescent="0.25">
      <c r="B8" s="153"/>
      <c r="C8" s="13" t="s">
        <v>160</v>
      </c>
      <c r="D8" s="14" t="s">
        <v>20</v>
      </c>
      <c r="E8" s="15">
        <v>39.270000000000003</v>
      </c>
      <c r="F8" s="16">
        <f t="shared" si="0"/>
        <v>7.854000000000001</v>
      </c>
      <c r="G8" s="15">
        <f t="shared" si="1"/>
        <v>7.854000000000001</v>
      </c>
      <c r="H8" s="16">
        <f t="shared" si="2"/>
        <v>7.854000000000001</v>
      </c>
      <c r="I8" s="15">
        <f t="shared" si="3"/>
        <v>7.854000000000001</v>
      </c>
      <c r="J8" s="16">
        <f t="shared" si="4"/>
        <v>7.854000000000001</v>
      </c>
    </row>
    <row r="9" spans="2:10" x14ac:dyDescent="0.25">
      <c r="B9" s="153"/>
      <c r="C9" s="13" t="s">
        <v>160</v>
      </c>
      <c r="D9" s="14" t="s">
        <v>21</v>
      </c>
      <c r="E9" s="15">
        <v>158.76</v>
      </c>
      <c r="F9" s="16">
        <f t="shared" si="0"/>
        <v>31.751999999999999</v>
      </c>
      <c r="G9" s="15">
        <f t="shared" si="1"/>
        <v>31.751999999999999</v>
      </c>
      <c r="H9" s="16">
        <f t="shared" si="2"/>
        <v>31.751999999999999</v>
      </c>
      <c r="I9" s="15">
        <f t="shared" si="3"/>
        <v>31.751999999999999</v>
      </c>
      <c r="J9" s="16">
        <f t="shared" si="4"/>
        <v>31.751999999999999</v>
      </c>
    </row>
    <row r="10" spans="2:10" x14ac:dyDescent="0.25">
      <c r="B10" s="153"/>
      <c r="C10" s="13" t="s">
        <v>160</v>
      </c>
      <c r="D10" s="14" t="s">
        <v>162</v>
      </c>
      <c r="E10" s="15">
        <v>94.97</v>
      </c>
      <c r="F10" s="16">
        <f t="shared" si="0"/>
        <v>18.994</v>
      </c>
      <c r="G10" s="15">
        <f t="shared" si="1"/>
        <v>18.994</v>
      </c>
      <c r="H10" s="16">
        <f t="shared" si="2"/>
        <v>18.994</v>
      </c>
      <c r="I10" s="15">
        <f t="shared" si="3"/>
        <v>18.994</v>
      </c>
      <c r="J10" s="16">
        <f t="shared" si="4"/>
        <v>18.994</v>
      </c>
    </row>
    <row r="11" spans="2:10" x14ac:dyDescent="0.25">
      <c r="B11" s="153"/>
      <c r="C11" s="13" t="s">
        <v>163</v>
      </c>
      <c r="D11" s="14"/>
      <c r="E11" s="15">
        <v>0</v>
      </c>
      <c r="F11" s="16">
        <f t="shared" si="0"/>
        <v>0</v>
      </c>
      <c r="G11" s="15">
        <f t="shared" si="1"/>
        <v>0</v>
      </c>
      <c r="H11" s="16">
        <f t="shared" si="2"/>
        <v>0</v>
      </c>
      <c r="I11" s="15">
        <f t="shared" si="3"/>
        <v>0</v>
      </c>
      <c r="J11" s="16">
        <f t="shared" si="4"/>
        <v>0</v>
      </c>
    </row>
    <row r="12" spans="2:10" x14ac:dyDescent="0.25">
      <c r="B12" s="153"/>
      <c r="C12" s="13" t="s">
        <v>163</v>
      </c>
      <c r="D12" s="14" t="s">
        <v>164</v>
      </c>
      <c r="E12" s="15">
        <v>285.60000000000002</v>
      </c>
      <c r="F12" s="16">
        <f t="shared" si="0"/>
        <v>57.120000000000005</v>
      </c>
      <c r="G12" s="15">
        <f t="shared" si="1"/>
        <v>57.120000000000005</v>
      </c>
      <c r="H12" s="16">
        <f t="shared" si="2"/>
        <v>57.120000000000005</v>
      </c>
      <c r="I12" s="15">
        <f t="shared" si="3"/>
        <v>57.120000000000005</v>
      </c>
      <c r="J12" s="16">
        <f t="shared" si="4"/>
        <v>57.120000000000005</v>
      </c>
    </row>
    <row r="13" spans="2:10" x14ac:dyDescent="0.25">
      <c r="B13" s="153"/>
      <c r="C13" s="13" t="s">
        <v>160</v>
      </c>
      <c r="D13" s="14" t="s">
        <v>165</v>
      </c>
      <c r="E13" s="15">
        <v>627.5</v>
      </c>
      <c r="F13" s="16">
        <f t="shared" si="0"/>
        <v>125.5</v>
      </c>
      <c r="G13" s="15">
        <f t="shared" si="1"/>
        <v>125.5</v>
      </c>
      <c r="H13" s="16">
        <f t="shared" si="2"/>
        <v>125.5</v>
      </c>
      <c r="I13" s="15">
        <f t="shared" si="3"/>
        <v>125.5</v>
      </c>
      <c r="J13" s="16">
        <f t="shared" si="4"/>
        <v>125.5</v>
      </c>
    </row>
    <row r="14" spans="2:10" x14ac:dyDescent="0.25">
      <c r="B14" s="153"/>
      <c r="C14" s="13" t="s">
        <v>166</v>
      </c>
      <c r="D14" s="14" t="s">
        <v>167</v>
      </c>
      <c r="E14" s="15">
        <v>40</v>
      </c>
      <c r="F14" s="16">
        <f t="shared" si="0"/>
        <v>8</v>
      </c>
      <c r="G14" s="15">
        <f t="shared" si="1"/>
        <v>8</v>
      </c>
      <c r="H14" s="16">
        <f t="shared" si="2"/>
        <v>8</v>
      </c>
      <c r="I14" s="15">
        <f t="shared" si="3"/>
        <v>8</v>
      </c>
      <c r="J14" s="16">
        <f t="shared" si="4"/>
        <v>8</v>
      </c>
    </row>
    <row r="15" spans="2:10" x14ac:dyDescent="0.25">
      <c r="B15" s="153"/>
      <c r="C15" s="13" t="s">
        <v>163</v>
      </c>
      <c r="D15" s="14" t="s">
        <v>26</v>
      </c>
      <c r="E15" s="15">
        <v>0</v>
      </c>
      <c r="F15" s="16">
        <f t="shared" si="0"/>
        <v>0</v>
      </c>
      <c r="G15" s="15">
        <f t="shared" si="1"/>
        <v>0</v>
      </c>
      <c r="H15" s="16">
        <f t="shared" si="2"/>
        <v>0</v>
      </c>
      <c r="I15" s="15">
        <f t="shared" si="3"/>
        <v>0</v>
      </c>
      <c r="J15" s="16">
        <f t="shared" si="4"/>
        <v>0</v>
      </c>
    </row>
    <row r="16" spans="2:10" x14ac:dyDescent="0.25">
      <c r="B16" s="153"/>
      <c r="C16" s="13" t="s">
        <v>168</v>
      </c>
      <c r="D16" s="14" t="s">
        <v>169</v>
      </c>
      <c r="E16" s="15">
        <v>87.27</v>
      </c>
      <c r="F16" s="16">
        <f t="shared" si="0"/>
        <v>17.454000000000001</v>
      </c>
      <c r="G16" s="15">
        <f t="shared" si="1"/>
        <v>17.454000000000001</v>
      </c>
      <c r="H16" s="16">
        <f t="shared" si="2"/>
        <v>17.454000000000001</v>
      </c>
      <c r="I16" s="15">
        <f t="shared" si="3"/>
        <v>17.454000000000001</v>
      </c>
      <c r="J16" s="16">
        <f t="shared" si="4"/>
        <v>17.454000000000001</v>
      </c>
    </row>
    <row r="17" spans="2:12" x14ac:dyDescent="0.25">
      <c r="B17" s="153"/>
      <c r="C17" s="13" t="s">
        <v>163</v>
      </c>
      <c r="D17" s="14" t="s">
        <v>26</v>
      </c>
      <c r="E17" s="15">
        <v>0</v>
      </c>
      <c r="F17" s="16">
        <f t="shared" si="0"/>
        <v>0</v>
      </c>
      <c r="G17" s="15">
        <f t="shared" si="1"/>
        <v>0</v>
      </c>
      <c r="H17" s="16">
        <f t="shared" si="2"/>
        <v>0</v>
      </c>
      <c r="I17" s="15">
        <f t="shared" si="3"/>
        <v>0</v>
      </c>
      <c r="J17" s="16">
        <f t="shared" si="4"/>
        <v>0</v>
      </c>
    </row>
    <row r="18" spans="2:12" x14ac:dyDescent="0.25">
      <c r="B18" s="153"/>
      <c r="C18" s="13" t="s">
        <v>170</v>
      </c>
      <c r="D18" s="14" t="s">
        <v>171</v>
      </c>
      <c r="E18" s="15">
        <v>200</v>
      </c>
      <c r="F18" s="16">
        <f t="shared" si="0"/>
        <v>40</v>
      </c>
      <c r="G18" s="15">
        <f t="shared" si="1"/>
        <v>40</v>
      </c>
      <c r="H18" s="16">
        <f t="shared" si="2"/>
        <v>40</v>
      </c>
      <c r="I18" s="15">
        <f t="shared" si="3"/>
        <v>40</v>
      </c>
      <c r="J18" s="16">
        <f t="shared" si="4"/>
        <v>40</v>
      </c>
    </row>
    <row r="19" spans="2:12" x14ac:dyDescent="0.25">
      <c r="B19" s="153"/>
      <c r="C19" s="13" t="s">
        <v>170</v>
      </c>
      <c r="D19" s="14" t="s">
        <v>172</v>
      </c>
      <c r="E19" s="15">
        <v>95.31</v>
      </c>
      <c r="F19" s="16">
        <f t="shared" si="0"/>
        <v>19.062000000000001</v>
      </c>
      <c r="G19" s="15">
        <f t="shared" si="1"/>
        <v>19.062000000000001</v>
      </c>
      <c r="H19" s="16">
        <f t="shared" si="2"/>
        <v>19.062000000000001</v>
      </c>
      <c r="I19" s="15">
        <f t="shared" si="3"/>
        <v>19.062000000000001</v>
      </c>
      <c r="J19" s="16">
        <f t="shared" si="4"/>
        <v>19.062000000000001</v>
      </c>
    </row>
    <row r="20" spans="2:12" x14ac:dyDescent="0.25">
      <c r="B20" s="153"/>
      <c r="C20" s="13" t="s">
        <v>163</v>
      </c>
      <c r="D20" s="14" t="s">
        <v>173</v>
      </c>
      <c r="E20" s="15">
        <v>103.98</v>
      </c>
      <c r="F20" s="16">
        <f t="shared" si="0"/>
        <v>20.795999999999999</v>
      </c>
      <c r="G20" s="15">
        <f t="shared" si="1"/>
        <v>20.795999999999999</v>
      </c>
      <c r="H20" s="16">
        <f t="shared" si="2"/>
        <v>20.795999999999999</v>
      </c>
      <c r="I20" s="15">
        <f t="shared" si="3"/>
        <v>20.795999999999999</v>
      </c>
      <c r="J20" s="16">
        <f t="shared" si="4"/>
        <v>20.795999999999999</v>
      </c>
    </row>
    <row r="21" spans="2:12" x14ac:dyDescent="0.25">
      <c r="B21" s="153"/>
      <c r="C21" s="17" t="s">
        <v>163</v>
      </c>
      <c r="D21" s="18" t="s">
        <v>26</v>
      </c>
      <c r="E21" s="15">
        <v>0</v>
      </c>
      <c r="F21" s="16">
        <f t="shared" si="0"/>
        <v>0</v>
      </c>
      <c r="G21" s="15">
        <f t="shared" si="1"/>
        <v>0</v>
      </c>
      <c r="H21" s="16">
        <f t="shared" si="2"/>
        <v>0</v>
      </c>
      <c r="I21" s="15">
        <f t="shared" si="3"/>
        <v>0</v>
      </c>
      <c r="J21" s="16">
        <f t="shared" si="4"/>
        <v>0</v>
      </c>
    </row>
    <row r="22" spans="2:12" x14ac:dyDescent="0.25">
      <c r="B22" s="153"/>
      <c r="C22" s="17"/>
      <c r="D22" s="18"/>
      <c r="E22" s="15">
        <v>0</v>
      </c>
      <c r="F22" s="16">
        <f t="shared" si="0"/>
        <v>0</v>
      </c>
      <c r="G22" s="15">
        <f t="shared" si="1"/>
        <v>0</v>
      </c>
      <c r="H22" s="16">
        <f t="shared" si="2"/>
        <v>0</v>
      </c>
      <c r="I22" s="15">
        <f t="shared" si="3"/>
        <v>0</v>
      </c>
      <c r="J22" s="16">
        <f t="shared" si="4"/>
        <v>0</v>
      </c>
      <c r="K22" s="26" t="s">
        <v>26</v>
      </c>
    </row>
    <row r="23" spans="2:12" x14ac:dyDescent="0.25">
      <c r="B23" s="153"/>
      <c r="C23" s="2" t="s">
        <v>160</v>
      </c>
      <c r="D23" s="4" t="s">
        <v>174</v>
      </c>
      <c r="E23" s="19">
        <v>0</v>
      </c>
      <c r="F23" s="16">
        <f t="shared" si="0"/>
        <v>0</v>
      </c>
      <c r="G23" s="19">
        <f t="shared" si="1"/>
        <v>0</v>
      </c>
      <c r="H23" s="16">
        <f t="shared" si="2"/>
        <v>0</v>
      </c>
      <c r="I23" s="19">
        <f t="shared" si="3"/>
        <v>0</v>
      </c>
      <c r="J23" s="16">
        <f t="shared" si="4"/>
        <v>0</v>
      </c>
      <c r="K23" s="26" t="s">
        <v>175</v>
      </c>
    </row>
    <row r="24" spans="2:12" x14ac:dyDescent="0.25">
      <c r="B24" s="153"/>
      <c r="C24" s="2"/>
      <c r="D24" s="4" t="s">
        <v>26</v>
      </c>
      <c r="E24" s="19">
        <v>0</v>
      </c>
      <c r="F24" s="16">
        <f t="shared" si="0"/>
        <v>0</v>
      </c>
      <c r="G24" s="19">
        <f t="shared" si="1"/>
        <v>0</v>
      </c>
      <c r="H24" s="16">
        <f t="shared" si="2"/>
        <v>0</v>
      </c>
      <c r="I24" s="19">
        <f t="shared" si="3"/>
        <v>0</v>
      </c>
      <c r="J24" s="16">
        <f t="shared" si="4"/>
        <v>0</v>
      </c>
      <c r="K24" s="27">
        <f>SUM(E7:E24)</f>
        <v>2132.66</v>
      </c>
    </row>
    <row r="25" spans="2:12" x14ac:dyDescent="0.25">
      <c r="B25" s="153"/>
      <c r="C25" s="20" t="s">
        <v>176</v>
      </c>
      <c r="D25" s="4"/>
      <c r="E25" s="155">
        <f>SUM(F25:J25)/5.43343</f>
        <v>0.36616870316414868</v>
      </c>
      <c r="F25" s="21">
        <f>$K27*1/F5</f>
        <v>0.39493703703703703</v>
      </c>
      <c r="G25" s="21">
        <f>$K27*1/G5</f>
        <v>0.5787722535822839</v>
      </c>
      <c r="H25" s="21">
        <f>$K27*1/H5</f>
        <v>0.27724607724607725</v>
      </c>
      <c r="I25" s="21">
        <f>$K27*1/I5</f>
        <v>0.46298262181553723</v>
      </c>
      <c r="J25" s="21">
        <f>$K27*1/J5</f>
        <v>0.27561402715224514</v>
      </c>
    </row>
    <row r="26" spans="2:12" x14ac:dyDescent="0.25">
      <c r="B26" s="153"/>
      <c r="C26" s="20" t="s">
        <v>177</v>
      </c>
      <c r="D26" s="4"/>
      <c r="E26" s="155"/>
      <c r="F26" s="22">
        <f>$E25</f>
        <v>0.36616870316414868</v>
      </c>
      <c r="G26" s="22">
        <f>$E25</f>
        <v>0.36616870316414868</v>
      </c>
      <c r="H26" s="22">
        <f>$E25</f>
        <v>0.36616870316414868</v>
      </c>
      <c r="I26" s="22">
        <f>$E25</f>
        <v>0.36616870316414868</v>
      </c>
      <c r="J26" s="22">
        <f>$E25</f>
        <v>0.36616870316414868</v>
      </c>
    </row>
    <row r="27" spans="2:12" x14ac:dyDescent="0.25">
      <c r="B27" s="154" t="s">
        <v>178</v>
      </c>
      <c r="C27" s="154"/>
      <c r="D27" s="154"/>
      <c r="E27" s="154"/>
      <c r="F27" s="23" t="s">
        <v>154</v>
      </c>
      <c r="G27" s="23" t="s">
        <v>155</v>
      </c>
      <c r="H27" s="23" t="s">
        <v>110</v>
      </c>
      <c r="I27" s="23" t="s">
        <v>156</v>
      </c>
      <c r="J27" s="28" t="s">
        <v>157</v>
      </c>
      <c r="K27" s="29">
        <f>K24/5</f>
        <v>426.53199999999998</v>
      </c>
      <c r="L27" s="30" t="s">
        <v>179</v>
      </c>
    </row>
    <row r="28" spans="2:12" x14ac:dyDescent="0.25">
      <c r="B28" s="154"/>
      <c r="C28" s="154"/>
      <c r="D28" s="154"/>
      <c r="E28" s="154"/>
      <c r="F28" s="24">
        <f>F5*$E25</f>
        <v>395.4621994172806</v>
      </c>
      <c r="G28" s="24">
        <f>G5*$E25</f>
        <v>269.85168748385104</v>
      </c>
      <c r="H28" s="24">
        <f>H5*$E25</f>
        <v>563.33590306991618</v>
      </c>
      <c r="I28" s="24">
        <f>I5*$E25</f>
        <v>337.34024116403526</v>
      </c>
      <c r="J28" s="24">
        <f>J5*$E25</f>
        <v>566.67169995574159</v>
      </c>
      <c r="K28" s="31" t="s">
        <v>180</v>
      </c>
      <c r="L28" s="32">
        <f>SUM(F28:J28)</f>
        <v>2132.6617310908246</v>
      </c>
    </row>
    <row r="30" spans="2:12" x14ac:dyDescent="0.25">
      <c r="K30" s="33" t="s">
        <v>181</v>
      </c>
      <c r="L30" s="34">
        <f>K24-L28</f>
        <v>-1.7310908247054613E-3</v>
      </c>
    </row>
    <row r="35" spans="2:14" x14ac:dyDescent="0.25">
      <c r="B35" s="1" t="s">
        <v>148</v>
      </c>
      <c r="C35" s="2" t="s">
        <v>149</v>
      </c>
      <c r="D35" s="2" t="s">
        <v>150</v>
      </c>
      <c r="E35" s="2"/>
      <c r="F35" s="156" t="s">
        <v>151</v>
      </c>
      <c r="G35" s="156"/>
      <c r="H35" s="156"/>
      <c r="I35" s="156"/>
      <c r="J35" s="156"/>
    </row>
    <row r="36" spans="2:14" x14ac:dyDescent="0.25">
      <c r="B36" s="3" t="s">
        <v>6</v>
      </c>
      <c r="C36" s="4"/>
      <c r="D36" s="4" t="s">
        <v>152</v>
      </c>
      <c r="E36" s="4" t="s">
        <v>153</v>
      </c>
      <c r="F36" s="5" t="s">
        <v>154</v>
      </c>
      <c r="G36" s="5" t="s">
        <v>155</v>
      </c>
      <c r="H36" s="5" t="s">
        <v>110</v>
      </c>
      <c r="I36" s="5" t="s">
        <v>156</v>
      </c>
      <c r="J36" s="25" t="s">
        <v>157</v>
      </c>
    </row>
    <row r="37" spans="2:14" ht="15.75" x14ac:dyDescent="0.25">
      <c r="B37" s="6">
        <v>2015</v>
      </c>
      <c r="C37" s="2"/>
      <c r="D37" s="2"/>
      <c r="E37" s="2"/>
      <c r="F37" s="2"/>
      <c r="G37" s="2"/>
      <c r="H37" s="2"/>
      <c r="I37" s="2"/>
      <c r="J37" s="2"/>
    </row>
    <row r="38" spans="2:14" ht="15.75" x14ac:dyDescent="0.25">
      <c r="B38" s="7" t="s">
        <v>26</v>
      </c>
      <c r="C38" s="2"/>
      <c r="D38" s="8" t="s">
        <v>158</v>
      </c>
      <c r="E38" s="2"/>
      <c r="F38" s="9">
        <v>1080</v>
      </c>
      <c r="G38" s="9">
        <v>993</v>
      </c>
      <c r="H38" s="9">
        <v>1538.46</v>
      </c>
      <c r="I38" s="9">
        <v>921.27</v>
      </c>
      <c r="J38" s="9">
        <v>1547.57</v>
      </c>
    </row>
    <row r="39" spans="2:14" ht="15.75" x14ac:dyDescent="0.25">
      <c r="B39" s="10"/>
      <c r="C39" s="4"/>
      <c r="D39" s="11"/>
      <c r="E39" s="4"/>
      <c r="F39" s="12"/>
      <c r="G39" s="12"/>
      <c r="H39" s="12"/>
      <c r="I39" s="12"/>
      <c r="J39" s="12"/>
      <c r="N39">
        <v>55</v>
      </c>
    </row>
    <row r="40" spans="2:14" ht="15" customHeight="1" x14ac:dyDescent="0.25">
      <c r="B40" s="153" t="s">
        <v>159</v>
      </c>
      <c r="C40" s="13" t="s">
        <v>160</v>
      </c>
      <c r="D40" s="14" t="s">
        <v>161</v>
      </c>
      <c r="E40" s="15">
        <v>400</v>
      </c>
      <c r="F40" s="16">
        <f t="shared" ref="F40:F57" si="5">$E40/5</f>
        <v>80</v>
      </c>
      <c r="G40" s="15">
        <f t="shared" ref="G40:G57" si="6">$E40/5</f>
        <v>80</v>
      </c>
      <c r="H40" s="16">
        <f t="shared" ref="H40:H57" si="7">$E40/5</f>
        <v>80</v>
      </c>
      <c r="I40" s="15">
        <f t="shared" ref="I40:I57" si="8">$E40/5</f>
        <v>80</v>
      </c>
      <c r="J40" s="16">
        <f t="shared" ref="J40:J57" si="9">$E40/5</f>
        <v>80</v>
      </c>
      <c r="N40">
        <v>20</v>
      </c>
    </row>
    <row r="41" spans="2:14" x14ac:dyDescent="0.25">
      <c r="B41" s="153"/>
      <c r="C41" s="13" t="s">
        <v>160</v>
      </c>
      <c r="D41" s="14" t="s">
        <v>20</v>
      </c>
      <c r="E41" s="15">
        <v>42.46</v>
      </c>
      <c r="F41" s="16">
        <f t="shared" si="5"/>
        <v>8.4920000000000009</v>
      </c>
      <c r="G41" s="15">
        <f t="shared" si="6"/>
        <v>8.4920000000000009</v>
      </c>
      <c r="H41" s="16">
        <f t="shared" si="7"/>
        <v>8.4920000000000009</v>
      </c>
      <c r="I41" s="15">
        <f t="shared" si="8"/>
        <v>8.4920000000000009</v>
      </c>
      <c r="J41" s="16">
        <f t="shared" si="9"/>
        <v>8.4920000000000009</v>
      </c>
      <c r="N41">
        <v>57</v>
      </c>
    </row>
    <row r="42" spans="2:14" x14ac:dyDescent="0.25">
      <c r="B42" s="153"/>
      <c r="C42" s="13" t="s">
        <v>160</v>
      </c>
      <c r="D42" s="14" t="s">
        <v>21</v>
      </c>
      <c r="E42" s="15">
        <v>116.16</v>
      </c>
      <c r="F42" s="16">
        <f t="shared" si="5"/>
        <v>23.231999999999999</v>
      </c>
      <c r="G42" s="15">
        <f t="shared" si="6"/>
        <v>23.231999999999999</v>
      </c>
      <c r="H42" s="16">
        <f t="shared" si="7"/>
        <v>23.231999999999999</v>
      </c>
      <c r="I42" s="15">
        <f t="shared" si="8"/>
        <v>23.231999999999999</v>
      </c>
      <c r="J42" s="16">
        <f t="shared" si="9"/>
        <v>23.231999999999999</v>
      </c>
    </row>
    <row r="43" spans="2:14" x14ac:dyDescent="0.25">
      <c r="B43" s="153"/>
      <c r="C43" s="13" t="s">
        <v>160</v>
      </c>
      <c r="D43" s="14" t="s">
        <v>162</v>
      </c>
      <c r="E43" s="15">
        <v>95.83</v>
      </c>
      <c r="F43" s="16">
        <f t="shared" si="5"/>
        <v>19.166</v>
      </c>
      <c r="G43" s="15">
        <f t="shared" si="6"/>
        <v>19.166</v>
      </c>
      <c r="H43" s="16">
        <f t="shared" si="7"/>
        <v>19.166</v>
      </c>
      <c r="I43" s="15">
        <f t="shared" si="8"/>
        <v>19.166</v>
      </c>
      <c r="J43" s="16">
        <f t="shared" si="9"/>
        <v>19.166</v>
      </c>
    </row>
    <row r="44" spans="2:14" x14ac:dyDescent="0.25">
      <c r="B44" s="153"/>
      <c r="C44" s="13" t="s">
        <v>163</v>
      </c>
      <c r="D44" s="14"/>
      <c r="E44" s="15">
        <v>0</v>
      </c>
      <c r="F44" s="16">
        <f t="shared" si="5"/>
        <v>0</v>
      </c>
      <c r="G44" s="15">
        <f t="shared" si="6"/>
        <v>0</v>
      </c>
      <c r="H44" s="16">
        <f t="shared" si="7"/>
        <v>0</v>
      </c>
      <c r="I44" s="15">
        <f t="shared" si="8"/>
        <v>0</v>
      </c>
      <c r="J44" s="16">
        <f t="shared" si="9"/>
        <v>0</v>
      </c>
      <c r="L44" s="35"/>
    </row>
    <row r="45" spans="2:14" x14ac:dyDescent="0.25">
      <c r="B45" s="153"/>
      <c r="C45" s="13" t="s">
        <v>163</v>
      </c>
      <c r="D45" s="14" t="s">
        <v>182</v>
      </c>
      <c r="E45" s="15">
        <v>46.44</v>
      </c>
      <c r="F45" s="16">
        <f t="shared" si="5"/>
        <v>9.2880000000000003</v>
      </c>
      <c r="G45" s="15">
        <f t="shared" si="6"/>
        <v>9.2880000000000003</v>
      </c>
      <c r="H45" s="16">
        <f t="shared" si="7"/>
        <v>9.2880000000000003</v>
      </c>
      <c r="I45" s="15">
        <f t="shared" si="8"/>
        <v>9.2880000000000003</v>
      </c>
      <c r="J45" s="16">
        <f t="shared" si="9"/>
        <v>9.2880000000000003</v>
      </c>
    </row>
    <row r="46" spans="2:14" x14ac:dyDescent="0.25">
      <c r="B46" s="153"/>
      <c r="C46" s="13" t="s">
        <v>160</v>
      </c>
      <c r="D46" s="14" t="s">
        <v>165</v>
      </c>
      <c r="E46" s="15">
        <v>600</v>
      </c>
      <c r="F46" s="16">
        <f t="shared" si="5"/>
        <v>120</v>
      </c>
      <c r="G46" s="15">
        <f t="shared" si="6"/>
        <v>120</v>
      </c>
      <c r="H46" s="16">
        <f t="shared" si="7"/>
        <v>120</v>
      </c>
      <c r="I46" s="15">
        <f t="shared" si="8"/>
        <v>120</v>
      </c>
      <c r="J46" s="16">
        <f t="shared" si="9"/>
        <v>120</v>
      </c>
    </row>
    <row r="47" spans="2:14" x14ac:dyDescent="0.25">
      <c r="B47" s="153"/>
      <c r="C47" s="13" t="s">
        <v>166</v>
      </c>
      <c r="D47" s="14" t="s">
        <v>167</v>
      </c>
      <c r="E47" s="15">
        <v>55</v>
      </c>
      <c r="F47" s="16">
        <f t="shared" si="5"/>
        <v>11</v>
      </c>
      <c r="G47" s="15">
        <f t="shared" si="6"/>
        <v>11</v>
      </c>
      <c r="H47" s="16">
        <f t="shared" si="7"/>
        <v>11</v>
      </c>
      <c r="I47" s="15">
        <f t="shared" si="8"/>
        <v>11</v>
      </c>
      <c r="J47" s="16">
        <f t="shared" si="9"/>
        <v>11</v>
      </c>
    </row>
    <row r="48" spans="2:14" x14ac:dyDescent="0.25">
      <c r="B48" s="153"/>
      <c r="C48" s="13" t="s">
        <v>163</v>
      </c>
      <c r="D48" s="14" t="s">
        <v>26</v>
      </c>
      <c r="E48" s="15">
        <v>0</v>
      </c>
      <c r="F48" s="16">
        <f t="shared" si="5"/>
        <v>0</v>
      </c>
      <c r="G48" s="15">
        <f t="shared" si="6"/>
        <v>0</v>
      </c>
      <c r="H48" s="16">
        <f t="shared" si="7"/>
        <v>0</v>
      </c>
      <c r="I48" s="15">
        <f t="shared" si="8"/>
        <v>0</v>
      </c>
      <c r="J48" s="16">
        <f t="shared" si="9"/>
        <v>0</v>
      </c>
    </row>
    <row r="49" spans="2:12" x14ac:dyDescent="0.25">
      <c r="B49" s="153"/>
      <c r="C49" s="13" t="s">
        <v>168</v>
      </c>
      <c r="D49" s="14" t="s">
        <v>169</v>
      </c>
      <c r="E49" s="15">
        <f>44.63+38.65+26.31+22.81+25.91</f>
        <v>158.31</v>
      </c>
      <c r="F49" s="16">
        <f t="shared" si="5"/>
        <v>31.661999999999999</v>
      </c>
      <c r="G49" s="15">
        <f t="shared" si="6"/>
        <v>31.661999999999999</v>
      </c>
      <c r="H49" s="16">
        <f t="shared" si="7"/>
        <v>31.661999999999999</v>
      </c>
      <c r="I49" s="15">
        <f t="shared" si="8"/>
        <v>31.661999999999999</v>
      </c>
      <c r="J49" s="16">
        <f t="shared" si="9"/>
        <v>31.661999999999999</v>
      </c>
    </row>
    <row r="50" spans="2:12" x14ac:dyDescent="0.25">
      <c r="B50" s="153"/>
      <c r="C50" s="13" t="s">
        <v>163</v>
      </c>
      <c r="D50" s="14" t="s">
        <v>26</v>
      </c>
      <c r="E50" s="15">
        <v>0</v>
      </c>
      <c r="F50" s="16">
        <f t="shared" si="5"/>
        <v>0</v>
      </c>
      <c r="G50" s="15">
        <f t="shared" si="6"/>
        <v>0</v>
      </c>
      <c r="H50" s="16">
        <f t="shared" si="7"/>
        <v>0</v>
      </c>
      <c r="I50" s="15">
        <f t="shared" si="8"/>
        <v>0</v>
      </c>
      <c r="J50" s="16">
        <f t="shared" si="9"/>
        <v>0</v>
      </c>
    </row>
    <row r="51" spans="2:12" x14ac:dyDescent="0.25">
      <c r="B51" s="153"/>
      <c r="C51" s="13" t="s">
        <v>170</v>
      </c>
      <c r="D51" s="14" t="s">
        <v>183</v>
      </c>
      <c r="E51" s="15">
        <v>200</v>
      </c>
      <c r="F51" s="16">
        <f t="shared" si="5"/>
        <v>40</v>
      </c>
      <c r="G51" s="15">
        <f t="shared" si="6"/>
        <v>40</v>
      </c>
      <c r="H51" s="16">
        <f t="shared" si="7"/>
        <v>40</v>
      </c>
      <c r="I51" s="15">
        <f t="shared" si="8"/>
        <v>40</v>
      </c>
      <c r="J51" s="16">
        <f t="shared" si="9"/>
        <v>40</v>
      </c>
    </row>
    <row r="52" spans="2:12" x14ac:dyDescent="0.25">
      <c r="B52" s="153"/>
      <c r="C52" s="13" t="s">
        <v>170</v>
      </c>
      <c r="D52" s="14" t="s">
        <v>184</v>
      </c>
      <c r="E52" s="15">
        <v>95.31</v>
      </c>
      <c r="F52" s="16">
        <f t="shared" si="5"/>
        <v>19.062000000000001</v>
      </c>
      <c r="G52" s="15">
        <f t="shared" si="6"/>
        <v>19.062000000000001</v>
      </c>
      <c r="H52" s="16">
        <f t="shared" si="7"/>
        <v>19.062000000000001</v>
      </c>
      <c r="I52" s="15">
        <f t="shared" si="8"/>
        <v>19.062000000000001</v>
      </c>
      <c r="J52" s="16">
        <f t="shared" si="9"/>
        <v>19.062000000000001</v>
      </c>
    </row>
    <row r="53" spans="2:12" x14ac:dyDescent="0.25">
      <c r="B53" s="153"/>
      <c r="C53" s="13" t="s">
        <v>163</v>
      </c>
      <c r="D53" s="14" t="s">
        <v>26</v>
      </c>
      <c r="E53" s="15">
        <v>0</v>
      </c>
      <c r="F53" s="16">
        <f t="shared" si="5"/>
        <v>0</v>
      </c>
      <c r="G53" s="15">
        <f t="shared" si="6"/>
        <v>0</v>
      </c>
      <c r="H53" s="16">
        <f t="shared" si="7"/>
        <v>0</v>
      </c>
      <c r="I53" s="15">
        <f t="shared" si="8"/>
        <v>0</v>
      </c>
      <c r="J53" s="16">
        <f t="shared" si="9"/>
        <v>0</v>
      </c>
    </row>
    <row r="54" spans="2:12" x14ac:dyDescent="0.25">
      <c r="B54" s="153"/>
      <c r="C54" s="17" t="s">
        <v>163</v>
      </c>
      <c r="D54" s="14" t="s">
        <v>20</v>
      </c>
      <c r="E54" s="15">
        <v>76</v>
      </c>
      <c r="F54" s="16">
        <f t="shared" si="5"/>
        <v>15.2</v>
      </c>
      <c r="G54" s="15">
        <f t="shared" si="6"/>
        <v>15.2</v>
      </c>
      <c r="H54" s="16">
        <f t="shared" si="7"/>
        <v>15.2</v>
      </c>
      <c r="I54" s="15">
        <f t="shared" si="8"/>
        <v>15.2</v>
      </c>
      <c r="J54" s="16">
        <f t="shared" si="9"/>
        <v>15.2</v>
      </c>
    </row>
    <row r="55" spans="2:12" x14ac:dyDescent="0.25">
      <c r="B55" s="153"/>
      <c r="C55" s="17"/>
      <c r="D55" s="18"/>
      <c r="E55" s="15">
        <v>0</v>
      </c>
      <c r="F55" s="16">
        <f t="shared" si="5"/>
        <v>0</v>
      </c>
      <c r="G55" s="15">
        <f t="shared" si="6"/>
        <v>0</v>
      </c>
      <c r="H55" s="16">
        <f t="shared" si="7"/>
        <v>0</v>
      </c>
      <c r="I55" s="15">
        <f t="shared" si="8"/>
        <v>0</v>
      </c>
      <c r="J55" s="16">
        <f t="shared" si="9"/>
        <v>0</v>
      </c>
      <c r="K55" s="26" t="s">
        <v>26</v>
      </c>
    </row>
    <row r="56" spans="2:12" x14ac:dyDescent="0.25">
      <c r="B56" s="153"/>
      <c r="C56" s="2" t="s">
        <v>160</v>
      </c>
      <c r="D56" s="4" t="s">
        <v>174</v>
      </c>
      <c r="E56" s="19">
        <v>0</v>
      </c>
      <c r="F56" s="16">
        <f t="shared" si="5"/>
        <v>0</v>
      </c>
      <c r="G56" s="19">
        <f t="shared" si="6"/>
        <v>0</v>
      </c>
      <c r="H56" s="16">
        <f t="shared" si="7"/>
        <v>0</v>
      </c>
      <c r="I56" s="19">
        <f t="shared" si="8"/>
        <v>0</v>
      </c>
      <c r="J56" s="16">
        <f t="shared" si="9"/>
        <v>0</v>
      </c>
      <c r="K56" s="26" t="s">
        <v>175</v>
      </c>
    </row>
    <row r="57" spans="2:12" x14ac:dyDescent="0.25">
      <c r="B57" s="153"/>
      <c r="C57" s="2"/>
      <c r="D57" s="4" t="s">
        <v>26</v>
      </c>
      <c r="E57" s="19">
        <v>0</v>
      </c>
      <c r="F57" s="16">
        <f t="shared" si="5"/>
        <v>0</v>
      </c>
      <c r="G57" s="19">
        <f t="shared" si="6"/>
        <v>0</v>
      </c>
      <c r="H57" s="16">
        <f t="shared" si="7"/>
        <v>0</v>
      </c>
      <c r="I57" s="19">
        <f t="shared" si="8"/>
        <v>0</v>
      </c>
      <c r="J57" s="16">
        <f t="shared" si="9"/>
        <v>0</v>
      </c>
      <c r="K57" s="27">
        <f>SUM(E40:E57)</f>
        <v>1885.51</v>
      </c>
    </row>
    <row r="58" spans="2:12" ht="15" customHeight="1" x14ac:dyDescent="0.25">
      <c r="B58" s="153"/>
      <c r="C58" s="20" t="s">
        <v>176</v>
      </c>
      <c r="D58" s="4"/>
      <c r="E58" s="155">
        <f>SUM(F58:J58)/5.24683</f>
        <v>0.31010104067131405</v>
      </c>
      <c r="F58" s="21">
        <f>$K60*1/F38</f>
        <v>0.34916851851851849</v>
      </c>
      <c r="G58" s="21">
        <f>$K60*1/G38</f>
        <v>0.37976032225579048</v>
      </c>
      <c r="H58" s="21">
        <f>$K60*1/H38</f>
        <v>0.2451165451165451</v>
      </c>
      <c r="I58" s="21">
        <f>$K60*1/I38</f>
        <v>0.40932842706264178</v>
      </c>
      <c r="J58" s="21">
        <f>$K60*1/J38</f>
        <v>0.24367363027197478</v>
      </c>
    </row>
    <row r="59" spans="2:12" ht="15" customHeight="1" x14ac:dyDescent="0.25">
      <c r="B59" s="153"/>
      <c r="C59" s="20" t="s">
        <v>177</v>
      </c>
      <c r="D59" s="4"/>
      <c r="E59" s="155"/>
      <c r="F59" s="22">
        <f>$E58</f>
        <v>0.31010104067131405</v>
      </c>
      <c r="G59" s="22">
        <f>$E58</f>
        <v>0.31010104067131405</v>
      </c>
      <c r="H59" s="22">
        <f>$E58</f>
        <v>0.31010104067131405</v>
      </c>
      <c r="I59" s="22">
        <f>$E58</f>
        <v>0.31010104067131405</v>
      </c>
      <c r="J59" s="22">
        <f>$E58</f>
        <v>0.31010104067131405</v>
      </c>
    </row>
    <row r="60" spans="2:12" ht="15" customHeight="1" x14ac:dyDescent="0.25">
      <c r="B60" s="154" t="s">
        <v>178</v>
      </c>
      <c r="C60" s="154"/>
      <c r="D60" s="154"/>
      <c r="E60" s="154"/>
      <c r="F60" s="23" t="s">
        <v>154</v>
      </c>
      <c r="G60" s="23" t="s">
        <v>155</v>
      </c>
      <c r="H60" s="23" t="s">
        <v>110</v>
      </c>
      <c r="I60" s="23" t="s">
        <v>156</v>
      </c>
      <c r="J60" s="28" t="s">
        <v>157</v>
      </c>
      <c r="K60" s="29">
        <f>K57/5</f>
        <v>377.10199999999998</v>
      </c>
      <c r="L60" s="30" t="s">
        <v>179</v>
      </c>
    </row>
    <row r="61" spans="2:12" ht="15" customHeight="1" x14ac:dyDescent="0.25">
      <c r="B61" s="154"/>
      <c r="C61" s="154"/>
      <c r="D61" s="154"/>
      <c r="E61" s="154"/>
      <c r="F61" s="24">
        <f>F38*$E58</f>
        <v>334.90912392501917</v>
      </c>
      <c r="G61" s="24">
        <f>G38*$E58</f>
        <v>307.93033338661485</v>
      </c>
      <c r="H61" s="24">
        <f>H38*$E58</f>
        <v>477.07804703118984</v>
      </c>
      <c r="I61" s="24">
        <f>I38*$E58</f>
        <v>285.6867857392615</v>
      </c>
      <c r="J61" s="24">
        <f>J38*$E58</f>
        <v>479.90306751170544</v>
      </c>
      <c r="K61" s="31" t="s">
        <v>180</v>
      </c>
      <c r="L61" s="32">
        <f>SUM(F61:J61)</f>
        <v>1885.5073575937909</v>
      </c>
    </row>
    <row r="63" spans="2:12" x14ac:dyDescent="0.25">
      <c r="K63" s="33" t="s">
        <v>181</v>
      </c>
      <c r="L63" s="34">
        <f>K57-L61</f>
        <v>2.6424062091336964E-3</v>
      </c>
    </row>
    <row r="67" spans="2:10" x14ac:dyDescent="0.25">
      <c r="B67" s="1" t="s">
        <v>148</v>
      </c>
      <c r="C67" s="2" t="s">
        <v>149</v>
      </c>
      <c r="D67" s="2" t="s">
        <v>150</v>
      </c>
      <c r="E67" s="2"/>
      <c r="F67" s="156" t="s">
        <v>151</v>
      </c>
      <c r="G67" s="156"/>
      <c r="H67" s="156"/>
      <c r="I67" s="156"/>
      <c r="J67" s="156"/>
    </row>
    <row r="68" spans="2:10" ht="12" customHeight="1" x14ac:dyDescent="0.25">
      <c r="B68" s="3" t="s">
        <v>7</v>
      </c>
      <c r="C68" s="4"/>
      <c r="D68" s="4" t="s">
        <v>152</v>
      </c>
      <c r="E68" s="4" t="s">
        <v>153</v>
      </c>
      <c r="F68" s="5" t="s">
        <v>154</v>
      </c>
      <c r="G68" s="5" t="s">
        <v>155</v>
      </c>
      <c r="H68" s="5" t="s">
        <v>110</v>
      </c>
      <c r="I68" s="5" t="s">
        <v>156</v>
      </c>
      <c r="J68" s="25" t="s">
        <v>157</v>
      </c>
    </row>
    <row r="69" spans="2:10" ht="13.5" customHeight="1" x14ac:dyDescent="0.25">
      <c r="B69" s="36">
        <v>2016</v>
      </c>
      <c r="C69" s="2"/>
      <c r="D69" s="2"/>
      <c r="E69" s="2"/>
      <c r="F69" s="2"/>
      <c r="G69" s="2"/>
      <c r="H69" s="2"/>
      <c r="I69" s="2"/>
      <c r="J69" s="2"/>
    </row>
    <row r="70" spans="2:10" ht="14.25" customHeight="1" x14ac:dyDescent="0.25">
      <c r="B70" s="7" t="s">
        <v>26</v>
      </c>
      <c r="C70" s="2"/>
      <c r="D70" s="8" t="s">
        <v>158</v>
      </c>
      <c r="E70" s="2"/>
      <c r="F70" s="9">
        <v>1080</v>
      </c>
      <c r="G70" s="9">
        <v>993</v>
      </c>
      <c r="H70" s="9">
        <v>1538.46</v>
      </c>
      <c r="I70" s="9">
        <v>788</v>
      </c>
      <c r="J70" s="9">
        <v>1547.57</v>
      </c>
    </row>
    <row r="71" spans="2:10" ht="9.75" customHeight="1" x14ac:dyDescent="0.25">
      <c r="B71" s="10"/>
      <c r="C71" s="4"/>
      <c r="D71" s="11"/>
      <c r="E71" s="4"/>
      <c r="F71" s="12"/>
      <c r="G71" s="12"/>
      <c r="H71" s="12"/>
      <c r="I71" s="12"/>
      <c r="J71" s="12"/>
    </row>
    <row r="72" spans="2:10" x14ac:dyDescent="0.25">
      <c r="B72" s="153" t="s">
        <v>159</v>
      </c>
      <c r="C72" s="13" t="s">
        <v>160</v>
      </c>
      <c r="D72" s="14" t="s">
        <v>161</v>
      </c>
      <c r="E72" s="15">
        <v>400</v>
      </c>
      <c r="F72" s="16">
        <f t="shared" ref="F72:F89" si="10">$E72/5</f>
        <v>80</v>
      </c>
      <c r="G72" s="15">
        <f t="shared" ref="G72:G89" si="11">$E72/5</f>
        <v>80</v>
      </c>
      <c r="H72" s="16">
        <f t="shared" ref="H72:H89" si="12">$E72/5</f>
        <v>80</v>
      </c>
      <c r="I72" s="15">
        <f t="shared" ref="I72:I89" si="13">$E72/5</f>
        <v>80</v>
      </c>
      <c r="J72" s="16">
        <f t="shared" ref="J72:J89" si="14">$E72/5</f>
        <v>80</v>
      </c>
    </row>
    <row r="73" spans="2:10" x14ac:dyDescent="0.25">
      <c r="B73" s="153"/>
      <c r="C73" s="13" t="s">
        <v>160</v>
      </c>
      <c r="D73" s="14" t="s">
        <v>20</v>
      </c>
      <c r="E73" s="15">
        <v>48.87</v>
      </c>
      <c r="F73" s="16">
        <f t="shared" si="10"/>
        <v>9.7739999999999991</v>
      </c>
      <c r="G73" s="15">
        <f t="shared" si="11"/>
        <v>9.7739999999999991</v>
      </c>
      <c r="H73" s="16">
        <f t="shared" si="12"/>
        <v>9.7739999999999991</v>
      </c>
      <c r="I73" s="15">
        <f t="shared" si="13"/>
        <v>9.7739999999999991</v>
      </c>
      <c r="J73" s="16">
        <f t="shared" si="14"/>
        <v>9.7739999999999991</v>
      </c>
    </row>
    <row r="74" spans="2:10" x14ac:dyDescent="0.25">
      <c r="B74" s="153"/>
      <c r="C74" s="13" t="s">
        <v>160</v>
      </c>
      <c r="D74" s="14" t="s">
        <v>21</v>
      </c>
      <c r="E74" s="15">
        <v>173.99</v>
      </c>
      <c r="F74" s="16">
        <f t="shared" si="10"/>
        <v>34.798000000000002</v>
      </c>
      <c r="G74" s="15">
        <f t="shared" si="11"/>
        <v>34.798000000000002</v>
      </c>
      <c r="H74" s="16">
        <f t="shared" si="12"/>
        <v>34.798000000000002</v>
      </c>
      <c r="I74" s="15">
        <f t="shared" si="13"/>
        <v>34.798000000000002</v>
      </c>
      <c r="J74" s="16">
        <f t="shared" si="14"/>
        <v>34.798000000000002</v>
      </c>
    </row>
    <row r="75" spans="2:10" x14ac:dyDescent="0.25">
      <c r="B75" s="153"/>
      <c r="C75" s="13" t="s">
        <v>160</v>
      </c>
      <c r="D75" s="14" t="s">
        <v>162</v>
      </c>
      <c r="E75" s="15">
        <v>95</v>
      </c>
      <c r="F75" s="16">
        <f t="shared" si="10"/>
        <v>19</v>
      </c>
      <c r="G75" s="15">
        <f t="shared" si="11"/>
        <v>19</v>
      </c>
      <c r="H75" s="16">
        <f t="shared" si="12"/>
        <v>19</v>
      </c>
      <c r="I75" s="15">
        <f t="shared" si="13"/>
        <v>19</v>
      </c>
      <c r="J75" s="16">
        <f t="shared" si="14"/>
        <v>19</v>
      </c>
    </row>
    <row r="76" spans="2:10" x14ac:dyDescent="0.25">
      <c r="B76" s="153"/>
      <c r="C76" s="13" t="s">
        <v>163</v>
      </c>
      <c r="D76" s="14"/>
      <c r="E76" s="15">
        <v>0</v>
      </c>
      <c r="F76" s="16">
        <f t="shared" si="10"/>
        <v>0</v>
      </c>
      <c r="G76" s="15">
        <f t="shared" si="11"/>
        <v>0</v>
      </c>
      <c r="H76" s="16">
        <f t="shared" si="12"/>
        <v>0</v>
      </c>
      <c r="I76" s="15">
        <f t="shared" si="13"/>
        <v>0</v>
      </c>
      <c r="J76" s="16">
        <f t="shared" si="14"/>
        <v>0</v>
      </c>
    </row>
    <row r="77" spans="2:10" x14ac:dyDescent="0.25">
      <c r="B77" s="153"/>
      <c r="C77" s="13" t="s">
        <v>163</v>
      </c>
      <c r="D77" s="14" t="s">
        <v>164</v>
      </c>
      <c r="E77" s="15">
        <v>92.97</v>
      </c>
      <c r="F77" s="16">
        <f t="shared" si="10"/>
        <v>18.594000000000001</v>
      </c>
      <c r="G77" s="15">
        <f t="shared" si="11"/>
        <v>18.594000000000001</v>
      </c>
      <c r="H77" s="16">
        <f t="shared" si="12"/>
        <v>18.594000000000001</v>
      </c>
      <c r="I77" s="15">
        <f t="shared" si="13"/>
        <v>18.594000000000001</v>
      </c>
      <c r="J77" s="16">
        <f t="shared" si="14"/>
        <v>18.594000000000001</v>
      </c>
    </row>
    <row r="78" spans="2:10" x14ac:dyDescent="0.25">
      <c r="B78" s="153"/>
      <c r="C78" s="13" t="s">
        <v>160</v>
      </c>
      <c r="D78" s="14" t="s">
        <v>165</v>
      </c>
      <c r="E78" s="15">
        <v>394</v>
      </c>
      <c r="F78" s="16">
        <f t="shared" si="10"/>
        <v>78.8</v>
      </c>
      <c r="G78" s="15">
        <f t="shared" si="11"/>
        <v>78.8</v>
      </c>
      <c r="H78" s="16">
        <f t="shared" si="12"/>
        <v>78.8</v>
      </c>
      <c r="I78" s="15">
        <f t="shared" si="13"/>
        <v>78.8</v>
      </c>
      <c r="J78" s="16">
        <f t="shared" si="14"/>
        <v>78.8</v>
      </c>
    </row>
    <row r="79" spans="2:10" x14ac:dyDescent="0.25">
      <c r="B79" s="153"/>
      <c r="C79" s="13" t="s">
        <v>166</v>
      </c>
      <c r="D79" s="14" t="s">
        <v>167</v>
      </c>
      <c r="E79" s="15">
        <v>0</v>
      </c>
      <c r="F79" s="16">
        <f t="shared" si="10"/>
        <v>0</v>
      </c>
      <c r="G79" s="15">
        <f t="shared" si="11"/>
        <v>0</v>
      </c>
      <c r="H79" s="16">
        <f t="shared" si="12"/>
        <v>0</v>
      </c>
      <c r="I79" s="15">
        <f t="shared" si="13"/>
        <v>0</v>
      </c>
      <c r="J79" s="16">
        <f t="shared" si="14"/>
        <v>0</v>
      </c>
    </row>
    <row r="80" spans="2:10" x14ac:dyDescent="0.25">
      <c r="B80" s="153"/>
      <c r="C80" s="13" t="s">
        <v>163</v>
      </c>
      <c r="D80" s="14" t="s">
        <v>183</v>
      </c>
      <c r="E80" s="15">
        <v>200</v>
      </c>
      <c r="F80" s="16">
        <f t="shared" si="10"/>
        <v>40</v>
      </c>
      <c r="G80" s="15">
        <f t="shared" si="11"/>
        <v>40</v>
      </c>
      <c r="H80" s="16">
        <f t="shared" si="12"/>
        <v>40</v>
      </c>
      <c r="I80" s="15">
        <f t="shared" si="13"/>
        <v>40</v>
      </c>
      <c r="J80" s="16">
        <f t="shared" si="14"/>
        <v>40</v>
      </c>
    </row>
    <row r="81" spans="2:12" x14ac:dyDescent="0.25">
      <c r="B81" s="153"/>
      <c r="C81" s="13" t="s">
        <v>168</v>
      </c>
      <c r="D81" s="14" t="s">
        <v>169</v>
      </c>
      <c r="E81" s="15">
        <v>95.24</v>
      </c>
      <c r="F81" s="16">
        <f t="shared" si="10"/>
        <v>19.047999999999998</v>
      </c>
      <c r="G81" s="15">
        <f t="shared" si="11"/>
        <v>19.047999999999998</v>
      </c>
      <c r="H81" s="16">
        <f t="shared" si="12"/>
        <v>19.047999999999998</v>
      </c>
      <c r="I81" s="15">
        <f t="shared" si="13"/>
        <v>19.047999999999998</v>
      </c>
      <c r="J81" s="16">
        <f t="shared" si="14"/>
        <v>19.047999999999998</v>
      </c>
    </row>
    <row r="82" spans="2:12" x14ac:dyDescent="0.25">
      <c r="B82" s="153"/>
      <c r="C82" s="13" t="s">
        <v>163</v>
      </c>
      <c r="D82" s="14" t="s">
        <v>185</v>
      </c>
      <c r="E82" s="15">
        <v>27.88</v>
      </c>
      <c r="F82" s="16">
        <f t="shared" si="10"/>
        <v>5.5759999999999996</v>
      </c>
      <c r="G82" s="15">
        <f t="shared" si="11"/>
        <v>5.5759999999999996</v>
      </c>
      <c r="H82" s="16">
        <f t="shared" si="12"/>
        <v>5.5759999999999996</v>
      </c>
      <c r="I82" s="15">
        <f t="shared" si="13"/>
        <v>5.5759999999999996</v>
      </c>
      <c r="J82" s="16">
        <f t="shared" si="14"/>
        <v>5.5759999999999996</v>
      </c>
    </row>
    <row r="83" spans="2:12" x14ac:dyDescent="0.25">
      <c r="B83" s="153"/>
      <c r="C83" s="13" t="s">
        <v>170</v>
      </c>
      <c r="D83" s="14" t="s">
        <v>26</v>
      </c>
      <c r="E83" s="15">
        <v>0</v>
      </c>
      <c r="F83" s="16">
        <f t="shared" si="10"/>
        <v>0</v>
      </c>
      <c r="G83" s="15">
        <f t="shared" si="11"/>
        <v>0</v>
      </c>
      <c r="H83" s="16">
        <f t="shared" si="12"/>
        <v>0</v>
      </c>
      <c r="I83" s="15">
        <f t="shared" si="13"/>
        <v>0</v>
      </c>
      <c r="J83" s="16">
        <f t="shared" si="14"/>
        <v>0</v>
      </c>
    </row>
    <row r="84" spans="2:12" x14ac:dyDescent="0.25">
      <c r="B84" s="153"/>
      <c r="C84" s="13" t="s">
        <v>170</v>
      </c>
      <c r="D84" s="14" t="s">
        <v>186</v>
      </c>
      <c r="E84" s="15">
        <v>95.31</v>
      </c>
      <c r="F84" s="16">
        <f t="shared" si="10"/>
        <v>19.062000000000001</v>
      </c>
      <c r="G84" s="15">
        <f t="shared" si="11"/>
        <v>19.062000000000001</v>
      </c>
      <c r="H84" s="16">
        <f t="shared" si="12"/>
        <v>19.062000000000001</v>
      </c>
      <c r="I84" s="15">
        <f t="shared" si="13"/>
        <v>19.062000000000001</v>
      </c>
      <c r="J84" s="16">
        <f t="shared" si="14"/>
        <v>19.062000000000001</v>
      </c>
    </row>
    <row r="85" spans="2:12" x14ac:dyDescent="0.25">
      <c r="B85" s="153"/>
      <c r="C85" s="13" t="s">
        <v>163</v>
      </c>
      <c r="D85" s="14" t="s">
        <v>26</v>
      </c>
      <c r="E85" s="15">
        <v>0</v>
      </c>
      <c r="F85" s="16">
        <f t="shared" si="10"/>
        <v>0</v>
      </c>
      <c r="G85" s="15">
        <f t="shared" si="11"/>
        <v>0</v>
      </c>
      <c r="H85" s="16">
        <f t="shared" si="12"/>
        <v>0</v>
      </c>
      <c r="I85" s="15">
        <f t="shared" si="13"/>
        <v>0</v>
      </c>
      <c r="J85" s="16">
        <f t="shared" si="14"/>
        <v>0</v>
      </c>
    </row>
    <row r="86" spans="2:12" x14ac:dyDescent="0.25">
      <c r="B86" s="153"/>
      <c r="C86" s="17" t="s">
        <v>163</v>
      </c>
      <c r="D86" s="14" t="s">
        <v>187</v>
      </c>
      <c r="E86" s="15">
        <v>76</v>
      </c>
      <c r="F86" s="16">
        <f t="shared" si="10"/>
        <v>15.2</v>
      </c>
      <c r="G86" s="15">
        <f t="shared" si="11"/>
        <v>15.2</v>
      </c>
      <c r="H86" s="16">
        <f t="shared" si="12"/>
        <v>15.2</v>
      </c>
      <c r="I86" s="15">
        <f t="shared" si="13"/>
        <v>15.2</v>
      </c>
      <c r="J86" s="16">
        <f t="shared" si="14"/>
        <v>15.2</v>
      </c>
    </row>
    <row r="87" spans="2:12" x14ac:dyDescent="0.25">
      <c r="B87" s="153"/>
      <c r="C87" s="17"/>
      <c r="D87" s="18"/>
      <c r="E87" s="15">
        <v>0</v>
      </c>
      <c r="F87" s="16">
        <f t="shared" si="10"/>
        <v>0</v>
      </c>
      <c r="G87" s="15">
        <f t="shared" si="11"/>
        <v>0</v>
      </c>
      <c r="H87" s="16">
        <f t="shared" si="12"/>
        <v>0</v>
      </c>
      <c r="I87" s="15">
        <f t="shared" si="13"/>
        <v>0</v>
      </c>
      <c r="J87" s="16">
        <f t="shared" si="14"/>
        <v>0</v>
      </c>
      <c r="K87" s="26" t="s">
        <v>26</v>
      </c>
    </row>
    <row r="88" spans="2:12" x14ac:dyDescent="0.25">
      <c r="B88" s="153"/>
      <c r="C88" s="2" t="s">
        <v>160</v>
      </c>
      <c r="D88" s="4" t="s">
        <v>174</v>
      </c>
      <c r="E88" s="19">
        <v>0</v>
      </c>
      <c r="F88" s="16">
        <f t="shared" si="10"/>
        <v>0</v>
      </c>
      <c r="G88" s="19">
        <f t="shared" si="11"/>
        <v>0</v>
      </c>
      <c r="H88" s="16">
        <f t="shared" si="12"/>
        <v>0</v>
      </c>
      <c r="I88" s="19">
        <f t="shared" si="13"/>
        <v>0</v>
      </c>
      <c r="J88" s="16">
        <f t="shared" si="14"/>
        <v>0</v>
      </c>
      <c r="K88" s="26" t="s">
        <v>175</v>
      </c>
    </row>
    <row r="89" spans="2:12" x14ac:dyDescent="0.25">
      <c r="B89" s="153"/>
      <c r="C89" s="2"/>
      <c r="D89" s="4" t="s">
        <v>26</v>
      </c>
      <c r="E89" s="19">
        <v>0</v>
      </c>
      <c r="F89" s="16">
        <f t="shared" si="10"/>
        <v>0</v>
      </c>
      <c r="G89" s="19">
        <f t="shared" si="11"/>
        <v>0</v>
      </c>
      <c r="H89" s="16">
        <f t="shared" si="12"/>
        <v>0</v>
      </c>
      <c r="I89" s="19">
        <f t="shared" si="13"/>
        <v>0</v>
      </c>
      <c r="J89" s="16">
        <f t="shared" si="14"/>
        <v>0</v>
      </c>
      <c r="K89" s="27">
        <f>SUM(E72:E89)</f>
        <v>1699.26</v>
      </c>
    </row>
    <row r="90" spans="2:12" x14ac:dyDescent="0.25">
      <c r="B90" s="153"/>
      <c r="C90" s="20" t="s">
        <v>176</v>
      </c>
      <c r="D90" s="4"/>
      <c r="E90" s="155">
        <f>SUM(F90:J90)/5.35017</f>
        <v>0.28573249699528475</v>
      </c>
      <c r="F90" s="21">
        <f>$K92*1/F70</f>
        <v>0.31467777777777778</v>
      </c>
      <c r="G90" s="21">
        <f>$K92*1/G70</f>
        <v>0.3422477341389728</v>
      </c>
      <c r="H90" s="21">
        <f>$K92*1/H70</f>
        <v>0.22090402090402089</v>
      </c>
      <c r="I90" s="21">
        <f>$K92*1/I70</f>
        <v>0.43128426395939085</v>
      </c>
      <c r="J90" s="21">
        <f>$K92*1/J70</f>
        <v>0.21960363666910057</v>
      </c>
    </row>
    <row r="91" spans="2:12" x14ac:dyDescent="0.25">
      <c r="B91" s="153"/>
      <c r="C91" s="20" t="s">
        <v>177</v>
      </c>
      <c r="D91" s="4"/>
      <c r="E91" s="155"/>
      <c r="F91" s="22">
        <f>$E90</f>
        <v>0.28573249699528475</v>
      </c>
      <c r="G91" s="22">
        <f>$E90</f>
        <v>0.28573249699528475</v>
      </c>
      <c r="H91" s="22">
        <f>$E90</f>
        <v>0.28573249699528475</v>
      </c>
      <c r="I91" s="22">
        <f>$E90</f>
        <v>0.28573249699528475</v>
      </c>
      <c r="J91" s="22">
        <f>$E90</f>
        <v>0.28573249699528475</v>
      </c>
    </row>
    <row r="92" spans="2:12" x14ac:dyDescent="0.25">
      <c r="B92" s="154" t="s">
        <v>178</v>
      </c>
      <c r="C92" s="154"/>
      <c r="D92" s="154"/>
      <c r="E92" s="154"/>
      <c r="F92" s="23" t="s">
        <v>154</v>
      </c>
      <c r="G92" s="23" t="s">
        <v>155</v>
      </c>
      <c r="H92" s="23" t="s">
        <v>110</v>
      </c>
      <c r="I92" s="23" t="s">
        <v>156</v>
      </c>
      <c r="J92" s="28" t="s">
        <v>157</v>
      </c>
      <c r="K92" s="29">
        <f>K89/5</f>
        <v>339.85199999999998</v>
      </c>
      <c r="L92" s="30" t="s">
        <v>179</v>
      </c>
    </row>
    <row r="93" spans="2:12" ht="12.75" customHeight="1" x14ac:dyDescent="0.25">
      <c r="B93" s="154"/>
      <c r="C93" s="154"/>
      <c r="D93" s="154"/>
      <c r="E93" s="154"/>
      <c r="F93" s="24">
        <f>F70*$E90</f>
        <v>308.59109675490754</v>
      </c>
      <c r="G93" s="24">
        <f>G70*$E90</f>
        <v>283.73236951631776</v>
      </c>
      <c r="H93" s="24">
        <f>H70*$E90</f>
        <v>439.58801732736578</v>
      </c>
      <c r="I93" s="24">
        <f>I70*$E90</f>
        <v>225.15720763228438</v>
      </c>
      <c r="J93" s="24">
        <f>J70*$E90</f>
        <v>442.19104037499278</v>
      </c>
      <c r="K93" s="31" t="s">
        <v>180</v>
      </c>
      <c r="L93" s="32">
        <f>SUM(F93:J93)</f>
        <v>1699.2597316058682</v>
      </c>
    </row>
    <row r="94" spans="2:12" ht="5.25" customHeight="1" x14ac:dyDescent="0.25"/>
    <row r="95" spans="2:12" x14ac:dyDescent="0.25">
      <c r="F95" s="37" t="s">
        <v>188</v>
      </c>
      <c r="H95">
        <v>368.63</v>
      </c>
      <c r="J95" s="37" t="s">
        <v>188</v>
      </c>
      <c r="K95" s="33" t="s">
        <v>181</v>
      </c>
      <c r="L95" s="34">
        <f>K89-L93</f>
        <v>2.6839413180823612E-4</v>
      </c>
    </row>
    <row r="96" spans="2:12" x14ac:dyDescent="0.25">
      <c r="H96">
        <v>45</v>
      </c>
    </row>
    <row r="97" spans="2:10" x14ac:dyDescent="0.25">
      <c r="J97" s="37"/>
    </row>
    <row r="98" spans="2:10" x14ac:dyDescent="0.25">
      <c r="B98" s="1" t="s">
        <v>148</v>
      </c>
      <c r="C98" s="2" t="s">
        <v>149</v>
      </c>
      <c r="D98" s="2" t="s">
        <v>150</v>
      </c>
      <c r="E98" s="2"/>
      <c r="F98" s="156" t="s">
        <v>151</v>
      </c>
      <c r="G98" s="156"/>
      <c r="H98" s="156"/>
      <c r="I98" s="156"/>
      <c r="J98" s="156"/>
    </row>
    <row r="99" spans="2:10" x14ac:dyDescent="0.25">
      <c r="B99" s="3" t="s">
        <v>8</v>
      </c>
      <c r="C99" s="4"/>
      <c r="D99" s="4" t="s">
        <v>152</v>
      </c>
      <c r="E99" s="4" t="s">
        <v>153</v>
      </c>
      <c r="F99" s="5" t="s">
        <v>154</v>
      </c>
      <c r="G99" s="5" t="s">
        <v>155</v>
      </c>
      <c r="H99" s="5" t="s">
        <v>110</v>
      </c>
      <c r="I99" s="5" t="s">
        <v>156</v>
      </c>
      <c r="J99" s="25" t="s">
        <v>157</v>
      </c>
    </row>
    <row r="100" spans="2:10" ht="12" customHeight="1" x14ac:dyDescent="0.25">
      <c r="B100" s="6">
        <v>2016</v>
      </c>
      <c r="C100" s="2"/>
      <c r="D100" s="2"/>
      <c r="E100" s="2"/>
      <c r="F100" s="2"/>
      <c r="G100" s="2"/>
      <c r="H100" s="2"/>
      <c r="I100" s="2"/>
      <c r="J100" s="2"/>
    </row>
    <row r="101" spans="2:10" ht="15.75" x14ac:dyDescent="0.25">
      <c r="B101" s="7" t="s">
        <v>26</v>
      </c>
      <c r="C101" s="2"/>
      <c r="D101" s="8" t="s">
        <v>158</v>
      </c>
      <c r="E101" s="2"/>
      <c r="F101" s="9">
        <v>1080</v>
      </c>
      <c r="G101" s="9">
        <v>993</v>
      </c>
      <c r="H101" s="9">
        <v>1538.46</v>
      </c>
      <c r="I101" s="9">
        <v>788</v>
      </c>
      <c r="J101" s="9">
        <v>1547.57</v>
      </c>
    </row>
    <row r="102" spans="2:10" ht="15.75" x14ac:dyDescent="0.25">
      <c r="B102" s="10"/>
      <c r="C102" s="4"/>
      <c r="D102" s="11"/>
      <c r="E102" s="4"/>
      <c r="F102" s="12"/>
      <c r="G102" s="12"/>
      <c r="H102" s="12"/>
      <c r="I102" s="12"/>
      <c r="J102" s="12"/>
    </row>
    <row r="103" spans="2:10" x14ac:dyDescent="0.25">
      <c r="B103" s="153" t="s">
        <v>159</v>
      </c>
      <c r="C103" s="13" t="s">
        <v>160</v>
      </c>
      <c r="D103" s="14" t="s">
        <v>161</v>
      </c>
      <c r="E103" s="15">
        <v>400</v>
      </c>
      <c r="F103" s="16">
        <f t="shared" ref="F103:F120" si="15">$E103/5</f>
        <v>80</v>
      </c>
      <c r="G103" s="15">
        <f t="shared" ref="G103:G120" si="16">$E103/5</f>
        <v>80</v>
      </c>
      <c r="H103" s="16">
        <f t="shared" ref="H103:H120" si="17">$E103/5</f>
        <v>80</v>
      </c>
      <c r="I103" s="15">
        <f t="shared" ref="I103:I120" si="18">$E103/5</f>
        <v>80</v>
      </c>
      <c r="J103" s="16">
        <f t="shared" ref="J103:J120" si="19">$E103/5</f>
        <v>80</v>
      </c>
    </row>
    <row r="104" spans="2:10" x14ac:dyDescent="0.25">
      <c r="B104" s="153"/>
      <c r="C104" s="13" t="s">
        <v>160</v>
      </c>
      <c r="D104" s="14" t="s">
        <v>20</v>
      </c>
      <c r="E104" s="15">
        <v>46.98</v>
      </c>
      <c r="F104" s="16">
        <f t="shared" si="15"/>
        <v>9.395999999999999</v>
      </c>
      <c r="G104" s="15">
        <f t="shared" si="16"/>
        <v>9.395999999999999</v>
      </c>
      <c r="H104" s="16">
        <f t="shared" si="17"/>
        <v>9.395999999999999</v>
      </c>
      <c r="I104" s="15">
        <f t="shared" si="18"/>
        <v>9.395999999999999</v>
      </c>
      <c r="J104" s="16">
        <f t="shared" si="19"/>
        <v>9.395999999999999</v>
      </c>
    </row>
    <row r="105" spans="2:10" x14ac:dyDescent="0.25">
      <c r="B105" s="153"/>
      <c r="C105" s="13" t="s">
        <v>160</v>
      </c>
      <c r="D105" s="14" t="s">
        <v>21</v>
      </c>
      <c r="E105" s="15">
        <v>94.19</v>
      </c>
      <c r="F105" s="16">
        <f t="shared" si="15"/>
        <v>18.838000000000001</v>
      </c>
      <c r="G105" s="15">
        <f t="shared" si="16"/>
        <v>18.838000000000001</v>
      </c>
      <c r="H105" s="16">
        <f t="shared" si="17"/>
        <v>18.838000000000001</v>
      </c>
      <c r="I105" s="15">
        <f t="shared" si="18"/>
        <v>18.838000000000001</v>
      </c>
      <c r="J105" s="16">
        <f t="shared" si="19"/>
        <v>18.838000000000001</v>
      </c>
    </row>
    <row r="106" spans="2:10" x14ac:dyDescent="0.25">
      <c r="B106" s="153"/>
      <c r="C106" s="13" t="s">
        <v>160</v>
      </c>
      <c r="D106" s="14" t="s">
        <v>162</v>
      </c>
      <c r="E106" s="15">
        <v>148.22</v>
      </c>
      <c r="F106" s="16">
        <f t="shared" si="15"/>
        <v>29.643999999999998</v>
      </c>
      <c r="G106" s="15">
        <f t="shared" si="16"/>
        <v>29.643999999999998</v>
      </c>
      <c r="H106" s="16">
        <f t="shared" si="17"/>
        <v>29.643999999999998</v>
      </c>
      <c r="I106" s="15">
        <f t="shared" si="18"/>
        <v>29.643999999999998</v>
      </c>
      <c r="J106" s="16">
        <f t="shared" si="19"/>
        <v>29.643999999999998</v>
      </c>
    </row>
    <row r="107" spans="2:10" x14ac:dyDescent="0.25">
      <c r="B107" s="153"/>
      <c r="C107" s="13" t="s">
        <v>163</v>
      </c>
      <c r="D107" s="14"/>
      <c r="E107" s="15">
        <v>0</v>
      </c>
      <c r="F107" s="16">
        <f t="shared" si="15"/>
        <v>0</v>
      </c>
      <c r="G107" s="15">
        <f t="shared" si="16"/>
        <v>0</v>
      </c>
      <c r="H107" s="16">
        <f t="shared" si="17"/>
        <v>0</v>
      </c>
      <c r="I107" s="15">
        <f t="shared" si="18"/>
        <v>0</v>
      </c>
      <c r="J107" s="16">
        <f t="shared" si="19"/>
        <v>0</v>
      </c>
    </row>
    <row r="108" spans="2:10" x14ac:dyDescent="0.25">
      <c r="B108" s="153"/>
      <c r="C108" s="13" t="s">
        <v>163</v>
      </c>
      <c r="D108" s="14" t="s">
        <v>182</v>
      </c>
      <c r="E108" s="15">
        <v>89.9</v>
      </c>
      <c r="F108" s="16">
        <f t="shared" si="15"/>
        <v>17.98</v>
      </c>
      <c r="G108" s="15">
        <f t="shared" si="16"/>
        <v>17.98</v>
      </c>
      <c r="H108" s="16">
        <f t="shared" si="17"/>
        <v>17.98</v>
      </c>
      <c r="I108" s="15">
        <f t="shared" si="18"/>
        <v>17.98</v>
      </c>
      <c r="J108" s="16">
        <f t="shared" si="19"/>
        <v>17.98</v>
      </c>
    </row>
    <row r="109" spans="2:10" x14ac:dyDescent="0.25">
      <c r="B109" s="153"/>
      <c r="C109" s="13" t="s">
        <v>160</v>
      </c>
      <c r="D109" s="14" t="s">
        <v>165</v>
      </c>
      <c r="E109" s="15">
        <v>600</v>
      </c>
      <c r="F109" s="16">
        <f t="shared" si="15"/>
        <v>120</v>
      </c>
      <c r="G109" s="15">
        <f t="shared" si="16"/>
        <v>120</v>
      </c>
      <c r="H109" s="16">
        <f t="shared" si="17"/>
        <v>120</v>
      </c>
      <c r="I109" s="15">
        <f t="shared" si="18"/>
        <v>120</v>
      </c>
      <c r="J109" s="16">
        <f t="shared" si="19"/>
        <v>120</v>
      </c>
    </row>
    <row r="110" spans="2:10" x14ac:dyDescent="0.25">
      <c r="B110" s="153"/>
      <c r="C110" s="13" t="s">
        <v>166</v>
      </c>
      <c r="D110" s="14" t="s">
        <v>167</v>
      </c>
      <c r="E110" s="15">
        <v>0</v>
      </c>
      <c r="F110" s="16">
        <f t="shared" si="15"/>
        <v>0</v>
      </c>
      <c r="G110" s="15">
        <f t="shared" si="16"/>
        <v>0</v>
      </c>
      <c r="H110" s="16">
        <f t="shared" si="17"/>
        <v>0</v>
      </c>
      <c r="I110" s="15">
        <f t="shared" si="18"/>
        <v>0</v>
      </c>
      <c r="J110" s="16">
        <f t="shared" si="19"/>
        <v>0</v>
      </c>
    </row>
    <row r="111" spans="2:10" x14ac:dyDescent="0.25">
      <c r="B111" s="153"/>
      <c r="C111" s="13" t="s">
        <v>163</v>
      </c>
      <c r="D111" s="14" t="s">
        <v>183</v>
      </c>
      <c r="E111" s="15">
        <v>200</v>
      </c>
      <c r="F111" s="16">
        <f t="shared" si="15"/>
        <v>40</v>
      </c>
      <c r="G111" s="15">
        <f t="shared" si="16"/>
        <v>40</v>
      </c>
      <c r="H111" s="16">
        <f t="shared" si="17"/>
        <v>40</v>
      </c>
      <c r="I111" s="15">
        <f t="shared" si="18"/>
        <v>40</v>
      </c>
      <c r="J111" s="16">
        <f t="shared" si="19"/>
        <v>40</v>
      </c>
    </row>
    <row r="112" spans="2:10" x14ac:dyDescent="0.25">
      <c r="B112" s="153"/>
      <c r="C112" s="13" t="s">
        <v>168</v>
      </c>
      <c r="D112" s="14" t="s">
        <v>169</v>
      </c>
      <c r="E112" s="15">
        <v>0</v>
      </c>
      <c r="F112" s="16">
        <f t="shared" si="15"/>
        <v>0</v>
      </c>
      <c r="G112" s="15">
        <f t="shared" si="16"/>
        <v>0</v>
      </c>
      <c r="H112" s="16">
        <f t="shared" si="17"/>
        <v>0</v>
      </c>
      <c r="I112" s="15">
        <f t="shared" si="18"/>
        <v>0</v>
      </c>
      <c r="J112" s="16">
        <f t="shared" si="19"/>
        <v>0</v>
      </c>
    </row>
    <row r="113" spans="2:12" x14ac:dyDescent="0.25">
      <c r="B113" s="153"/>
      <c r="C113" s="13" t="s">
        <v>163</v>
      </c>
      <c r="D113" s="14" t="s">
        <v>26</v>
      </c>
      <c r="E113" s="15">
        <v>0</v>
      </c>
      <c r="F113" s="16">
        <f t="shared" si="15"/>
        <v>0</v>
      </c>
      <c r="G113" s="15">
        <f t="shared" si="16"/>
        <v>0</v>
      </c>
      <c r="H113" s="16">
        <f t="shared" si="17"/>
        <v>0</v>
      </c>
      <c r="I113" s="15">
        <f t="shared" si="18"/>
        <v>0</v>
      </c>
      <c r="J113" s="16">
        <f t="shared" si="19"/>
        <v>0</v>
      </c>
    </row>
    <row r="114" spans="2:12" x14ac:dyDescent="0.25">
      <c r="B114" s="153"/>
      <c r="C114" s="13" t="s">
        <v>170</v>
      </c>
      <c r="D114" s="14" t="s">
        <v>26</v>
      </c>
      <c r="E114" s="15">
        <v>0</v>
      </c>
      <c r="F114" s="16">
        <f t="shared" si="15"/>
        <v>0</v>
      </c>
      <c r="G114" s="15">
        <f t="shared" si="16"/>
        <v>0</v>
      </c>
      <c r="H114" s="16">
        <f t="shared" si="17"/>
        <v>0</v>
      </c>
      <c r="I114" s="15">
        <f t="shared" si="18"/>
        <v>0</v>
      </c>
      <c r="J114" s="16">
        <f t="shared" si="19"/>
        <v>0</v>
      </c>
    </row>
    <row r="115" spans="2:12" x14ac:dyDescent="0.25">
      <c r="B115" s="153"/>
      <c r="C115" s="13" t="s">
        <v>170</v>
      </c>
      <c r="D115" s="14" t="s">
        <v>189</v>
      </c>
      <c r="E115" s="15">
        <v>95.31</v>
      </c>
      <c r="F115" s="16">
        <f t="shared" si="15"/>
        <v>19.062000000000001</v>
      </c>
      <c r="G115" s="15">
        <f t="shared" si="16"/>
        <v>19.062000000000001</v>
      </c>
      <c r="H115" s="16">
        <f t="shared" si="17"/>
        <v>19.062000000000001</v>
      </c>
      <c r="I115" s="15">
        <f t="shared" si="18"/>
        <v>19.062000000000001</v>
      </c>
      <c r="J115" s="16">
        <f t="shared" si="19"/>
        <v>19.062000000000001</v>
      </c>
    </row>
    <row r="116" spans="2:12" x14ac:dyDescent="0.25">
      <c r="B116" s="153"/>
      <c r="C116" s="13" t="s">
        <v>163</v>
      </c>
      <c r="D116" s="14" t="s">
        <v>190</v>
      </c>
      <c r="E116" s="15">
        <v>174.9</v>
      </c>
      <c r="F116" s="16">
        <f t="shared" si="15"/>
        <v>34.980000000000004</v>
      </c>
      <c r="G116" s="15">
        <f t="shared" si="16"/>
        <v>34.980000000000004</v>
      </c>
      <c r="H116" s="16">
        <f t="shared" si="17"/>
        <v>34.980000000000004</v>
      </c>
      <c r="I116" s="15">
        <f t="shared" si="18"/>
        <v>34.980000000000004</v>
      </c>
      <c r="J116" s="16">
        <f t="shared" si="19"/>
        <v>34.980000000000004</v>
      </c>
    </row>
    <row r="117" spans="2:12" x14ac:dyDescent="0.25">
      <c r="B117" s="153"/>
      <c r="C117" s="17" t="s">
        <v>163</v>
      </c>
      <c r="D117" s="18" t="s">
        <v>26</v>
      </c>
      <c r="E117" s="15">
        <v>0</v>
      </c>
      <c r="F117" s="16">
        <f t="shared" si="15"/>
        <v>0</v>
      </c>
      <c r="G117" s="15">
        <f t="shared" si="16"/>
        <v>0</v>
      </c>
      <c r="H117" s="16">
        <f t="shared" si="17"/>
        <v>0</v>
      </c>
      <c r="I117" s="15">
        <f t="shared" si="18"/>
        <v>0</v>
      </c>
      <c r="J117" s="16">
        <f t="shared" si="19"/>
        <v>0</v>
      </c>
    </row>
    <row r="118" spans="2:12" x14ac:dyDescent="0.25">
      <c r="B118" s="153"/>
      <c r="C118" s="17"/>
      <c r="D118" s="18"/>
      <c r="E118" s="15">
        <v>0</v>
      </c>
      <c r="F118" s="16">
        <f t="shared" si="15"/>
        <v>0</v>
      </c>
      <c r="G118" s="15">
        <f t="shared" si="16"/>
        <v>0</v>
      </c>
      <c r="H118" s="16">
        <f t="shared" si="17"/>
        <v>0</v>
      </c>
      <c r="I118" s="15">
        <f t="shared" si="18"/>
        <v>0</v>
      </c>
      <c r="J118" s="16">
        <f t="shared" si="19"/>
        <v>0</v>
      </c>
      <c r="K118" s="26" t="s">
        <v>26</v>
      </c>
    </row>
    <row r="119" spans="2:12" x14ac:dyDescent="0.25">
      <c r="B119" s="153"/>
      <c r="C119" s="2" t="s">
        <v>160</v>
      </c>
      <c r="D119" s="4" t="s">
        <v>174</v>
      </c>
      <c r="E119" s="19">
        <v>0</v>
      </c>
      <c r="F119" s="16">
        <f t="shared" si="15"/>
        <v>0</v>
      </c>
      <c r="G119" s="19">
        <f t="shared" si="16"/>
        <v>0</v>
      </c>
      <c r="H119" s="16">
        <f t="shared" si="17"/>
        <v>0</v>
      </c>
      <c r="I119" s="19">
        <f t="shared" si="18"/>
        <v>0</v>
      </c>
      <c r="J119" s="16">
        <f t="shared" si="19"/>
        <v>0</v>
      </c>
      <c r="K119" s="26" t="s">
        <v>175</v>
      </c>
    </row>
    <row r="120" spans="2:12" x14ac:dyDescent="0.25">
      <c r="B120" s="153"/>
      <c r="C120" s="2"/>
      <c r="D120" s="4" t="s">
        <v>26</v>
      </c>
      <c r="E120" s="19">
        <v>0</v>
      </c>
      <c r="F120" s="16">
        <f t="shared" si="15"/>
        <v>0</v>
      </c>
      <c r="G120" s="19">
        <f t="shared" si="16"/>
        <v>0</v>
      </c>
      <c r="H120" s="16">
        <f t="shared" si="17"/>
        <v>0</v>
      </c>
      <c r="I120" s="19">
        <f t="shared" si="18"/>
        <v>0</v>
      </c>
      <c r="J120" s="16">
        <f t="shared" si="19"/>
        <v>0</v>
      </c>
      <c r="K120" s="27">
        <f>SUM(E103:E120)</f>
        <v>1849.5</v>
      </c>
    </row>
    <row r="121" spans="2:12" x14ac:dyDescent="0.25">
      <c r="B121" s="153"/>
      <c r="C121" s="20" t="s">
        <v>176</v>
      </c>
      <c r="D121" s="4"/>
      <c r="E121" s="155">
        <f>SUM(F121:J121)/5.35017</f>
        <v>0.31099552345890513</v>
      </c>
      <c r="F121" s="21">
        <f>$K123*1/F101</f>
        <v>0.34249999999999997</v>
      </c>
      <c r="G121" s="21">
        <f>$K123*1/G101</f>
        <v>0.37250755287009063</v>
      </c>
      <c r="H121" s="21">
        <f>$K123*1/H101</f>
        <v>0.24043524043524042</v>
      </c>
      <c r="I121" s="21">
        <f>$K123*1/I101</f>
        <v>0.46941624365482232</v>
      </c>
      <c r="J121" s="21">
        <f>$K123*1/J101</f>
        <v>0.23901988278397746</v>
      </c>
    </row>
    <row r="122" spans="2:12" x14ac:dyDescent="0.25">
      <c r="B122" s="153"/>
      <c r="C122" s="20" t="s">
        <v>177</v>
      </c>
      <c r="D122" s="4"/>
      <c r="E122" s="155"/>
      <c r="F122" s="22">
        <f>$E121</f>
        <v>0.31099552345890513</v>
      </c>
      <c r="G122" s="22">
        <f>$E121</f>
        <v>0.31099552345890513</v>
      </c>
      <c r="H122" s="22">
        <f>$E121</f>
        <v>0.31099552345890513</v>
      </c>
      <c r="I122" s="22">
        <f>$E121</f>
        <v>0.31099552345890513</v>
      </c>
      <c r="J122" s="22">
        <f>$E121</f>
        <v>0.31099552345890513</v>
      </c>
    </row>
    <row r="123" spans="2:12" x14ac:dyDescent="0.25">
      <c r="B123" s="154" t="s">
        <v>178</v>
      </c>
      <c r="C123" s="154"/>
      <c r="D123" s="154"/>
      <c r="E123" s="154"/>
      <c r="F123" s="23" t="s">
        <v>154</v>
      </c>
      <c r="G123" s="23" t="s">
        <v>155</v>
      </c>
      <c r="H123" s="23" t="s">
        <v>110</v>
      </c>
      <c r="I123" s="23" t="s">
        <v>156</v>
      </c>
      <c r="J123" s="28" t="s">
        <v>157</v>
      </c>
      <c r="K123" s="29">
        <f>K120/5</f>
        <v>369.9</v>
      </c>
      <c r="L123" s="30" t="s">
        <v>179</v>
      </c>
    </row>
    <row r="124" spans="2:12" x14ac:dyDescent="0.25">
      <c r="B124" s="154"/>
      <c r="C124" s="154"/>
      <c r="D124" s="154"/>
      <c r="E124" s="154"/>
      <c r="F124" s="24">
        <f>F101*$E121</f>
        <v>335.87516533561757</v>
      </c>
      <c r="G124" s="24">
        <f>G101*$E121</f>
        <v>308.81855479469277</v>
      </c>
      <c r="H124" s="24">
        <f>H101*$E121</f>
        <v>478.45417302058718</v>
      </c>
      <c r="I124" s="24">
        <f>I101*$E121</f>
        <v>245.06447248561724</v>
      </c>
      <c r="J124" s="24">
        <f>J101*$E121</f>
        <v>481.2873422392978</v>
      </c>
      <c r="K124" s="31" t="s">
        <v>180</v>
      </c>
      <c r="L124" s="32">
        <f>SUM(F124:J124)</f>
        <v>1849.4997078758124</v>
      </c>
    </row>
    <row r="126" spans="2:12" x14ac:dyDescent="0.25">
      <c r="K126" s="33" t="s">
        <v>181</v>
      </c>
      <c r="L126" s="34">
        <f>K120-L124</f>
        <v>2.9212418758106651E-4</v>
      </c>
    </row>
    <row r="129" spans="2:10" x14ac:dyDescent="0.25">
      <c r="B129" s="1" t="s">
        <v>148</v>
      </c>
      <c r="C129" s="2" t="s">
        <v>149</v>
      </c>
      <c r="D129" s="2" t="s">
        <v>150</v>
      </c>
      <c r="E129" s="2"/>
      <c r="F129" s="156" t="s">
        <v>151</v>
      </c>
      <c r="G129" s="156"/>
      <c r="H129" s="156"/>
      <c r="I129" s="156"/>
      <c r="J129" s="156"/>
    </row>
    <row r="130" spans="2:10" x14ac:dyDescent="0.25">
      <c r="B130" s="3" t="s">
        <v>9</v>
      </c>
      <c r="C130" s="4"/>
      <c r="D130" s="4" t="s">
        <v>152</v>
      </c>
      <c r="E130" s="4" t="s">
        <v>153</v>
      </c>
      <c r="F130" s="5" t="s">
        <v>154</v>
      </c>
      <c r="G130" s="5" t="s">
        <v>155</v>
      </c>
      <c r="H130" s="5" t="s">
        <v>110</v>
      </c>
      <c r="I130" s="5" t="s">
        <v>191</v>
      </c>
      <c r="J130" s="25" t="s">
        <v>157</v>
      </c>
    </row>
    <row r="131" spans="2:10" ht="15.75" x14ac:dyDescent="0.25">
      <c r="B131" s="6">
        <v>2016</v>
      </c>
      <c r="C131" s="2"/>
      <c r="D131" s="2"/>
      <c r="E131" s="2"/>
      <c r="F131" s="2"/>
      <c r="G131" s="2"/>
      <c r="H131" s="2"/>
      <c r="I131" s="2"/>
      <c r="J131" s="2"/>
    </row>
    <row r="132" spans="2:10" ht="15.75" x14ac:dyDescent="0.25">
      <c r="B132" s="7" t="s">
        <v>26</v>
      </c>
      <c r="C132" s="2"/>
      <c r="D132" s="8" t="s">
        <v>158</v>
      </c>
      <c r="E132" s="2"/>
      <c r="F132" s="9">
        <v>1080</v>
      </c>
      <c r="G132" s="9">
        <v>993</v>
      </c>
      <c r="H132" s="9">
        <v>1538.46</v>
      </c>
      <c r="I132" s="9">
        <v>1200</v>
      </c>
      <c r="J132" s="9">
        <v>1547.57</v>
      </c>
    </row>
    <row r="133" spans="2:10" ht="15.75" x14ac:dyDescent="0.25">
      <c r="B133" s="10"/>
      <c r="C133" s="4"/>
      <c r="D133" s="11"/>
      <c r="E133" s="4"/>
      <c r="F133" s="12"/>
      <c r="G133" s="12"/>
      <c r="H133" s="12"/>
      <c r="I133" s="12"/>
      <c r="J133" s="12"/>
    </row>
    <row r="134" spans="2:10" x14ac:dyDescent="0.25">
      <c r="B134" s="153" t="s">
        <v>159</v>
      </c>
      <c r="C134" s="13" t="s">
        <v>160</v>
      </c>
      <c r="D134" s="14" t="s">
        <v>161</v>
      </c>
      <c r="E134" s="15">
        <v>400</v>
      </c>
      <c r="F134" s="16">
        <f t="shared" ref="F134:F151" si="20">$E134/5</f>
        <v>80</v>
      </c>
      <c r="G134" s="15">
        <f t="shared" ref="G134:G151" si="21">$E134/5</f>
        <v>80</v>
      </c>
      <c r="H134" s="16">
        <f t="shared" ref="H134:H151" si="22">$E134/5</f>
        <v>80</v>
      </c>
      <c r="I134" s="15">
        <f t="shared" ref="I134:I151" si="23">$E134/5</f>
        <v>80</v>
      </c>
      <c r="J134" s="16">
        <f t="shared" ref="J134:J151" si="24">$E134/5</f>
        <v>80</v>
      </c>
    </row>
    <row r="135" spans="2:10" x14ac:dyDescent="0.25">
      <c r="B135" s="153"/>
      <c r="C135" s="13" t="s">
        <v>160</v>
      </c>
      <c r="D135" s="14" t="s">
        <v>20</v>
      </c>
      <c r="E135" s="15">
        <v>60.4</v>
      </c>
      <c r="F135" s="16">
        <f t="shared" si="20"/>
        <v>12.08</v>
      </c>
      <c r="G135" s="15">
        <f t="shared" si="21"/>
        <v>12.08</v>
      </c>
      <c r="H135" s="16">
        <f t="shared" si="22"/>
        <v>12.08</v>
      </c>
      <c r="I135" s="15">
        <f t="shared" si="23"/>
        <v>12.08</v>
      </c>
      <c r="J135" s="16">
        <f t="shared" si="24"/>
        <v>12.08</v>
      </c>
    </row>
    <row r="136" spans="2:10" x14ac:dyDescent="0.25">
      <c r="B136" s="153"/>
      <c r="C136" s="13" t="s">
        <v>160</v>
      </c>
      <c r="D136" s="14" t="s">
        <v>21</v>
      </c>
      <c r="E136" s="15">
        <v>116.72</v>
      </c>
      <c r="F136" s="16">
        <f t="shared" si="20"/>
        <v>23.344000000000001</v>
      </c>
      <c r="G136" s="15">
        <f t="shared" si="21"/>
        <v>23.344000000000001</v>
      </c>
      <c r="H136" s="16">
        <f t="shared" si="22"/>
        <v>23.344000000000001</v>
      </c>
      <c r="I136" s="15">
        <f t="shared" si="23"/>
        <v>23.344000000000001</v>
      </c>
      <c r="J136" s="16">
        <f t="shared" si="24"/>
        <v>23.344000000000001</v>
      </c>
    </row>
    <row r="137" spans="2:10" x14ac:dyDescent="0.25">
      <c r="B137" s="153"/>
      <c r="C137" s="13" t="s">
        <v>160</v>
      </c>
      <c r="D137" s="14" t="s">
        <v>162</v>
      </c>
      <c r="E137" s="15">
        <v>124.23</v>
      </c>
      <c r="F137" s="16">
        <f t="shared" si="20"/>
        <v>24.846</v>
      </c>
      <c r="G137" s="15">
        <f t="shared" si="21"/>
        <v>24.846</v>
      </c>
      <c r="H137" s="16">
        <f t="shared" si="22"/>
        <v>24.846</v>
      </c>
      <c r="I137" s="15">
        <f t="shared" si="23"/>
        <v>24.846</v>
      </c>
      <c r="J137" s="16">
        <f t="shared" si="24"/>
        <v>24.846</v>
      </c>
    </row>
    <row r="138" spans="2:10" x14ac:dyDescent="0.25">
      <c r="B138" s="153"/>
      <c r="C138" s="13" t="s">
        <v>163</v>
      </c>
      <c r="D138" s="14" t="s">
        <v>20</v>
      </c>
      <c r="E138" s="15">
        <f>19*4</f>
        <v>76</v>
      </c>
      <c r="F138" s="16">
        <f t="shared" si="20"/>
        <v>15.2</v>
      </c>
      <c r="G138" s="15">
        <f t="shared" si="21"/>
        <v>15.2</v>
      </c>
      <c r="H138" s="16">
        <f t="shared" si="22"/>
        <v>15.2</v>
      </c>
      <c r="I138" s="15">
        <f t="shared" si="23"/>
        <v>15.2</v>
      </c>
      <c r="J138" s="16">
        <f t="shared" si="24"/>
        <v>15.2</v>
      </c>
    </row>
    <row r="139" spans="2:10" x14ac:dyDescent="0.25">
      <c r="B139" s="153"/>
      <c r="C139" s="13" t="s">
        <v>163</v>
      </c>
      <c r="D139" s="14" t="s">
        <v>182</v>
      </c>
      <c r="E139" s="15">
        <v>89.9</v>
      </c>
      <c r="F139" s="16">
        <f t="shared" si="20"/>
        <v>17.98</v>
      </c>
      <c r="G139" s="15">
        <f t="shared" si="21"/>
        <v>17.98</v>
      </c>
      <c r="H139" s="16">
        <f t="shared" si="22"/>
        <v>17.98</v>
      </c>
      <c r="I139" s="15">
        <f t="shared" si="23"/>
        <v>17.98</v>
      </c>
      <c r="J139" s="16">
        <f t="shared" si="24"/>
        <v>17.98</v>
      </c>
    </row>
    <row r="140" spans="2:10" x14ac:dyDescent="0.25">
      <c r="B140" s="153"/>
      <c r="C140" s="13" t="s">
        <v>160</v>
      </c>
      <c r="D140" s="14" t="s">
        <v>165</v>
      </c>
      <c r="E140" s="15">
        <v>750</v>
      </c>
      <c r="F140" s="16">
        <f t="shared" si="20"/>
        <v>150</v>
      </c>
      <c r="G140" s="15">
        <f t="shared" si="21"/>
        <v>150</v>
      </c>
      <c r="H140" s="16">
        <f t="shared" si="22"/>
        <v>150</v>
      </c>
      <c r="I140" s="15">
        <f t="shared" si="23"/>
        <v>150</v>
      </c>
      <c r="J140" s="16">
        <f t="shared" si="24"/>
        <v>150</v>
      </c>
    </row>
    <row r="141" spans="2:10" x14ac:dyDescent="0.25">
      <c r="B141" s="153"/>
      <c r="C141" s="13" t="s">
        <v>166</v>
      </c>
      <c r="D141" s="14" t="s">
        <v>167</v>
      </c>
      <c r="E141" s="15">
        <v>0</v>
      </c>
      <c r="F141" s="16">
        <f t="shared" si="20"/>
        <v>0</v>
      </c>
      <c r="G141" s="15">
        <f t="shared" si="21"/>
        <v>0</v>
      </c>
      <c r="H141" s="16">
        <f t="shared" si="22"/>
        <v>0</v>
      </c>
      <c r="I141" s="15">
        <f t="shared" si="23"/>
        <v>0</v>
      </c>
      <c r="J141" s="16">
        <f t="shared" si="24"/>
        <v>0</v>
      </c>
    </row>
    <row r="142" spans="2:10" x14ac:dyDescent="0.25">
      <c r="B142" s="153"/>
      <c r="C142" s="13" t="s">
        <v>163</v>
      </c>
      <c r="D142" s="14" t="s">
        <v>183</v>
      </c>
      <c r="E142" s="15">
        <v>200</v>
      </c>
      <c r="F142" s="16">
        <f t="shared" si="20"/>
        <v>40</v>
      </c>
      <c r="G142" s="15">
        <f t="shared" si="21"/>
        <v>40</v>
      </c>
      <c r="H142" s="16">
        <f t="shared" si="22"/>
        <v>40</v>
      </c>
      <c r="I142" s="15">
        <f t="shared" si="23"/>
        <v>40</v>
      </c>
      <c r="J142" s="16">
        <f t="shared" si="24"/>
        <v>40</v>
      </c>
    </row>
    <row r="143" spans="2:10" x14ac:dyDescent="0.25">
      <c r="B143" s="153"/>
      <c r="C143" s="13" t="s">
        <v>168</v>
      </c>
      <c r="D143" s="14" t="s">
        <v>169</v>
      </c>
      <c r="E143" s="15">
        <v>33.04</v>
      </c>
      <c r="F143" s="16">
        <f t="shared" si="20"/>
        <v>6.6079999999999997</v>
      </c>
      <c r="G143" s="15">
        <f t="shared" si="21"/>
        <v>6.6079999999999997</v>
      </c>
      <c r="H143" s="16">
        <f t="shared" si="22"/>
        <v>6.6079999999999997</v>
      </c>
      <c r="I143" s="15">
        <f t="shared" si="23"/>
        <v>6.6079999999999997</v>
      </c>
      <c r="J143" s="16">
        <f t="shared" si="24"/>
        <v>6.6079999999999997</v>
      </c>
    </row>
    <row r="144" spans="2:10" x14ac:dyDescent="0.25">
      <c r="B144" s="153"/>
      <c r="C144" s="13" t="s">
        <v>163</v>
      </c>
      <c r="D144" s="14" t="s">
        <v>26</v>
      </c>
      <c r="E144" s="15">
        <v>0</v>
      </c>
      <c r="F144" s="16">
        <f t="shared" si="20"/>
        <v>0</v>
      </c>
      <c r="G144" s="15">
        <f t="shared" si="21"/>
        <v>0</v>
      </c>
      <c r="H144" s="16">
        <f t="shared" si="22"/>
        <v>0</v>
      </c>
      <c r="I144" s="15">
        <f t="shared" si="23"/>
        <v>0</v>
      </c>
      <c r="J144" s="16">
        <f t="shared" si="24"/>
        <v>0</v>
      </c>
    </row>
    <row r="145" spans="2:12" x14ac:dyDescent="0.25">
      <c r="B145" s="153"/>
      <c r="C145" s="13" t="s">
        <v>170</v>
      </c>
      <c r="D145" s="14" t="s">
        <v>26</v>
      </c>
      <c r="E145" s="15">
        <v>0</v>
      </c>
      <c r="F145" s="16">
        <f t="shared" si="20"/>
        <v>0</v>
      </c>
      <c r="G145" s="15">
        <f t="shared" si="21"/>
        <v>0</v>
      </c>
      <c r="H145" s="16">
        <f t="shared" si="22"/>
        <v>0</v>
      </c>
      <c r="I145" s="15">
        <f t="shared" si="23"/>
        <v>0</v>
      </c>
      <c r="J145" s="16">
        <f t="shared" si="24"/>
        <v>0</v>
      </c>
    </row>
    <row r="146" spans="2:12" x14ac:dyDescent="0.25">
      <c r="B146" s="153"/>
      <c r="C146" s="13" t="s">
        <v>170</v>
      </c>
      <c r="D146" s="14" t="s">
        <v>192</v>
      </c>
      <c r="E146" s="15">
        <v>95.31</v>
      </c>
      <c r="F146" s="16">
        <f t="shared" si="20"/>
        <v>19.062000000000001</v>
      </c>
      <c r="G146" s="15">
        <f t="shared" si="21"/>
        <v>19.062000000000001</v>
      </c>
      <c r="H146" s="16">
        <f t="shared" si="22"/>
        <v>19.062000000000001</v>
      </c>
      <c r="I146" s="15">
        <f t="shared" si="23"/>
        <v>19.062000000000001</v>
      </c>
      <c r="J146" s="16">
        <f t="shared" si="24"/>
        <v>19.062000000000001</v>
      </c>
    </row>
    <row r="147" spans="2:12" x14ac:dyDescent="0.25">
      <c r="B147" s="153"/>
      <c r="C147" s="13" t="s">
        <v>163</v>
      </c>
      <c r="D147" s="14" t="s">
        <v>193</v>
      </c>
      <c r="E147" s="15">
        <v>174.9</v>
      </c>
      <c r="F147" s="16">
        <f t="shared" si="20"/>
        <v>34.980000000000004</v>
      </c>
      <c r="G147" s="15">
        <f t="shared" si="21"/>
        <v>34.980000000000004</v>
      </c>
      <c r="H147" s="16">
        <f t="shared" si="22"/>
        <v>34.980000000000004</v>
      </c>
      <c r="I147" s="15">
        <f t="shared" si="23"/>
        <v>34.980000000000004</v>
      </c>
      <c r="J147" s="16">
        <f t="shared" si="24"/>
        <v>34.980000000000004</v>
      </c>
    </row>
    <row r="148" spans="2:12" x14ac:dyDescent="0.25">
      <c r="B148" s="153"/>
      <c r="C148" s="17" t="s">
        <v>163</v>
      </c>
      <c r="D148" s="18" t="s">
        <v>26</v>
      </c>
      <c r="E148" s="15">
        <v>0</v>
      </c>
      <c r="F148" s="16">
        <f t="shared" si="20"/>
        <v>0</v>
      </c>
      <c r="G148" s="15">
        <f t="shared" si="21"/>
        <v>0</v>
      </c>
      <c r="H148" s="16">
        <f t="shared" si="22"/>
        <v>0</v>
      </c>
      <c r="I148" s="15">
        <f t="shared" si="23"/>
        <v>0</v>
      </c>
      <c r="J148" s="16">
        <f t="shared" si="24"/>
        <v>0</v>
      </c>
    </row>
    <row r="149" spans="2:12" x14ac:dyDescent="0.25">
      <c r="B149" s="153"/>
      <c r="C149" s="17"/>
      <c r="D149" s="18"/>
      <c r="E149" s="15">
        <v>0</v>
      </c>
      <c r="F149" s="16">
        <f t="shared" si="20"/>
        <v>0</v>
      </c>
      <c r="G149" s="15">
        <f t="shared" si="21"/>
        <v>0</v>
      </c>
      <c r="H149" s="16">
        <f t="shared" si="22"/>
        <v>0</v>
      </c>
      <c r="I149" s="15">
        <f t="shared" si="23"/>
        <v>0</v>
      </c>
      <c r="J149" s="16">
        <f t="shared" si="24"/>
        <v>0</v>
      </c>
      <c r="K149" s="26" t="s">
        <v>26</v>
      </c>
    </row>
    <row r="150" spans="2:12" x14ac:dyDescent="0.25">
      <c r="B150" s="153"/>
      <c r="C150" s="2" t="s">
        <v>160</v>
      </c>
      <c r="D150" s="4" t="s">
        <v>174</v>
      </c>
      <c r="E150" s="19">
        <v>0</v>
      </c>
      <c r="F150" s="16">
        <f t="shared" si="20"/>
        <v>0</v>
      </c>
      <c r="G150" s="19">
        <f t="shared" si="21"/>
        <v>0</v>
      </c>
      <c r="H150" s="16">
        <f t="shared" si="22"/>
        <v>0</v>
      </c>
      <c r="I150" s="19">
        <f t="shared" si="23"/>
        <v>0</v>
      </c>
      <c r="J150" s="16">
        <f t="shared" si="24"/>
        <v>0</v>
      </c>
      <c r="K150" s="26" t="s">
        <v>175</v>
      </c>
    </row>
    <row r="151" spans="2:12" x14ac:dyDescent="0.25">
      <c r="B151" s="153"/>
      <c r="C151" s="2"/>
      <c r="D151" s="4" t="s">
        <v>26</v>
      </c>
      <c r="E151" s="19">
        <v>0</v>
      </c>
      <c r="F151" s="16">
        <f t="shared" si="20"/>
        <v>0</v>
      </c>
      <c r="G151" s="19">
        <f t="shared" si="21"/>
        <v>0</v>
      </c>
      <c r="H151" s="16">
        <f t="shared" si="22"/>
        <v>0</v>
      </c>
      <c r="I151" s="19">
        <f t="shared" si="23"/>
        <v>0</v>
      </c>
      <c r="J151" s="16">
        <f t="shared" si="24"/>
        <v>0</v>
      </c>
      <c r="K151" s="27">
        <f>SUM(E134:E151)</f>
        <v>2120.5</v>
      </c>
    </row>
    <row r="152" spans="2:12" x14ac:dyDescent="0.25">
      <c r="B152" s="153"/>
      <c r="C152" s="20" t="s">
        <v>176</v>
      </c>
      <c r="D152" s="4"/>
      <c r="E152" s="155">
        <f>SUM(F152:J152)/5.1667</f>
        <v>0.33346222658620306</v>
      </c>
      <c r="F152" s="21">
        <f>$K154*1/F132</f>
        <v>0.39268518518518519</v>
      </c>
      <c r="G152" s="21">
        <f>$K154*1/G132</f>
        <v>0.42708962739174222</v>
      </c>
      <c r="H152" s="21">
        <f>$K154*1/H132</f>
        <v>0.27566527566527566</v>
      </c>
      <c r="I152" s="21">
        <f>$K154*1/I132</f>
        <v>0.35341666666666671</v>
      </c>
      <c r="J152" s="21">
        <f>$K154*1/J132</f>
        <v>0.27404253119406558</v>
      </c>
    </row>
    <row r="153" spans="2:12" x14ac:dyDescent="0.25">
      <c r="B153" s="153"/>
      <c r="C153" s="20" t="s">
        <v>177</v>
      </c>
      <c r="D153" s="4"/>
      <c r="E153" s="155"/>
      <c r="F153" s="22">
        <f>$E152</f>
        <v>0.33346222658620306</v>
      </c>
      <c r="G153" s="22">
        <f>$E152</f>
        <v>0.33346222658620306</v>
      </c>
      <c r="H153" s="22">
        <f>$E152</f>
        <v>0.33346222658620306</v>
      </c>
      <c r="I153" s="22">
        <f>$E152</f>
        <v>0.33346222658620306</v>
      </c>
      <c r="J153" s="22">
        <f>$E152</f>
        <v>0.33346222658620306</v>
      </c>
    </row>
    <row r="154" spans="2:12" x14ac:dyDescent="0.25">
      <c r="B154" s="154" t="s">
        <v>178</v>
      </c>
      <c r="C154" s="154"/>
      <c r="D154" s="154"/>
      <c r="E154" s="154"/>
      <c r="F154" s="23" t="s">
        <v>154</v>
      </c>
      <c r="G154" s="23" t="s">
        <v>155</v>
      </c>
      <c r="H154" s="23" t="s">
        <v>110</v>
      </c>
      <c r="I154" s="23" t="s">
        <v>194</v>
      </c>
      <c r="J154" s="28" t="s">
        <v>157</v>
      </c>
      <c r="K154" s="29">
        <f>K151/5</f>
        <v>424.1</v>
      </c>
      <c r="L154" s="30" t="s">
        <v>179</v>
      </c>
    </row>
    <row r="155" spans="2:12" x14ac:dyDescent="0.25">
      <c r="B155" s="154"/>
      <c r="C155" s="154"/>
      <c r="D155" s="154"/>
      <c r="E155" s="154"/>
      <c r="F155" s="24">
        <f>F132*$E152</f>
        <v>360.13920471309928</v>
      </c>
      <c r="G155" s="24">
        <f>G132*$E152</f>
        <v>331.12799100009966</v>
      </c>
      <c r="H155" s="24">
        <f>H132*$E152</f>
        <v>513.01829711380992</v>
      </c>
      <c r="I155" s="24">
        <f>I132*$E152</f>
        <v>400.15467190344367</v>
      </c>
      <c r="J155" s="24">
        <f>J132*$E152</f>
        <v>516.05613799801029</v>
      </c>
      <c r="K155" s="31" t="s">
        <v>180</v>
      </c>
      <c r="L155" s="32">
        <f>SUM(F155:J155)</f>
        <v>2120.496302728463</v>
      </c>
    </row>
    <row r="156" spans="2:12" x14ac:dyDescent="0.25">
      <c r="F156">
        <v>400</v>
      </c>
      <c r="G156">
        <v>330</v>
      </c>
      <c r="H156">
        <v>515</v>
      </c>
      <c r="I156">
        <v>360</v>
      </c>
      <c r="J156">
        <v>516</v>
      </c>
    </row>
    <row r="157" spans="2:12" x14ac:dyDescent="0.25">
      <c r="I157">
        <f>SUM(F156:J156)</f>
        <v>2121</v>
      </c>
      <c r="K157" s="33" t="s">
        <v>181</v>
      </c>
      <c r="L157" s="34">
        <f>K151-L155</f>
        <v>3.6972715370211517E-3</v>
      </c>
    </row>
    <row r="161" spans="2:12" x14ac:dyDescent="0.25">
      <c r="B161" s="1" t="s">
        <v>148</v>
      </c>
      <c r="C161" s="2" t="s">
        <v>149</v>
      </c>
      <c r="D161" s="2" t="s">
        <v>150</v>
      </c>
      <c r="E161" s="2"/>
      <c r="F161" s="156" t="s">
        <v>151</v>
      </c>
      <c r="G161" s="156"/>
      <c r="H161" s="156"/>
      <c r="I161" s="156"/>
      <c r="J161" s="156"/>
    </row>
    <row r="162" spans="2:12" x14ac:dyDescent="0.25">
      <c r="B162" s="3" t="s">
        <v>10</v>
      </c>
      <c r="C162" s="4"/>
      <c r="D162" s="4" t="s">
        <v>152</v>
      </c>
      <c r="E162" s="4" t="s">
        <v>153</v>
      </c>
      <c r="F162" s="5" t="s">
        <v>154</v>
      </c>
      <c r="G162" s="5" t="s">
        <v>155</v>
      </c>
      <c r="H162" s="5" t="s">
        <v>110</v>
      </c>
      <c r="I162" s="5" t="s">
        <v>194</v>
      </c>
      <c r="J162" s="25" t="s">
        <v>157</v>
      </c>
    </row>
    <row r="163" spans="2:12" ht="15.75" x14ac:dyDescent="0.25">
      <c r="B163" s="6">
        <v>2016</v>
      </c>
      <c r="C163" s="2"/>
      <c r="D163" s="2"/>
      <c r="E163" s="2"/>
      <c r="F163" s="2"/>
      <c r="G163" s="2"/>
      <c r="H163" s="2"/>
      <c r="I163" s="2"/>
      <c r="J163" s="2"/>
    </row>
    <row r="164" spans="2:12" ht="15.75" x14ac:dyDescent="0.25">
      <c r="B164" s="7" t="s">
        <v>26</v>
      </c>
      <c r="C164" s="2"/>
      <c r="D164" s="8" t="s">
        <v>158</v>
      </c>
      <c r="E164" s="2"/>
      <c r="F164" s="9">
        <v>1218</v>
      </c>
      <c r="G164" s="9">
        <v>993</v>
      </c>
      <c r="H164" s="9">
        <v>1697.35</v>
      </c>
      <c r="I164" s="9">
        <v>1360.8</v>
      </c>
      <c r="J164" s="9">
        <v>1707.55</v>
      </c>
    </row>
    <row r="165" spans="2:12" ht="15.75" x14ac:dyDescent="0.25">
      <c r="B165" s="10"/>
      <c r="C165" s="4"/>
      <c r="D165" s="11"/>
      <c r="E165" s="4"/>
      <c r="F165" s="12"/>
      <c r="G165" s="12"/>
      <c r="H165" s="12"/>
      <c r="I165" s="12"/>
      <c r="J165" s="12"/>
    </row>
    <row r="166" spans="2:12" x14ac:dyDescent="0.25">
      <c r="B166" s="153" t="s">
        <v>159</v>
      </c>
      <c r="C166" s="13" t="s">
        <v>160</v>
      </c>
      <c r="D166" s="14" t="s">
        <v>161</v>
      </c>
      <c r="E166" s="15">
        <v>400</v>
      </c>
      <c r="F166" s="16">
        <f t="shared" ref="F166:F183" si="25">$E166/5</f>
        <v>80</v>
      </c>
      <c r="G166" s="15">
        <f t="shared" ref="G166:G183" si="26">$E166/5</f>
        <v>80</v>
      </c>
      <c r="H166" s="16">
        <f t="shared" ref="H166:H183" si="27">$E166/5</f>
        <v>80</v>
      </c>
      <c r="I166" s="15">
        <f t="shared" ref="I166:I183" si="28">$E166/5</f>
        <v>80</v>
      </c>
      <c r="J166" s="16">
        <f t="shared" ref="J166:J183" si="29">$E166/5</f>
        <v>80</v>
      </c>
    </row>
    <row r="167" spans="2:12" x14ac:dyDescent="0.25">
      <c r="B167" s="153"/>
      <c r="C167" s="13" t="s">
        <v>160</v>
      </c>
      <c r="D167" s="14" t="s">
        <v>20</v>
      </c>
      <c r="E167" s="15">
        <v>89.19</v>
      </c>
      <c r="F167" s="16">
        <f t="shared" si="25"/>
        <v>17.838000000000001</v>
      </c>
      <c r="G167" s="15">
        <f t="shared" si="26"/>
        <v>17.838000000000001</v>
      </c>
      <c r="H167" s="16">
        <f t="shared" si="27"/>
        <v>17.838000000000001</v>
      </c>
      <c r="I167" s="15">
        <f t="shared" si="28"/>
        <v>17.838000000000001</v>
      </c>
      <c r="J167" s="16">
        <f t="shared" si="29"/>
        <v>17.838000000000001</v>
      </c>
    </row>
    <row r="168" spans="2:12" x14ac:dyDescent="0.25">
      <c r="B168" s="153"/>
      <c r="C168" s="13" t="s">
        <v>160</v>
      </c>
      <c r="D168" s="14" t="s">
        <v>21</v>
      </c>
      <c r="E168" s="15">
        <v>117.45</v>
      </c>
      <c r="F168" s="16">
        <f t="shared" si="25"/>
        <v>23.490000000000002</v>
      </c>
      <c r="G168" s="15">
        <f t="shared" si="26"/>
        <v>23.490000000000002</v>
      </c>
      <c r="H168" s="16">
        <f t="shared" si="27"/>
        <v>23.490000000000002</v>
      </c>
      <c r="I168" s="15">
        <f t="shared" si="28"/>
        <v>23.490000000000002</v>
      </c>
      <c r="J168" s="16">
        <f t="shared" si="29"/>
        <v>23.490000000000002</v>
      </c>
    </row>
    <row r="169" spans="2:12" x14ac:dyDescent="0.25">
      <c r="B169" s="153"/>
      <c r="C169" s="13" t="s">
        <v>160</v>
      </c>
      <c r="D169" s="14" t="s">
        <v>162</v>
      </c>
      <c r="E169" s="15">
        <v>132.6</v>
      </c>
      <c r="F169" s="16">
        <f t="shared" si="25"/>
        <v>26.52</v>
      </c>
      <c r="G169" s="15">
        <f t="shared" si="26"/>
        <v>26.52</v>
      </c>
      <c r="H169" s="16">
        <f t="shared" si="27"/>
        <v>26.52</v>
      </c>
      <c r="I169" s="15">
        <f t="shared" si="28"/>
        <v>26.52</v>
      </c>
      <c r="J169" s="16">
        <f t="shared" si="29"/>
        <v>26.52</v>
      </c>
      <c r="L169" s="38">
        <f>SUM(E167:E169)</f>
        <v>339.24</v>
      </c>
    </row>
    <row r="170" spans="2:12" x14ac:dyDescent="0.25">
      <c r="B170" s="153"/>
      <c r="C170" s="13" t="s">
        <v>163</v>
      </c>
      <c r="D170" s="14"/>
      <c r="E170" s="15">
        <v>0</v>
      </c>
      <c r="F170" s="16">
        <f t="shared" si="25"/>
        <v>0</v>
      </c>
      <c r="G170" s="15">
        <f t="shared" si="26"/>
        <v>0</v>
      </c>
      <c r="H170" s="16">
        <f t="shared" si="27"/>
        <v>0</v>
      </c>
      <c r="I170" s="15">
        <f t="shared" si="28"/>
        <v>0</v>
      </c>
      <c r="J170" s="16">
        <f t="shared" si="29"/>
        <v>0</v>
      </c>
    </row>
    <row r="171" spans="2:12" x14ac:dyDescent="0.25">
      <c r="B171" s="153"/>
      <c r="C171" s="13" t="s">
        <v>163</v>
      </c>
      <c r="D171" s="14" t="s">
        <v>164</v>
      </c>
      <c r="E171" s="15">
        <v>89.9</v>
      </c>
      <c r="F171" s="16">
        <f t="shared" si="25"/>
        <v>17.98</v>
      </c>
      <c r="G171" s="15">
        <f t="shared" si="26"/>
        <v>17.98</v>
      </c>
      <c r="H171" s="16">
        <f t="shared" si="27"/>
        <v>17.98</v>
      </c>
      <c r="I171" s="15">
        <f t="shared" si="28"/>
        <v>17.98</v>
      </c>
      <c r="J171" s="16">
        <f t="shared" si="29"/>
        <v>17.98</v>
      </c>
    </row>
    <row r="172" spans="2:12" x14ac:dyDescent="0.25">
      <c r="B172" s="153"/>
      <c r="C172" s="13" t="s">
        <v>160</v>
      </c>
      <c r="D172" s="14" t="s">
        <v>165</v>
      </c>
      <c r="E172" s="15">
        <v>626</v>
      </c>
      <c r="F172" s="16">
        <f t="shared" si="25"/>
        <v>125.2</v>
      </c>
      <c r="G172" s="15">
        <f t="shared" si="26"/>
        <v>125.2</v>
      </c>
      <c r="H172" s="16">
        <f t="shared" si="27"/>
        <v>125.2</v>
      </c>
      <c r="I172" s="15">
        <f t="shared" si="28"/>
        <v>125.2</v>
      </c>
      <c r="J172" s="16">
        <f t="shared" si="29"/>
        <v>125.2</v>
      </c>
      <c r="L172" s="38">
        <f>J187-L169</f>
        <v>153.99287818267766</v>
      </c>
    </row>
    <row r="173" spans="2:12" x14ac:dyDescent="0.25">
      <c r="B173" s="153"/>
      <c r="C173" s="13" t="s">
        <v>166</v>
      </c>
      <c r="D173" s="14" t="s">
        <v>167</v>
      </c>
      <c r="E173" s="15">
        <v>0</v>
      </c>
      <c r="F173" s="16">
        <f t="shared" si="25"/>
        <v>0</v>
      </c>
      <c r="G173" s="15">
        <f t="shared" si="26"/>
        <v>0</v>
      </c>
      <c r="H173" s="16">
        <f t="shared" si="27"/>
        <v>0</v>
      </c>
      <c r="I173" s="15">
        <f t="shared" si="28"/>
        <v>0</v>
      </c>
      <c r="J173" s="16">
        <f t="shared" si="29"/>
        <v>0</v>
      </c>
    </row>
    <row r="174" spans="2:12" x14ac:dyDescent="0.25">
      <c r="B174" s="153"/>
      <c r="C174" s="13" t="s">
        <v>163</v>
      </c>
      <c r="D174" s="14" t="s">
        <v>26</v>
      </c>
      <c r="E174" s="15"/>
      <c r="F174" s="16">
        <f t="shared" si="25"/>
        <v>0</v>
      </c>
      <c r="G174" s="15">
        <f t="shared" si="26"/>
        <v>0</v>
      </c>
      <c r="H174" s="16">
        <f t="shared" si="27"/>
        <v>0</v>
      </c>
      <c r="I174" s="15">
        <f t="shared" si="28"/>
        <v>0</v>
      </c>
      <c r="J174" s="16">
        <f t="shared" si="29"/>
        <v>0</v>
      </c>
    </row>
    <row r="175" spans="2:12" x14ac:dyDescent="0.25">
      <c r="B175" s="153"/>
      <c r="C175" s="13" t="s">
        <v>168</v>
      </c>
      <c r="D175" s="14" t="s">
        <v>169</v>
      </c>
      <c r="E175" s="15">
        <v>100</v>
      </c>
      <c r="F175" s="16">
        <f t="shared" si="25"/>
        <v>20</v>
      </c>
      <c r="G175" s="15">
        <f t="shared" si="26"/>
        <v>20</v>
      </c>
      <c r="H175" s="16">
        <f t="shared" si="27"/>
        <v>20</v>
      </c>
      <c r="I175" s="15">
        <f t="shared" si="28"/>
        <v>20</v>
      </c>
      <c r="J175" s="16">
        <f t="shared" si="29"/>
        <v>20</v>
      </c>
    </row>
    <row r="176" spans="2:12" x14ac:dyDescent="0.25">
      <c r="B176" s="153"/>
      <c r="C176" s="13" t="s">
        <v>163</v>
      </c>
      <c r="D176" s="14" t="s">
        <v>26</v>
      </c>
      <c r="E176" s="15">
        <v>0</v>
      </c>
      <c r="F176" s="16">
        <f t="shared" si="25"/>
        <v>0</v>
      </c>
      <c r="G176" s="15">
        <f t="shared" si="26"/>
        <v>0</v>
      </c>
      <c r="H176" s="16">
        <f t="shared" si="27"/>
        <v>0</v>
      </c>
      <c r="I176" s="15">
        <f t="shared" si="28"/>
        <v>0</v>
      </c>
      <c r="J176" s="16">
        <f t="shared" si="29"/>
        <v>0</v>
      </c>
    </row>
    <row r="177" spans="2:12" x14ac:dyDescent="0.25">
      <c r="B177" s="153"/>
      <c r="C177" s="13" t="s">
        <v>26</v>
      </c>
      <c r="D177" s="14" t="s">
        <v>183</v>
      </c>
      <c r="E177" s="15">
        <v>0</v>
      </c>
      <c r="F177" s="16">
        <f t="shared" si="25"/>
        <v>0</v>
      </c>
      <c r="G177" s="15">
        <f t="shared" si="26"/>
        <v>0</v>
      </c>
      <c r="H177" s="16">
        <f t="shared" si="27"/>
        <v>0</v>
      </c>
      <c r="I177" s="15">
        <f t="shared" si="28"/>
        <v>0</v>
      </c>
      <c r="J177" s="16">
        <f t="shared" si="29"/>
        <v>0</v>
      </c>
    </row>
    <row r="178" spans="2:12" x14ac:dyDescent="0.25">
      <c r="B178" s="153"/>
      <c r="C178" s="13" t="s">
        <v>170</v>
      </c>
      <c r="D178" s="14" t="s">
        <v>195</v>
      </c>
      <c r="E178" s="15">
        <v>95.31</v>
      </c>
      <c r="F178" s="16">
        <f t="shared" si="25"/>
        <v>19.062000000000001</v>
      </c>
      <c r="G178" s="15">
        <f t="shared" si="26"/>
        <v>19.062000000000001</v>
      </c>
      <c r="H178" s="16">
        <f t="shared" si="27"/>
        <v>19.062000000000001</v>
      </c>
      <c r="I178" s="15">
        <f t="shared" si="28"/>
        <v>19.062000000000001</v>
      </c>
      <c r="J178" s="16">
        <f t="shared" si="29"/>
        <v>19.062000000000001</v>
      </c>
    </row>
    <row r="179" spans="2:12" x14ac:dyDescent="0.25">
      <c r="B179" s="153"/>
      <c r="C179" s="13" t="s">
        <v>163</v>
      </c>
      <c r="D179" s="14" t="s">
        <v>196</v>
      </c>
      <c r="E179" s="15">
        <v>174.9</v>
      </c>
      <c r="F179" s="16">
        <f t="shared" si="25"/>
        <v>34.980000000000004</v>
      </c>
      <c r="G179" s="15">
        <f t="shared" si="26"/>
        <v>34.980000000000004</v>
      </c>
      <c r="H179" s="16">
        <f t="shared" si="27"/>
        <v>34.980000000000004</v>
      </c>
      <c r="I179" s="15">
        <f t="shared" si="28"/>
        <v>34.980000000000004</v>
      </c>
      <c r="J179" s="16">
        <f t="shared" si="29"/>
        <v>34.980000000000004</v>
      </c>
    </row>
    <row r="180" spans="2:12" x14ac:dyDescent="0.25">
      <c r="B180" s="153"/>
      <c r="C180" s="17" t="s">
        <v>163</v>
      </c>
      <c r="D180" s="14" t="s">
        <v>197</v>
      </c>
      <c r="E180" s="15">
        <v>189.9</v>
      </c>
      <c r="F180" s="16">
        <f t="shared" si="25"/>
        <v>37.980000000000004</v>
      </c>
      <c r="G180" s="15">
        <f t="shared" si="26"/>
        <v>37.980000000000004</v>
      </c>
      <c r="H180" s="16">
        <f t="shared" si="27"/>
        <v>37.980000000000004</v>
      </c>
      <c r="I180" s="15">
        <f t="shared" si="28"/>
        <v>37.980000000000004</v>
      </c>
      <c r="J180" s="16">
        <f t="shared" si="29"/>
        <v>37.980000000000004</v>
      </c>
    </row>
    <row r="181" spans="2:12" x14ac:dyDescent="0.25">
      <c r="B181" s="153"/>
      <c r="C181" s="17"/>
      <c r="D181" s="18"/>
      <c r="E181" s="15">
        <v>0</v>
      </c>
      <c r="F181" s="16">
        <f t="shared" si="25"/>
        <v>0</v>
      </c>
      <c r="G181" s="15">
        <f t="shared" si="26"/>
        <v>0</v>
      </c>
      <c r="H181" s="16">
        <f t="shared" si="27"/>
        <v>0</v>
      </c>
      <c r="I181" s="15">
        <f t="shared" si="28"/>
        <v>0</v>
      </c>
      <c r="J181" s="16">
        <f t="shared" si="29"/>
        <v>0</v>
      </c>
      <c r="K181" s="26" t="s">
        <v>26</v>
      </c>
    </row>
    <row r="182" spans="2:12" x14ac:dyDescent="0.25">
      <c r="B182" s="153"/>
      <c r="C182" s="2" t="s">
        <v>160</v>
      </c>
      <c r="D182" s="4" t="s">
        <v>174</v>
      </c>
      <c r="E182" s="19">
        <v>0</v>
      </c>
      <c r="F182" s="16">
        <f t="shared" si="25"/>
        <v>0</v>
      </c>
      <c r="G182" s="19">
        <f t="shared" si="26"/>
        <v>0</v>
      </c>
      <c r="H182" s="16">
        <f t="shared" si="27"/>
        <v>0</v>
      </c>
      <c r="I182" s="19">
        <f t="shared" si="28"/>
        <v>0</v>
      </c>
      <c r="J182" s="16">
        <f t="shared" si="29"/>
        <v>0</v>
      </c>
      <c r="K182" s="26" t="s">
        <v>175</v>
      </c>
    </row>
    <row r="183" spans="2:12" x14ac:dyDescent="0.25">
      <c r="B183" s="153"/>
      <c r="C183" s="2"/>
      <c r="D183" s="4" t="s">
        <v>26</v>
      </c>
      <c r="E183" s="19">
        <v>0</v>
      </c>
      <c r="F183" s="16">
        <f t="shared" si="25"/>
        <v>0</v>
      </c>
      <c r="G183" s="19">
        <f t="shared" si="26"/>
        <v>0</v>
      </c>
      <c r="H183" s="16">
        <f t="shared" si="27"/>
        <v>0</v>
      </c>
      <c r="I183" s="19">
        <f t="shared" si="28"/>
        <v>0</v>
      </c>
      <c r="J183" s="16">
        <f t="shared" si="29"/>
        <v>0</v>
      </c>
      <c r="K183" s="27">
        <f>SUM(E166:E183)</f>
        <v>2015.25</v>
      </c>
    </row>
    <row r="184" spans="2:12" x14ac:dyDescent="0.25">
      <c r="B184" s="153"/>
      <c r="C184" s="20" t="s">
        <v>176</v>
      </c>
      <c r="D184" s="4"/>
      <c r="E184" s="155">
        <f>SUM(F184:J184)/5.21539</f>
        <v>0.28885413497858198</v>
      </c>
      <c r="F184" s="21">
        <f>$K186*1/F164</f>
        <v>0.3309113300492611</v>
      </c>
      <c r="G184" s="21">
        <f>$K186*1/G164</f>
        <v>0.40589123867069488</v>
      </c>
      <c r="H184" s="21">
        <f>$K186*1/H164</f>
        <v>0.23745839102129793</v>
      </c>
      <c r="I184" s="21">
        <f>$K186*1/I164</f>
        <v>0.29618606701940037</v>
      </c>
      <c r="J184" s="21">
        <f>$K186*1/J164</f>
        <v>0.2360399402652924</v>
      </c>
    </row>
    <row r="185" spans="2:12" x14ac:dyDescent="0.25">
      <c r="B185" s="153"/>
      <c r="C185" s="20" t="s">
        <v>177</v>
      </c>
      <c r="D185" s="4"/>
      <c r="E185" s="155"/>
      <c r="F185" s="22">
        <f>$E184</f>
        <v>0.28885413497858198</v>
      </c>
      <c r="G185" s="22">
        <f>$E184</f>
        <v>0.28885413497858198</v>
      </c>
      <c r="H185" s="22">
        <f>$E184</f>
        <v>0.28885413497858198</v>
      </c>
      <c r="I185" s="22">
        <f>$E184</f>
        <v>0.28885413497858198</v>
      </c>
      <c r="J185" s="22">
        <f>$E184</f>
        <v>0.28885413497858198</v>
      </c>
    </row>
    <row r="186" spans="2:12" x14ac:dyDescent="0.25">
      <c r="B186" s="154" t="s">
        <v>178</v>
      </c>
      <c r="C186" s="154"/>
      <c r="D186" s="154"/>
      <c r="E186" s="154"/>
      <c r="F186" s="23" t="s">
        <v>154</v>
      </c>
      <c r="G186" s="23" t="s">
        <v>155</v>
      </c>
      <c r="H186" s="23" t="s">
        <v>110</v>
      </c>
      <c r="I186" s="23" t="s">
        <v>194</v>
      </c>
      <c r="J186" s="28" t="s">
        <v>157</v>
      </c>
      <c r="K186" s="29">
        <f>K183/5</f>
        <v>403.05</v>
      </c>
      <c r="L186" s="30" t="s">
        <v>179</v>
      </c>
    </row>
    <row r="187" spans="2:12" x14ac:dyDescent="0.25">
      <c r="B187" s="154"/>
      <c r="C187" s="154"/>
      <c r="D187" s="154"/>
      <c r="E187" s="154"/>
      <c r="F187" s="24">
        <f>F164*$E184</f>
        <v>351.82433640391287</v>
      </c>
      <c r="G187" s="24">
        <f>G164*$E184</f>
        <v>286.83215603373191</v>
      </c>
      <c r="H187" s="24">
        <f>H164*$E184</f>
        <v>490.28656600589608</v>
      </c>
      <c r="I187" s="24">
        <f>I164*$E184</f>
        <v>393.07270687885432</v>
      </c>
      <c r="J187" s="24">
        <f>J164*$E184</f>
        <v>493.23287818267767</v>
      </c>
      <c r="K187" s="31" t="s">
        <v>180</v>
      </c>
      <c r="L187" s="32">
        <f>SUM(F187:J187)</f>
        <v>2015.2486435050728</v>
      </c>
    </row>
    <row r="189" spans="2:12" x14ac:dyDescent="0.25">
      <c r="K189" s="33" t="s">
        <v>181</v>
      </c>
      <c r="L189" s="34">
        <f>K183-L187</f>
        <v>1.3564949272222293E-3</v>
      </c>
    </row>
    <row r="192" spans="2:12" x14ac:dyDescent="0.25">
      <c r="B192" s="1" t="s">
        <v>148</v>
      </c>
      <c r="C192" s="2" t="s">
        <v>149</v>
      </c>
      <c r="D192" s="2" t="s">
        <v>150</v>
      </c>
      <c r="E192" s="2"/>
      <c r="F192" s="156" t="s">
        <v>151</v>
      </c>
      <c r="G192" s="156"/>
      <c r="H192" s="156"/>
      <c r="I192" s="156"/>
      <c r="J192" s="156"/>
    </row>
    <row r="193" spans="2:12" x14ac:dyDescent="0.25">
      <c r="B193" s="3" t="s">
        <v>11</v>
      </c>
      <c r="C193" s="4"/>
      <c r="D193" s="4" t="s">
        <v>152</v>
      </c>
      <c r="E193" s="4" t="s">
        <v>153</v>
      </c>
      <c r="F193" s="5" t="s">
        <v>154</v>
      </c>
      <c r="G193" s="5" t="s">
        <v>155</v>
      </c>
      <c r="H193" s="5" t="s">
        <v>110</v>
      </c>
      <c r="I193" s="5" t="s">
        <v>194</v>
      </c>
      <c r="J193" s="25" t="s">
        <v>157</v>
      </c>
    </row>
    <row r="194" spans="2:12" ht="15.75" x14ac:dyDescent="0.25">
      <c r="B194" s="6">
        <v>2016</v>
      </c>
      <c r="C194" s="2"/>
      <c r="D194" s="2"/>
      <c r="E194" s="2"/>
      <c r="F194" s="2"/>
      <c r="G194" s="2"/>
      <c r="H194" s="2"/>
      <c r="I194" s="2"/>
      <c r="J194" s="2"/>
    </row>
    <row r="195" spans="2:12" ht="15.75" x14ac:dyDescent="0.25">
      <c r="B195" s="7" t="s">
        <v>26</v>
      </c>
      <c r="C195" s="2"/>
      <c r="D195" s="8" t="s">
        <v>158</v>
      </c>
      <c r="E195" s="2"/>
      <c r="F195" s="9">
        <v>1218</v>
      </c>
      <c r="G195" s="9">
        <v>1059.2</v>
      </c>
      <c r="H195" s="9">
        <v>1697.35</v>
      </c>
      <c r="I195" s="9">
        <v>1360.8</v>
      </c>
      <c r="J195" s="9">
        <v>1707.55</v>
      </c>
    </row>
    <row r="196" spans="2:12" ht="15.75" x14ac:dyDescent="0.25">
      <c r="B196" s="10"/>
      <c r="C196" s="4"/>
      <c r="D196" s="11"/>
      <c r="E196" s="4"/>
      <c r="F196" s="12"/>
      <c r="G196" s="12"/>
      <c r="H196" s="12"/>
      <c r="I196" s="12"/>
      <c r="J196" s="12"/>
    </row>
    <row r="197" spans="2:12" x14ac:dyDescent="0.25">
      <c r="B197" s="153" t="s">
        <v>159</v>
      </c>
      <c r="C197" s="13" t="s">
        <v>160</v>
      </c>
      <c r="D197" s="14" t="s">
        <v>161</v>
      </c>
      <c r="E197" s="15">
        <v>400</v>
      </c>
      <c r="F197" s="16">
        <f t="shared" ref="F197:F214" si="30">$E197/5</f>
        <v>80</v>
      </c>
      <c r="G197" s="15">
        <f t="shared" ref="G197:G214" si="31">$E197/5</f>
        <v>80</v>
      </c>
      <c r="H197" s="16">
        <f t="shared" ref="H197:H214" si="32">$E197/5</f>
        <v>80</v>
      </c>
      <c r="I197" s="15">
        <f t="shared" ref="I197:I214" si="33">$E197/5</f>
        <v>80</v>
      </c>
      <c r="J197" s="16">
        <f t="shared" ref="J197:J214" si="34">$E197/5</f>
        <v>80</v>
      </c>
    </row>
    <row r="198" spans="2:12" x14ac:dyDescent="0.25">
      <c r="B198" s="153"/>
      <c r="C198" s="13" t="s">
        <v>160</v>
      </c>
      <c r="D198" s="14" t="s">
        <v>20</v>
      </c>
      <c r="E198" s="15">
        <v>86.5</v>
      </c>
      <c r="F198" s="16">
        <f t="shared" si="30"/>
        <v>17.3</v>
      </c>
      <c r="G198" s="15">
        <f t="shared" si="31"/>
        <v>17.3</v>
      </c>
      <c r="H198" s="16">
        <f t="shared" si="32"/>
        <v>17.3</v>
      </c>
      <c r="I198" s="15">
        <f t="shared" si="33"/>
        <v>17.3</v>
      </c>
      <c r="J198" s="16">
        <f t="shared" si="34"/>
        <v>17.3</v>
      </c>
    </row>
    <row r="199" spans="2:12" x14ac:dyDescent="0.25">
      <c r="B199" s="153"/>
      <c r="C199" s="13" t="s">
        <v>160</v>
      </c>
      <c r="D199" s="14" t="s">
        <v>21</v>
      </c>
      <c r="E199" s="15">
        <v>167.58</v>
      </c>
      <c r="F199" s="16">
        <f t="shared" si="30"/>
        <v>33.516000000000005</v>
      </c>
      <c r="G199" s="15">
        <f t="shared" si="31"/>
        <v>33.516000000000005</v>
      </c>
      <c r="H199" s="16">
        <f t="shared" si="32"/>
        <v>33.516000000000005</v>
      </c>
      <c r="I199" s="15">
        <f t="shared" si="33"/>
        <v>33.516000000000005</v>
      </c>
      <c r="J199" s="16">
        <f t="shared" si="34"/>
        <v>33.516000000000005</v>
      </c>
    </row>
    <row r="200" spans="2:12" x14ac:dyDescent="0.25">
      <c r="B200" s="153"/>
      <c r="C200" s="13" t="s">
        <v>160</v>
      </c>
      <c r="D200" s="14" t="s">
        <v>162</v>
      </c>
      <c r="E200" s="15">
        <v>134.87</v>
      </c>
      <c r="F200" s="16">
        <f t="shared" si="30"/>
        <v>26.974</v>
      </c>
      <c r="G200" s="15">
        <f t="shared" si="31"/>
        <v>26.974</v>
      </c>
      <c r="H200" s="16">
        <f t="shared" si="32"/>
        <v>26.974</v>
      </c>
      <c r="I200" s="15">
        <f t="shared" si="33"/>
        <v>26.974</v>
      </c>
      <c r="J200" s="16">
        <f t="shared" si="34"/>
        <v>26.974</v>
      </c>
    </row>
    <row r="201" spans="2:12" x14ac:dyDescent="0.25">
      <c r="B201" s="153"/>
      <c r="C201" s="13" t="s">
        <v>163</v>
      </c>
      <c r="D201" s="14"/>
      <c r="E201" s="15">
        <v>0</v>
      </c>
      <c r="F201" s="16">
        <f t="shared" si="30"/>
        <v>0</v>
      </c>
      <c r="G201" s="15">
        <f t="shared" si="31"/>
        <v>0</v>
      </c>
      <c r="H201" s="16">
        <f t="shared" si="32"/>
        <v>0</v>
      </c>
      <c r="I201" s="15">
        <f t="shared" si="33"/>
        <v>0</v>
      </c>
      <c r="J201" s="16">
        <f t="shared" si="34"/>
        <v>0</v>
      </c>
    </row>
    <row r="202" spans="2:12" x14ac:dyDescent="0.25">
      <c r="B202" s="153"/>
      <c r="C202" s="13" t="s">
        <v>163</v>
      </c>
      <c r="D202" s="14" t="s">
        <v>164</v>
      </c>
      <c r="E202" s="15">
        <v>89.9</v>
      </c>
      <c r="F202" s="16">
        <f t="shared" si="30"/>
        <v>17.98</v>
      </c>
      <c r="G202" s="15">
        <f t="shared" si="31"/>
        <v>17.98</v>
      </c>
      <c r="H202" s="16">
        <f t="shared" si="32"/>
        <v>17.98</v>
      </c>
      <c r="I202" s="15">
        <f t="shared" si="33"/>
        <v>17.98</v>
      </c>
      <c r="J202" s="16">
        <f t="shared" si="34"/>
        <v>17.98</v>
      </c>
    </row>
    <row r="203" spans="2:12" x14ac:dyDescent="0.25">
      <c r="B203" s="153"/>
      <c r="C203" s="13" t="s">
        <v>160</v>
      </c>
      <c r="D203" s="14" t="s">
        <v>165</v>
      </c>
      <c r="E203" s="15">
        <v>629.47</v>
      </c>
      <c r="F203" s="16">
        <f t="shared" si="30"/>
        <v>125.89400000000001</v>
      </c>
      <c r="G203" s="15">
        <f t="shared" si="31"/>
        <v>125.89400000000001</v>
      </c>
      <c r="H203" s="16">
        <f t="shared" si="32"/>
        <v>125.89400000000001</v>
      </c>
      <c r="I203" s="15">
        <f t="shared" si="33"/>
        <v>125.89400000000001</v>
      </c>
      <c r="J203" s="16">
        <f t="shared" si="34"/>
        <v>125.89400000000001</v>
      </c>
    </row>
    <row r="204" spans="2:12" x14ac:dyDescent="0.25">
      <c r="B204" s="153"/>
      <c r="C204" s="13" t="s">
        <v>166</v>
      </c>
      <c r="D204" s="14" t="s">
        <v>167</v>
      </c>
      <c r="E204" s="15">
        <v>50</v>
      </c>
      <c r="F204" s="16">
        <f t="shared" si="30"/>
        <v>10</v>
      </c>
      <c r="G204" s="15">
        <f t="shared" si="31"/>
        <v>10</v>
      </c>
      <c r="H204" s="16">
        <f t="shared" si="32"/>
        <v>10</v>
      </c>
      <c r="I204" s="15">
        <f t="shared" si="33"/>
        <v>10</v>
      </c>
      <c r="J204" s="16">
        <f t="shared" si="34"/>
        <v>10</v>
      </c>
    </row>
    <row r="205" spans="2:12" x14ac:dyDescent="0.25">
      <c r="B205" s="153"/>
      <c r="C205" s="13" t="s">
        <v>163</v>
      </c>
      <c r="D205" s="14" t="s">
        <v>26</v>
      </c>
      <c r="E205" s="15">
        <v>0</v>
      </c>
      <c r="F205" s="16">
        <f t="shared" si="30"/>
        <v>0</v>
      </c>
      <c r="G205" s="15">
        <f t="shared" si="31"/>
        <v>0</v>
      </c>
      <c r="H205" s="16">
        <f t="shared" si="32"/>
        <v>0</v>
      </c>
      <c r="I205" s="15">
        <f t="shared" si="33"/>
        <v>0</v>
      </c>
      <c r="J205" s="16">
        <f t="shared" si="34"/>
        <v>0</v>
      </c>
    </row>
    <row r="206" spans="2:12" x14ac:dyDescent="0.25">
      <c r="B206" s="153"/>
      <c r="C206" s="13" t="s">
        <v>168</v>
      </c>
      <c r="D206" s="14" t="s">
        <v>169</v>
      </c>
      <c r="E206" s="15">
        <v>0</v>
      </c>
      <c r="F206" s="16">
        <f t="shared" si="30"/>
        <v>0</v>
      </c>
      <c r="G206" s="15">
        <f t="shared" si="31"/>
        <v>0</v>
      </c>
      <c r="H206" s="16">
        <f t="shared" si="32"/>
        <v>0</v>
      </c>
      <c r="I206" s="15">
        <f t="shared" si="33"/>
        <v>0</v>
      </c>
      <c r="J206" s="16">
        <f t="shared" si="34"/>
        <v>0</v>
      </c>
    </row>
    <row r="207" spans="2:12" x14ac:dyDescent="0.25">
      <c r="B207" s="153"/>
      <c r="C207" s="13" t="s">
        <v>163</v>
      </c>
      <c r="D207" s="14" t="s">
        <v>198</v>
      </c>
      <c r="E207" s="15">
        <v>150</v>
      </c>
      <c r="F207" s="16">
        <f t="shared" si="30"/>
        <v>30</v>
      </c>
      <c r="G207" s="15">
        <f t="shared" si="31"/>
        <v>30</v>
      </c>
      <c r="H207" s="16">
        <f t="shared" si="32"/>
        <v>30</v>
      </c>
      <c r="I207" s="15">
        <f t="shared" si="33"/>
        <v>30</v>
      </c>
      <c r="J207" s="16">
        <f t="shared" si="34"/>
        <v>30</v>
      </c>
    </row>
    <row r="208" spans="2:12" x14ac:dyDescent="0.25">
      <c r="B208" s="153"/>
      <c r="C208" s="13" t="s">
        <v>170</v>
      </c>
      <c r="D208" s="14" t="s">
        <v>183</v>
      </c>
      <c r="E208" s="15">
        <v>200</v>
      </c>
      <c r="F208" s="16">
        <f t="shared" si="30"/>
        <v>40</v>
      </c>
      <c r="G208" s="15">
        <f t="shared" si="31"/>
        <v>40</v>
      </c>
      <c r="H208" s="16">
        <f t="shared" si="32"/>
        <v>40</v>
      </c>
      <c r="I208" s="15">
        <f t="shared" si="33"/>
        <v>40</v>
      </c>
      <c r="J208" s="16">
        <f t="shared" si="34"/>
        <v>40</v>
      </c>
      <c r="L208" s="38">
        <f>K214/7</f>
        <v>311.21857142857147</v>
      </c>
    </row>
    <row r="209" spans="2:15" x14ac:dyDescent="0.25">
      <c r="B209" s="153"/>
      <c r="C209" s="13" t="s">
        <v>170</v>
      </c>
      <c r="D209" s="14" t="s">
        <v>199</v>
      </c>
      <c r="E209" s="15">
        <v>95.31</v>
      </c>
      <c r="F209" s="16">
        <f t="shared" si="30"/>
        <v>19.062000000000001</v>
      </c>
      <c r="G209" s="15">
        <f t="shared" si="31"/>
        <v>19.062000000000001</v>
      </c>
      <c r="H209" s="16">
        <f t="shared" si="32"/>
        <v>19.062000000000001</v>
      </c>
      <c r="I209" s="15">
        <f t="shared" si="33"/>
        <v>19.062000000000001</v>
      </c>
      <c r="J209" s="16">
        <f t="shared" si="34"/>
        <v>19.062000000000001</v>
      </c>
    </row>
    <row r="210" spans="2:15" x14ac:dyDescent="0.25">
      <c r="B210" s="153"/>
      <c r="C210" s="13" t="s">
        <v>163</v>
      </c>
      <c r="D210" s="14" t="s">
        <v>200</v>
      </c>
      <c r="E210" s="15">
        <v>174.9</v>
      </c>
      <c r="F210" s="16">
        <f t="shared" si="30"/>
        <v>34.980000000000004</v>
      </c>
      <c r="G210" s="15">
        <f t="shared" si="31"/>
        <v>34.980000000000004</v>
      </c>
      <c r="H210" s="16">
        <f t="shared" si="32"/>
        <v>34.980000000000004</v>
      </c>
      <c r="I210" s="15">
        <f t="shared" si="33"/>
        <v>34.980000000000004</v>
      </c>
      <c r="J210" s="16">
        <f t="shared" si="34"/>
        <v>34.980000000000004</v>
      </c>
    </row>
    <row r="211" spans="2:15" x14ac:dyDescent="0.25">
      <c r="B211" s="153"/>
      <c r="C211" s="17" t="s">
        <v>163</v>
      </c>
      <c r="D211" s="18" t="s">
        <v>26</v>
      </c>
      <c r="E211" s="15">
        <v>0</v>
      </c>
      <c r="F211" s="16">
        <f t="shared" si="30"/>
        <v>0</v>
      </c>
      <c r="G211" s="15">
        <f t="shared" si="31"/>
        <v>0</v>
      </c>
      <c r="H211" s="16">
        <f t="shared" si="32"/>
        <v>0</v>
      </c>
      <c r="I211" s="15">
        <f t="shared" si="33"/>
        <v>0</v>
      </c>
      <c r="J211" s="16">
        <f t="shared" si="34"/>
        <v>0</v>
      </c>
    </row>
    <row r="212" spans="2:15" x14ac:dyDescent="0.25">
      <c r="B212" s="153"/>
      <c r="C212" s="17"/>
      <c r="D212" s="18"/>
      <c r="E212" s="15">
        <v>0</v>
      </c>
      <c r="F212" s="16">
        <f t="shared" si="30"/>
        <v>0</v>
      </c>
      <c r="G212" s="15">
        <f t="shared" si="31"/>
        <v>0</v>
      </c>
      <c r="H212" s="16">
        <f t="shared" si="32"/>
        <v>0</v>
      </c>
      <c r="I212" s="15">
        <f t="shared" si="33"/>
        <v>0</v>
      </c>
      <c r="J212" s="16">
        <f t="shared" si="34"/>
        <v>0</v>
      </c>
      <c r="K212" s="26" t="s">
        <v>26</v>
      </c>
    </row>
    <row r="213" spans="2:15" x14ac:dyDescent="0.25">
      <c r="B213" s="153"/>
      <c r="C213" s="2" t="s">
        <v>160</v>
      </c>
      <c r="D213" s="4" t="s">
        <v>174</v>
      </c>
      <c r="E213" s="19">
        <v>0</v>
      </c>
      <c r="F213" s="16">
        <f t="shared" si="30"/>
        <v>0</v>
      </c>
      <c r="G213" s="19">
        <f t="shared" si="31"/>
        <v>0</v>
      </c>
      <c r="H213" s="16">
        <f t="shared" si="32"/>
        <v>0</v>
      </c>
      <c r="I213" s="19">
        <f t="shared" si="33"/>
        <v>0</v>
      </c>
      <c r="J213" s="16">
        <f t="shared" si="34"/>
        <v>0</v>
      </c>
      <c r="K213" s="26" t="s">
        <v>175</v>
      </c>
    </row>
    <row r="214" spans="2:15" x14ac:dyDescent="0.25">
      <c r="B214" s="153"/>
      <c r="C214" s="2"/>
      <c r="D214" s="4" t="s">
        <v>26</v>
      </c>
      <c r="E214" s="19">
        <v>0</v>
      </c>
      <c r="F214" s="16">
        <f t="shared" si="30"/>
        <v>0</v>
      </c>
      <c r="G214" s="19">
        <f t="shared" si="31"/>
        <v>0</v>
      </c>
      <c r="H214" s="16">
        <f t="shared" si="32"/>
        <v>0</v>
      </c>
      <c r="I214" s="19">
        <f t="shared" si="33"/>
        <v>0</v>
      </c>
      <c r="J214" s="16">
        <f t="shared" si="34"/>
        <v>0</v>
      </c>
      <c r="K214" s="27">
        <f>SUM(E197:E214)</f>
        <v>2178.5300000000002</v>
      </c>
    </row>
    <row r="215" spans="2:15" x14ac:dyDescent="0.25">
      <c r="B215" s="153"/>
      <c r="C215" s="20" t="s">
        <v>176</v>
      </c>
      <c r="D215" s="4"/>
      <c r="E215" s="155">
        <f>SUM(F215:J215)/5.17622</f>
        <v>0.30932268601299262</v>
      </c>
      <c r="F215" s="21">
        <f>$K217*1/F195</f>
        <v>0.35772249589490968</v>
      </c>
      <c r="G215" s="21">
        <f>$K217*1/G195</f>
        <v>0.41135385196374624</v>
      </c>
      <c r="H215" s="21">
        <f>$K217*1/H195</f>
        <v>0.25669779361946565</v>
      </c>
      <c r="I215" s="21">
        <f>$K217*1/I195</f>
        <v>0.32018371546149327</v>
      </c>
      <c r="J215" s="21">
        <f>$K217*1/J195</f>
        <v>0.25516441685455771</v>
      </c>
      <c r="O215" s="39">
        <f>SUM(F215:J215)</f>
        <v>1.6011222737941726</v>
      </c>
    </row>
    <row r="216" spans="2:15" x14ac:dyDescent="0.25">
      <c r="B216" s="153"/>
      <c r="C216" s="20" t="s">
        <v>177</v>
      </c>
      <c r="D216" s="4"/>
      <c r="E216" s="155"/>
      <c r="F216" s="22">
        <f>$E215</f>
        <v>0.30932268601299262</v>
      </c>
      <c r="G216" s="22">
        <f>$E215</f>
        <v>0.30932268601299262</v>
      </c>
      <c r="H216" s="22">
        <f>$E215</f>
        <v>0.30932268601299262</v>
      </c>
      <c r="I216" s="22">
        <f>$E215</f>
        <v>0.30932268601299262</v>
      </c>
      <c r="J216" s="22">
        <f>$E215</f>
        <v>0.30932268601299262</v>
      </c>
    </row>
    <row r="217" spans="2:15" x14ac:dyDescent="0.25">
      <c r="B217" s="154" t="s">
        <v>178</v>
      </c>
      <c r="C217" s="154"/>
      <c r="D217" s="154"/>
      <c r="E217" s="154"/>
      <c r="F217" s="23" t="s">
        <v>154</v>
      </c>
      <c r="G217" s="23" t="s">
        <v>155</v>
      </c>
      <c r="H217" s="23" t="s">
        <v>110</v>
      </c>
      <c r="I217" s="23" t="s">
        <v>194</v>
      </c>
      <c r="J217" s="28" t="s">
        <v>157</v>
      </c>
      <c r="K217" s="29">
        <f>K214/5</f>
        <v>435.70600000000002</v>
      </c>
      <c r="L217" s="30" t="s">
        <v>179</v>
      </c>
    </row>
    <row r="218" spans="2:15" x14ac:dyDescent="0.25">
      <c r="B218" s="154"/>
      <c r="C218" s="154"/>
      <c r="D218" s="154"/>
      <c r="E218" s="154"/>
      <c r="F218" s="24">
        <f>F195*$E215</f>
        <v>376.75503156382501</v>
      </c>
      <c r="G218" s="24">
        <f>G195*$E215</f>
        <v>327.63458902496177</v>
      </c>
      <c r="H218" s="24">
        <f>H195*$E215</f>
        <v>525.02886110415295</v>
      </c>
      <c r="I218" s="24">
        <f>I195*$E215</f>
        <v>420.92631112648036</v>
      </c>
      <c r="J218" s="24">
        <f>J195*$E215</f>
        <v>528.18395250148558</v>
      </c>
      <c r="K218" s="31" t="s">
        <v>180</v>
      </c>
      <c r="L218" s="32">
        <f>SUM(F218:J218)</f>
        <v>2178.5287453209057</v>
      </c>
    </row>
    <row r="220" spans="2:15" x14ac:dyDescent="0.25">
      <c r="K220" s="33" t="s">
        <v>181</v>
      </c>
      <c r="L220" s="34">
        <f>K214-L218</f>
        <v>1.2546790944725217E-3</v>
      </c>
    </row>
    <row r="223" spans="2:15" x14ac:dyDescent="0.25">
      <c r="B223" s="1" t="s">
        <v>148</v>
      </c>
      <c r="C223" s="2" t="s">
        <v>149</v>
      </c>
      <c r="D223" s="2" t="s">
        <v>150</v>
      </c>
      <c r="E223" s="2"/>
      <c r="F223" s="156" t="s">
        <v>151</v>
      </c>
      <c r="G223" s="156"/>
      <c r="H223" s="156"/>
      <c r="I223" s="156"/>
      <c r="J223" s="156"/>
    </row>
    <row r="224" spans="2:15" x14ac:dyDescent="0.25">
      <c r="B224" s="3" t="s">
        <v>12</v>
      </c>
      <c r="C224" s="4"/>
      <c r="D224" s="4" t="s">
        <v>152</v>
      </c>
      <c r="E224" s="4" t="s">
        <v>153</v>
      </c>
      <c r="F224" s="5" t="s">
        <v>154</v>
      </c>
      <c r="G224" s="5" t="s">
        <v>155</v>
      </c>
      <c r="H224" s="5" t="s">
        <v>110</v>
      </c>
      <c r="I224" s="23" t="s">
        <v>194</v>
      </c>
      <c r="J224" s="25" t="s">
        <v>157</v>
      </c>
    </row>
    <row r="225" spans="2:10" ht="15.75" x14ac:dyDescent="0.25">
      <c r="B225" s="6">
        <v>2016</v>
      </c>
      <c r="C225" s="2"/>
      <c r="D225" s="2"/>
      <c r="E225" s="2"/>
      <c r="F225" s="2"/>
      <c r="G225" s="2"/>
      <c r="H225" s="2"/>
      <c r="I225" s="2"/>
      <c r="J225" s="2"/>
    </row>
    <row r="226" spans="2:10" ht="15.75" x14ac:dyDescent="0.25">
      <c r="B226" s="7" t="s">
        <v>26</v>
      </c>
      <c r="C226" s="2"/>
      <c r="D226" s="8" t="s">
        <v>158</v>
      </c>
      <c r="E226" s="2"/>
      <c r="F226" s="9">
        <v>1080</v>
      </c>
      <c r="G226" s="9">
        <v>993</v>
      </c>
      <c r="H226" s="9">
        <v>1538.46</v>
      </c>
      <c r="I226" s="9">
        <v>1360.8</v>
      </c>
      <c r="J226" s="9">
        <v>1547.57</v>
      </c>
    </row>
    <row r="227" spans="2:10" ht="15.75" x14ac:dyDescent="0.25">
      <c r="B227" s="10"/>
      <c r="C227" s="4"/>
      <c r="D227" s="11"/>
      <c r="E227" s="4"/>
      <c r="F227" s="12"/>
      <c r="G227" s="12"/>
      <c r="H227" s="12"/>
      <c r="I227" s="12"/>
      <c r="J227" s="12"/>
    </row>
    <row r="228" spans="2:10" x14ac:dyDescent="0.25">
      <c r="B228" s="153" t="s">
        <v>159</v>
      </c>
      <c r="C228" s="13" t="s">
        <v>160</v>
      </c>
      <c r="D228" s="14" t="s">
        <v>161</v>
      </c>
      <c r="E228" s="15">
        <v>400</v>
      </c>
      <c r="F228" s="16">
        <f t="shared" ref="F228:F245" si="35">$E228/5</f>
        <v>80</v>
      </c>
      <c r="G228" s="15">
        <f t="shared" ref="G228:G245" si="36">$E228/5</f>
        <v>80</v>
      </c>
      <c r="H228" s="16">
        <f t="shared" ref="H228:H245" si="37">$E228/5</f>
        <v>80</v>
      </c>
      <c r="I228" s="15">
        <f t="shared" ref="I228:I245" si="38">$E228/5</f>
        <v>80</v>
      </c>
      <c r="J228" s="16">
        <f t="shared" ref="J228:J245" si="39">$E228/5</f>
        <v>80</v>
      </c>
    </row>
    <row r="229" spans="2:10" x14ac:dyDescent="0.25">
      <c r="B229" s="153"/>
      <c r="C229" s="13" t="s">
        <v>160</v>
      </c>
      <c r="D229" s="14" t="s">
        <v>20</v>
      </c>
      <c r="E229" s="15">
        <v>78.459999999999994</v>
      </c>
      <c r="F229" s="16">
        <f t="shared" si="35"/>
        <v>15.691999999999998</v>
      </c>
      <c r="G229" s="15">
        <f t="shared" si="36"/>
        <v>15.691999999999998</v>
      </c>
      <c r="H229" s="16">
        <f t="shared" si="37"/>
        <v>15.691999999999998</v>
      </c>
      <c r="I229" s="15">
        <f t="shared" si="38"/>
        <v>15.691999999999998</v>
      </c>
      <c r="J229" s="16">
        <f t="shared" si="39"/>
        <v>15.691999999999998</v>
      </c>
    </row>
    <row r="230" spans="2:10" x14ac:dyDescent="0.25">
      <c r="B230" s="153"/>
      <c r="C230" s="13" t="s">
        <v>160</v>
      </c>
      <c r="D230" s="14" t="s">
        <v>21</v>
      </c>
      <c r="E230" s="15">
        <v>147.93</v>
      </c>
      <c r="F230" s="16">
        <f t="shared" si="35"/>
        <v>29.586000000000002</v>
      </c>
      <c r="G230" s="15">
        <f t="shared" si="36"/>
        <v>29.586000000000002</v>
      </c>
      <c r="H230" s="16">
        <f t="shared" si="37"/>
        <v>29.586000000000002</v>
      </c>
      <c r="I230" s="15">
        <f t="shared" si="38"/>
        <v>29.586000000000002</v>
      </c>
      <c r="J230" s="16">
        <f t="shared" si="39"/>
        <v>29.586000000000002</v>
      </c>
    </row>
    <row r="231" spans="2:10" x14ac:dyDescent="0.25">
      <c r="B231" s="153"/>
      <c r="C231" s="13" t="s">
        <v>160</v>
      </c>
      <c r="D231" s="14" t="s">
        <v>162</v>
      </c>
      <c r="E231" s="15">
        <v>115.58</v>
      </c>
      <c r="F231" s="16">
        <f t="shared" si="35"/>
        <v>23.116</v>
      </c>
      <c r="G231" s="15">
        <f t="shared" si="36"/>
        <v>23.116</v>
      </c>
      <c r="H231" s="16">
        <f t="shared" si="37"/>
        <v>23.116</v>
      </c>
      <c r="I231" s="15">
        <f t="shared" si="38"/>
        <v>23.116</v>
      </c>
      <c r="J231" s="16">
        <f t="shared" si="39"/>
        <v>23.116</v>
      </c>
    </row>
    <row r="232" spans="2:10" x14ac:dyDescent="0.25">
      <c r="B232" s="153"/>
      <c r="C232" s="13" t="s">
        <v>163</v>
      </c>
      <c r="D232" s="14"/>
      <c r="E232" s="15">
        <v>0</v>
      </c>
      <c r="F232" s="16">
        <f t="shared" si="35"/>
        <v>0</v>
      </c>
      <c r="G232" s="15">
        <f t="shared" si="36"/>
        <v>0</v>
      </c>
      <c r="H232" s="16">
        <f t="shared" si="37"/>
        <v>0</v>
      </c>
      <c r="I232" s="15">
        <f t="shared" si="38"/>
        <v>0</v>
      </c>
      <c r="J232" s="16">
        <f t="shared" si="39"/>
        <v>0</v>
      </c>
    </row>
    <row r="233" spans="2:10" x14ac:dyDescent="0.25">
      <c r="B233" s="153"/>
      <c r="C233" s="13" t="s">
        <v>163</v>
      </c>
      <c r="D233" s="14" t="s">
        <v>164</v>
      </c>
      <c r="E233" s="15">
        <v>89.9</v>
      </c>
      <c r="F233" s="16">
        <f t="shared" si="35"/>
        <v>17.98</v>
      </c>
      <c r="G233" s="15">
        <f t="shared" si="36"/>
        <v>17.98</v>
      </c>
      <c r="H233" s="16">
        <f t="shared" si="37"/>
        <v>17.98</v>
      </c>
      <c r="I233" s="15">
        <f t="shared" si="38"/>
        <v>17.98</v>
      </c>
      <c r="J233" s="16">
        <f t="shared" si="39"/>
        <v>17.98</v>
      </c>
    </row>
    <row r="234" spans="2:10" x14ac:dyDescent="0.25">
      <c r="B234" s="153"/>
      <c r="C234" s="13" t="s">
        <v>160</v>
      </c>
      <c r="D234" s="14" t="s">
        <v>165</v>
      </c>
      <c r="E234" s="15">
        <v>0</v>
      </c>
      <c r="F234" s="16">
        <f t="shared" si="35"/>
        <v>0</v>
      </c>
      <c r="G234" s="15">
        <f t="shared" si="36"/>
        <v>0</v>
      </c>
      <c r="H234" s="16">
        <f t="shared" si="37"/>
        <v>0</v>
      </c>
      <c r="I234" s="15">
        <f t="shared" si="38"/>
        <v>0</v>
      </c>
      <c r="J234" s="16">
        <f t="shared" si="39"/>
        <v>0</v>
      </c>
    </row>
    <row r="235" spans="2:10" x14ac:dyDescent="0.25">
      <c r="B235" s="153"/>
      <c r="C235" s="13" t="s">
        <v>166</v>
      </c>
      <c r="D235" s="14" t="s">
        <v>167</v>
      </c>
      <c r="E235" s="15">
        <v>0</v>
      </c>
      <c r="F235" s="16">
        <f t="shared" si="35"/>
        <v>0</v>
      </c>
      <c r="G235" s="15">
        <f t="shared" si="36"/>
        <v>0</v>
      </c>
      <c r="H235" s="16">
        <f t="shared" si="37"/>
        <v>0</v>
      </c>
      <c r="I235" s="15">
        <f t="shared" si="38"/>
        <v>0</v>
      </c>
      <c r="J235" s="16">
        <f t="shared" si="39"/>
        <v>0</v>
      </c>
    </row>
    <row r="236" spans="2:10" x14ac:dyDescent="0.25">
      <c r="B236" s="153"/>
      <c r="C236" s="13" t="s">
        <v>163</v>
      </c>
      <c r="D236" s="14" t="s">
        <v>26</v>
      </c>
      <c r="E236" s="15">
        <v>0</v>
      </c>
      <c r="F236" s="16">
        <f t="shared" si="35"/>
        <v>0</v>
      </c>
      <c r="G236" s="15">
        <f t="shared" si="36"/>
        <v>0</v>
      </c>
      <c r="H236" s="16">
        <f t="shared" si="37"/>
        <v>0</v>
      </c>
      <c r="I236" s="15">
        <f t="shared" si="38"/>
        <v>0</v>
      </c>
      <c r="J236" s="16">
        <f t="shared" si="39"/>
        <v>0</v>
      </c>
    </row>
    <row r="237" spans="2:10" x14ac:dyDescent="0.25">
      <c r="B237" s="153"/>
      <c r="C237" s="13" t="s">
        <v>168</v>
      </c>
      <c r="D237" s="14" t="s">
        <v>169</v>
      </c>
      <c r="E237" s="15">
        <f>593.3+20+36.7</f>
        <v>650</v>
      </c>
      <c r="F237" s="16">
        <f t="shared" si="35"/>
        <v>130</v>
      </c>
      <c r="G237" s="15">
        <f t="shared" si="36"/>
        <v>130</v>
      </c>
      <c r="H237" s="16">
        <f t="shared" si="37"/>
        <v>130</v>
      </c>
      <c r="I237" s="15">
        <f t="shared" si="38"/>
        <v>130</v>
      </c>
      <c r="J237" s="16">
        <f t="shared" si="39"/>
        <v>130</v>
      </c>
    </row>
    <row r="238" spans="2:10" x14ac:dyDescent="0.25">
      <c r="B238" s="153"/>
      <c r="C238" s="13" t="s">
        <v>163</v>
      </c>
      <c r="D238" s="14" t="s">
        <v>26</v>
      </c>
      <c r="E238" s="15">
        <v>0</v>
      </c>
      <c r="F238" s="16">
        <f t="shared" si="35"/>
        <v>0</v>
      </c>
      <c r="G238" s="15">
        <f t="shared" si="36"/>
        <v>0</v>
      </c>
      <c r="H238" s="16">
        <f t="shared" si="37"/>
        <v>0</v>
      </c>
      <c r="I238" s="15">
        <f t="shared" si="38"/>
        <v>0</v>
      </c>
      <c r="J238" s="16">
        <f t="shared" si="39"/>
        <v>0</v>
      </c>
    </row>
    <row r="239" spans="2:10" x14ac:dyDescent="0.25">
      <c r="B239" s="153"/>
      <c r="C239" s="13" t="s">
        <v>170</v>
      </c>
      <c r="D239" s="14" t="s">
        <v>26</v>
      </c>
      <c r="E239" s="15">
        <v>0</v>
      </c>
      <c r="F239" s="16">
        <f t="shared" si="35"/>
        <v>0</v>
      </c>
      <c r="G239" s="15">
        <f t="shared" si="36"/>
        <v>0</v>
      </c>
      <c r="H239" s="16">
        <f t="shared" si="37"/>
        <v>0</v>
      </c>
      <c r="I239" s="15">
        <f t="shared" si="38"/>
        <v>0</v>
      </c>
      <c r="J239" s="16">
        <f t="shared" si="39"/>
        <v>0</v>
      </c>
    </row>
    <row r="240" spans="2:10" x14ac:dyDescent="0.25">
      <c r="B240" s="153"/>
      <c r="C240" s="13" t="s">
        <v>170</v>
      </c>
      <c r="D240" s="14" t="s">
        <v>201</v>
      </c>
      <c r="E240" s="15">
        <v>95.31</v>
      </c>
      <c r="F240" s="16">
        <f t="shared" si="35"/>
        <v>19.062000000000001</v>
      </c>
      <c r="G240" s="15">
        <f t="shared" si="36"/>
        <v>19.062000000000001</v>
      </c>
      <c r="H240" s="16">
        <f t="shared" si="37"/>
        <v>19.062000000000001</v>
      </c>
      <c r="I240" s="15">
        <f t="shared" si="38"/>
        <v>19.062000000000001</v>
      </c>
      <c r="J240" s="16">
        <f t="shared" si="39"/>
        <v>19.062000000000001</v>
      </c>
    </row>
    <row r="241" spans="2:12" x14ac:dyDescent="0.25">
      <c r="B241" s="153"/>
      <c r="C241" s="13" t="s">
        <v>163</v>
      </c>
      <c r="D241" s="14" t="s">
        <v>202</v>
      </c>
      <c r="E241" s="15">
        <v>174.9</v>
      </c>
      <c r="F241" s="16">
        <f t="shared" si="35"/>
        <v>34.980000000000004</v>
      </c>
      <c r="G241" s="15">
        <f t="shared" si="36"/>
        <v>34.980000000000004</v>
      </c>
      <c r="H241" s="16">
        <f t="shared" si="37"/>
        <v>34.980000000000004</v>
      </c>
      <c r="I241" s="15">
        <f t="shared" si="38"/>
        <v>34.980000000000004</v>
      </c>
      <c r="J241" s="16">
        <f t="shared" si="39"/>
        <v>34.980000000000004</v>
      </c>
    </row>
    <row r="242" spans="2:12" x14ac:dyDescent="0.25">
      <c r="B242" s="153"/>
      <c r="C242" s="17" t="s">
        <v>163</v>
      </c>
      <c r="D242" s="18" t="s">
        <v>26</v>
      </c>
      <c r="E242" s="15">
        <v>0</v>
      </c>
      <c r="F242" s="16">
        <f t="shared" si="35"/>
        <v>0</v>
      </c>
      <c r="G242" s="15">
        <f t="shared" si="36"/>
        <v>0</v>
      </c>
      <c r="H242" s="16">
        <f t="shared" si="37"/>
        <v>0</v>
      </c>
      <c r="I242" s="15">
        <f t="shared" si="38"/>
        <v>0</v>
      </c>
      <c r="J242" s="16">
        <f t="shared" si="39"/>
        <v>0</v>
      </c>
    </row>
    <row r="243" spans="2:12" x14ac:dyDescent="0.25">
      <c r="B243" s="153"/>
      <c r="C243" s="17"/>
      <c r="D243" s="18"/>
      <c r="E243" s="15">
        <v>0</v>
      </c>
      <c r="F243" s="16">
        <f t="shared" si="35"/>
        <v>0</v>
      </c>
      <c r="G243" s="15">
        <f t="shared" si="36"/>
        <v>0</v>
      </c>
      <c r="H243" s="16">
        <f t="shared" si="37"/>
        <v>0</v>
      </c>
      <c r="I243" s="15">
        <f t="shared" si="38"/>
        <v>0</v>
      </c>
      <c r="J243" s="16">
        <f t="shared" si="39"/>
        <v>0</v>
      </c>
      <c r="K243" s="26" t="s">
        <v>26</v>
      </c>
    </row>
    <row r="244" spans="2:12" x14ac:dyDescent="0.25">
      <c r="B244" s="153"/>
      <c r="C244" s="2" t="s">
        <v>160</v>
      </c>
      <c r="D244" s="4" t="s">
        <v>174</v>
      </c>
      <c r="E244" s="19">
        <v>0</v>
      </c>
      <c r="F244" s="16">
        <f t="shared" si="35"/>
        <v>0</v>
      </c>
      <c r="G244" s="19">
        <f t="shared" si="36"/>
        <v>0</v>
      </c>
      <c r="H244" s="16">
        <f t="shared" si="37"/>
        <v>0</v>
      </c>
      <c r="I244" s="19">
        <f t="shared" si="38"/>
        <v>0</v>
      </c>
      <c r="J244" s="16">
        <f t="shared" si="39"/>
        <v>0</v>
      </c>
      <c r="K244" s="26" t="s">
        <v>175</v>
      </c>
    </row>
    <row r="245" spans="2:12" x14ac:dyDescent="0.25">
      <c r="B245" s="153"/>
      <c r="C245" s="2"/>
      <c r="D245" s="4" t="s">
        <v>26</v>
      </c>
      <c r="E245" s="19">
        <v>0</v>
      </c>
      <c r="F245" s="16">
        <f t="shared" si="35"/>
        <v>0</v>
      </c>
      <c r="G245" s="19">
        <f t="shared" si="36"/>
        <v>0</v>
      </c>
      <c r="H245" s="16">
        <f t="shared" si="37"/>
        <v>0</v>
      </c>
      <c r="I245" s="19">
        <f t="shared" si="38"/>
        <v>0</v>
      </c>
      <c r="J245" s="16">
        <f t="shared" si="39"/>
        <v>0</v>
      </c>
      <c r="K245" s="27">
        <f>SUM(E228:E245)</f>
        <v>1752.08</v>
      </c>
    </row>
    <row r="246" spans="2:12" x14ac:dyDescent="0.25">
      <c r="B246" s="153"/>
      <c r="C246" s="20" t="s">
        <v>176</v>
      </c>
      <c r="D246" s="4"/>
      <c r="E246" s="155">
        <f>SUM(F246:J246)/5.16895</f>
        <v>0.26873025688191177</v>
      </c>
      <c r="F246" s="21">
        <f>$K248*1/F226</f>
        <v>0.32445925925925928</v>
      </c>
      <c r="G246" s="21">
        <f>$K248*1/G226</f>
        <v>0.35288620342396776</v>
      </c>
      <c r="H246" s="21">
        <f>$K248*1/H226</f>
        <v>0.22777062777062776</v>
      </c>
      <c r="I246" s="21">
        <f>$K248*1/I226</f>
        <v>0.25750734861845975</v>
      </c>
      <c r="J246" s="21">
        <f>$K248*1/J226</f>
        <v>0.22642982223744323</v>
      </c>
    </row>
    <row r="247" spans="2:12" x14ac:dyDescent="0.25">
      <c r="B247" s="153"/>
      <c r="C247" s="20" t="s">
        <v>177</v>
      </c>
      <c r="D247" s="4"/>
      <c r="E247" s="155"/>
      <c r="F247" s="22">
        <f>$E246</f>
        <v>0.26873025688191177</v>
      </c>
      <c r="G247" s="22">
        <f>$E246</f>
        <v>0.26873025688191177</v>
      </c>
      <c r="H247" s="22">
        <f>$E246</f>
        <v>0.26873025688191177</v>
      </c>
      <c r="I247" s="22">
        <f>$E246</f>
        <v>0.26873025688191177</v>
      </c>
      <c r="J247" s="22">
        <f>$E246</f>
        <v>0.26873025688191177</v>
      </c>
    </row>
    <row r="248" spans="2:12" x14ac:dyDescent="0.25">
      <c r="B248" s="154" t="s">
        <v>178</v>
      </c>
      <c r="C248" s="154"/>
      <c r="D248" s="154"/>
      <c r="E248" s="154"/>
      <c r="F248" s="23" t="s">
        <v>154</v>
      </c>
      <c r="G248" s="23" t="s">
        <v>155</v>
      </c>
      <c r="H248" s="23" t="s">
        <v>110</v>
      </c>
      <c r="I248" s="23" t="s">
        <v>194</v>
      </c>
      <c r="J248" s="28" t="s">
        <v>157</v>
      </c>
      <c r="K248" s="29">
        <f>K245/5</f>
        <v>350.416</v>
      </c>
      <c r="L248" s="30" t="s">
        <v>179</v>
      </c>
    </row>
    <row r="249" spans="2:12" x14ac:dyDescent="0.25">
      <c r="B249" s="154"/>
      <c r="C249" s="154"/>
      <c r="D249" s="154"/>
      <c r="E249" s="154"/>
      <c r="F249" s="24">
        <f>F226*$E246</f>
        <v>290.22867743246474</v>
      </c>
      <c r="G249" s="24">
        <f>G226*$E246</f>
        <v>266.84914508373839</v>
      </c>
      <c r="H249" s="24">
        <f>H226*$E246</f>
        <v>413.430751002546</v>
      </c>
      <c r="I249" s="24">
        <f>I226*$E246</f>
        <v>365.68813356490551</v>
      </c>
      <c r="J249" s="24">
        <f>J226*$E246</f>
        <v>415.87888364274016</v>
      </c>
      <c r="K249" s="31" t="s">
        <v>180</v>
      </c>
      <c r="L249" s="32">
        <f>SUM(F249:J249)</f>
        <v>1752.0755907263949</v>
      </c>
    </row>
    <row r="251" spans="2:12" x14ac:dyDescent="0.25">
      <c r="K251" s="33" t="s">
        <v>181</v>
      </c>
      <c r="L251" s="34">
        <f>K245-L249</f>
        <v>4.4092736050060921E-3</v>
      </c>
    </row>
    <row r="254" spans="2:12" x14ac:dyDescent="0.25">
      <c r="B254" s="1" t="s">
        <v>148</v>
      </c>
      <c r="C254" s="2" t="s">
        <v>149</v>
      </c>
      <c r="D254" s="2" t="s">
        <v>150</v>
      </c>
      <c r="E254" s="2"/>
      <c r="F254" s="156" t="s">
        <v>151</v>
      </c>
      <c r="G254" s="156"/>
      <c r="H254" s="156"/>
      <c r="I254" s="156"/>
      <c r="J254" s="156"/>
    </row>
    <row r="255" spans="2:12" x14ac:dyDescent="0.25">
      <c r="B255" s="3" t="s">
        <v>1</v>
      </c>
      <c r="C255" s="4"/>
      <c r="D255" s="4" t="s">
        <v>152</v>
      </c>
      <c r="E255" s="4" t="s">
        <v>153</v>
      </c>
      <c r="F255" s="5" t="s">
        <v>154</v>
      </c>
      <c r="G255" s="5" t="s">
        <v>155</v>
      </c>
      <c r="H255" s="5" t="s">
        <v>110</v>
      </c>
      <c r="I255" s="5" t="s">
        <v>194</v>
      </c>
      <c r="J255" s="25" t="s">
        <v>157</v>
      </c>
    </row>
    <row r="256" spans="2:12" ht="12.75" customHeight="1" x14ac:dyDescent="0.25">
      <c r="B256" s="6">
        <v>2016</v>
      </c>
      <c r="C256" s="2"/>
      <c r="D256" s="2"/>
      <c r="E256" s="2"/>
      <c r="F256" s="2"/>
      <c r="G256" s="2"/>
      <c r="H256" s="2"/>
      <c r="I256" s="2"/>
      <c r="J256" s="2"/>
    </row>
    <row r="257" spans="2:14" ht="12.75" customHeight="1" x14ac:dyDescent="0.25">
      <c r="B257" s="7" t="s">
        <v>26</v>
      </c>
      <c r="C257" s="2"/>
      <c r="D257" s="8" t="s">
        <v>158</v>
      </c>
      <c r="E257" s="2"/>
      <c r="F257" s="9">
        <v>1080</v>
      </c>
      <c r="G257" s="9">
        <v>993</v>
      </c>
      <c r="H257" s="9">
        <v>1538.46</v>
      </c>
      <c r="I257" s="9">
        <v>1360.8</v>
      </c>
      <c r="J257" s="9">
        <v>1547.57</v>
      </c>
    </row>
    <row r="258" spans="2:14" ht="15.75" x14ac:dyDescent="0.25">
      <c r="B258" s="10"/>
      <c r="C258" s="4"/>
      <c r="D258" s="11"/>
      <c r="E258" s="4"/>
      <c r="F258" s="12"/>
      <c r="G258" s="12"/>
      <c r="H258" s="12"/>
      <c r="I258" s="12"/>
      <c r="J258" s="12"/>
    </row>
    <row r="259" spans="2:14" x14ac:dyDescent="0.25">
      <c r="B259" s="153" t="s">
        <v>159</v>
      </c>
      <c r="C259" s="13" t="s">
        <v>160</v>
      </c>
      <c r="D259" s="14" t="s">
        <v>161</v>
      </c>
      <c r="E259" s="15">
        <v>400</v>
      </c>
      <c r="F259" s="16">
        <f t="shared" ref="F259:F276" si="40">$E259/5</f>
        <v>80</v>
      </c>
      <c r="G259" s="15">
        <f t="shared" ref="G259:G276" si="41">$E259/5</f>
        <v>80</v>
      </c>
      <c r="H259" s="16">
        <f t="shared" ref="H259:H276" si="42">$E259/5</f>
        <v>80</v>
      </c>
      <c r="I259" s="15">
        <f t="shared" ref="I259:I276" si="43">$E259/5</f>
        <v>80</v>
      </c>
      <c r="J259" s="16">
        <f t="shared" ref="J259:J276" si="44">$E259/5</f>
        <v>80</v>
      </c>
    </row>
    <row r="260" spans="2:14" x14ac:dyDescent="0.25">
      <c r="B260" s="153"/>
      <c r="C260" s="13" t="s">
        <v>160</v>
      </c>
      <c r="D260" s="14" t="s">
        <v>20</v>
      </c>
      <c r="E260" s="15">
        <v>81.459999999999994</v>
      </c>
      <c r="F260" s="16">
        <f t="shared" si="40"/>
        <v>16.291999999999998</v>
      </c>
      <c r="G260" s="15">
        <f t="shared" si="41"/>
        <v>16.291999999999998</v>
      </c>
      <c r="H260" s="16">
        <f t="shared" si="42"/>
        <v>16.291999999999998</v>
      </c>
      <c r="I260" s="15">
        <f t="shared" si="43"/>
        <v>16.291999999999998</v>
      </c>
      <c r="J260" s="16">
        <f t="shared" si="44"/>
        <v>16.291999999999998</v>
      </c>
    </row>
    <row r="261" spans="2:14" x14ac:dyDescent="0.25">
      <c r="B261" s="153"/>
      <c r="C261" s="13" t="s">
        <v>160</v>
      </c>
      <c r="D261" s="14" t="s">
        <v>21</v>
      </c>
      <c r="E261" s="15">
        <v>160.03</v>
      </c>
      <c r="F261" s="16">
        <f t="shared" si="40"/>
        <v>32.006</v>
      </c>
      <c r="G261" s="15">
        <f t="shared" si="41"/>
        <v>32.006</v>
      </c>
      <c r="H261" s="16">
        <f t="shared" si="42"/>
        <v>32.006</v>
      </c>
      <c r="I261" s="15">
        <f t="shared" si="43"/>
        <v>32.006</v>
      </c>
      <c r="J261" s="16">
        <f t="shared" si="44"/>
        <v>32.006</v>
      </c>
    </row>
    <row r="262" spans="2:14" x14ac:dyDescent="0.25">
      <c r="B262" s="153"/>
      <c r="C262" s="13" t="s">
        <v>160</v>
      </c>
      <c r="D262" s="14" t="s">
        <v>162</v>
      </c>
      <c r="E262" s="15">
        <v>93.08</v>
      </c>
      <c r="F262" s="16">
        <f t="shared" si="40"/>
        <v>18.616</v>
      </c>
      <c r="G262" s="15">
        <f t="shared" si="41"/>
        <v>18.616</v>
      </c>
      <c r="H262" s="16">
        <f t="shared" si="42"/>
        <v>18.616</v>
      </c>
      <c r="I262" s="15">
        <f t="shared" si="43"/>
        <v>18.616</v>
      </c>
      <c r="J262" s="16">
        <f t="shared" si="44"/>
        <v>18.616</v>
      </c>
    </row>
    <row r="263" spans="2:14" x14ac:dyDescent="0.25">
      <c r="B263" s="153"/>
      <c r="C263" s="13" t="s">
        <v>163</v>
      </c>
      <c r="D263" s="14"/>
      <c r="E263" s="15">
        <v>0</v>
      </c>
      <c r="F263" s="16">
        <f t="shared" si="40"/>
        <v>0</v>
      </c>
      <c r="G263" s="15">
        <f t="shared" si="41"/>
        <v>0</v>
      </c>
      <c r="H263" s="16">
        <f t="shared" si="42"/>
        <v>0</v>
      </c>
      <c r="I263" s="15">
        <f t="shared" si="43"/>
        <v>0</v>
      </c>
      <c r="J263" s="16">
        <f t="shared" si="44"/>
        <v>0</v>
      </c>
    </row>
    <row r="264" spans="2:14" x14ac:dyDescent="0.25">
      <c r="B264" s="153"/>
      <c r="C264" s="13" t="s">
        <v>163</v>
      </c>
      <c r="D264" s="14" t="s">
        <v>182</v>
      </c>
      <c r="E264" s="15">
        <v>89.9</v>
      </c>
      <c r="F264" s="16">
        <f t="shared" si="40"/>
        <v>17.98</v>
      </c>
      <c r="G264" s="15">
        <f t="shared" si="41"/>
        <v>17.98</v>
      </c>
      <c r="H264" s="16">
        <f t="shared" si="42"/>
        <v>17.98</v>
      </c>
      <c r="I264" s="15">
        <f t="shared" si="43"/>
        <v>17.98</v>
      </c>
      <c r="J264" s="16">
        <f t="shared" si="44"/>
        <v>17.98</v>
      </c>
      <c r="N264">
        <v>650</v>
      </c>
    </row>
    <row r="265" spans="2:14" x14ac:dyDescent="0.25">
      <c r="B265" s="153"/>
      <c r="C265" s="13" t="s">
        <v>160</v>
      </c>
      <c r="D265" s="14" t="s">
        <v>165</v>
      </c>
      <c r="E265" s="15">
        <v>751.25</v>
      </c>
      <c r="F265" s="16">
        <f t="shared" si="40"/>
        <v>150.25</v>
      </c>
      <c r="G265" s="15">
        <f t="shared" si="41"/>
        <v>150.25</v>
      </c>
      <c r="H265" s="16">
        <f t="shared" si="42"/>
        <v>150.25</v>
      </c>
      <c r="I265" s="15">
        <f t="shared" si="43"/>
        <v>150.25</v>
      </c>
      <c r="J265" s="16">
        <f t="shared" si="44"/>
        <v>150.25</v>
      </c>
      <c r="N265">
        <v>120</v>
      </c>
    </row>
    <row r="266" spans="2:14" x14ac:dyDescent="0.25">
      <c r="B266" s="153"/>
      <c r="C266" s="13" t="s">
        <v>166</v>
      </c>
      <c r="D266" s="14" t="s">
        <v>167</v>
      </c>
      <c r="E266" s="15">
        <v>0</v>
      </c>
      <c r="F266" s="16">
        <f t="shared" si="40"/>
        <v>0</v>
      </c>
      <c r="G266" s="15">
        <f t="shared" si="41"/>
        <v>0</v>
      </c>
      <c r="H266" s="16">
        <f t="shared" si="42"/>
        <v>0</v>
      </c>
      <c r="I266" s="15">
        <f t="shared" si="43"/>
        <v>0</v>
      </c>
      <c r="J266" s="16">
        <f t="shared" si="44"/>
        <v>0</v>
      </c>
      <c r="N266">
        <f>SUM(N264:N265)</f>
        <v>770</v>
      </c>
    </row>
    <row r="267" spans="2:14" x14ac:dyDescent="0.25">
      <c r="B267" s="153"/>
      <c r="C267" s="13" t="s">
        <v>163</v>
      </c>
      <c r="D267" s="14" t="s">
        <v>26</v>
      </c>
      <c r="E267" s="15">
        <v>0</v>
      </c>
      <c r="F267" s="16">
        <f t="shared" si="40"/>
        <v>0</v>
      </c>
      <c r="G267" s="15">
        <f t="shared" si="41"/>
        <v>0</v>
      </c>
      <c r="H267" s="16">
        <f t="shared" si="42"/>
        <v>0</v>
      </c>
      <c r="I267" s="15">
        <f t="shared" si="43"/>
        <v>0</v>
      </c>
      <c r="J267" s="16">
        <f t="shared" si="44"/>
        <v>0</v>
      </c>
      <c r="N267" s="38">
        <f>N266-J280</f>
        <v>325.98411184433206</v>
      </c>
    </row>
    <row r="268" spans="2:14" x14ac:dyDescent="0.25">
      <c r="B268" s="153"/>
      <c r="C268" s="13" t="s">
        <v>168</v>
      </c>
      <c r="D268" s="14" t="s">
        <v>203</v>
      </c>
      <c r="E268" s="15">
        <v>120</v>
      </c>
      <c r="F268" s="16">
        <f t="shared" si="40"/>
        <v>24</v>
      </c>
      <c r="G268" s="15">
        <f t="shared" si="41"/>
        <v>24</v>
      </c>
      <c r="H268" s="16">
        <f t="shared" si="42"/>
        <v>24</v>
      </c>
      <c r="I268" s="15">
        <f t="shared" si="43"/>
        <v>24</v>
      </c>
      <c r="J268" s="16">
        <f t="shared" si="44"/>
        <v>24</v>
      </c>
    </row>
    <row r="269" spans="2:14" x14ac:dyDescent="0.25">
      <c r="B269" s="153"/>
      <c r="C269" s="13" t="s">
        <v>163</v>
      </c>
      <c r="D269" s="14"/>
      <c r="E269" s="15"/>
      <c r="F269" s="16">
        <f t="shared" si="40"/>
        <v>0</v>
      </c>
      <c r="G269" s="15">
        <f t="shared" si="41"/>
        <v>0</v>
      </c>
      <c r="H269" s="16">
        <f t="shared" si="42"/>
        <v>0</v>
      </c>
      <c r="I269" s="15">
        <f t="shared" si="43"/>
        <v>0</v>
      </c>
      <c r="J269" s="16">
        <f t="shared" si="44"/>
        <v>0</v>
      </c>
    </row>
    <row r="270" spans="2:14" x14ac:dyDescent="0.25">
      <c r="B270" s="153"/>
      <c r="C270" s="13" t="s">
        <v>170</v>
      </c>
      <c r="D270" s="14" t="s">
        <v>26</v>
      </c>
      <c r="E270" s="15">
        <v>0</v>
      </c>
      <c r="F270" s="16">
        <f t="shared" si="40"/>
        <v>0</v>
      </c>
      <c r="G270" s="15">
        <f t="shared" si="41"/>
        <v>0</v>
      </c>
      <c r="H270" s="16">
        <f t="shared" si="42"/>
        <v>0</v>
      </c>
      <c r="I270" s="15">
        <f t="shared" si="43"/>
        <v>0</v>
      </c>
      <c r="J270" s="16">
        <f t="shared" si="44"/>
        <v>0</v>
      </c>
      <c r="N270">
        <v>390</v>
      </c>
    </row>
    <row r="271" spans="2:14" x14ac:dyDescent="0.25">
      <c r="B271" s="153"/>
      <c r="C271" s="13" t="s">
        <v>170</v>
      </c>
      <c r="D271" s="14" t="s">
        <v>26</v>
      </c>
      <c r="E271" s="15">
        <v>0</v>
      </c>
      <c r="F271" s="16">
        <f t="shared" si="40"/>
        <v>0</v>
      </c>
      <c r="G271" s="15">
        <f t="shared" si="41"/>
        <v>0</v>
      </c>
      <c r="H271" s="16">
        <f t="shared" si="42"/>
        <v>0</v>
      </c>
      <c r="I271" s="15">
        <f t="shared" si="43"/>
        <v>0</v>
      </c>
      <c r="J271" s="16">
        <f t="shared" si="44"/>
        <v>0</v>
      </c>
      <c r="N271">
        <v>285</v>
      </c>
    </row>
    <row r="272" spans="2:14" x14ac:dyDescent="0.25">
      <c r="B272" s="153"/>
      <c r="C272" s="13" t="s">
        <v>163</v>
      </c>
      <c r="D272" s="14" t="s">
        <v>204</v>
      </c>
      <c r="E272" s="15">
        <v>174.9</v>
      </c>
      <c r="F272" s="16">
        <f t="shared" si="40"/>
        <v>34.980000000000004</v>
      </c>
      <c r="G272" s="15">
        <f t="shared" si="41"/>
        <v>34.980000000000004</v>
      </c>
      <c r="H272" s="16">
        <f t="shared" si="42"/>
        <v>34.980000000000004</v>
      </c>
      <c r="I272" s="15">
        <f t="shared" si="43"/>
        <v>34.980000000000004</v>
      </c>
      <c r="J272" s="16">
        <f t="shared" si="44"/>
        <v>34.980000000000004</v>
      </c>
      <c r="N272">
        <v>310</v>
      </c>
    </row>
    <row r="273" spans="2:14" x14ac:dyDescent="0.25">
      <c r="B273" s="153"/>
      <c r="C273" s="17" t="s">
        <v>163</v>
      </c>
      <c r="D273" s="18" t="s">
        <v>26</v>
      </c>
      <c r="E273" s="15">
        <v>0</v>
      </c>
      <c r="F273" s="16">
        <f t="shared" si="40"/>
        <v>0</v>
      </c>
      <c r="G273" s="15">
        <f t="shared" si="41"/>
        <v>0</v>
      </c>
      <c r="H273" s="16">
        <f t="shared" si="42"/>
        <v>0</v>
      </c>
      <c r="I273" s="15">
        <f t="shared" si="43"/>
        <v>0</v>
      </c>
      <c r="J273" s="16">
        <f t="shared" si="44"/>
        <v>0</v>
      </c>
      <c r="N273" s="41">
        <f>SUM(N270:N272)+600</f>
        <v>1585</v>
      </c>
    </row>
    <row r="274" spans="2:14" x14ac:dyDescent="0.25">
      <c r="B274" s="153"/>
      <c r="C274" s="17"/>
      <c r="D274" s="18"/>
      <c r="E274" s="15">
        <v>0</v>
      </c>
      <c r="F274" s="16">
        <f t="shared" si="40"/>
        <v>0</v>
      </c>
      <c r="G274" s="15">
        <f t="shared" si="41"/>
        <v>0</v>
      </c>
      <c r="H274" s="16">
        <f t="shared" si="42"/>
        <v>0</v>
      </c>
      <c r="I274" s="15">
        <f t="shared" si="43"/>
        <v>0</v>
      </c>
      <c r="J274" s="16">
        <f t="shared" si="44"/>
        <v>0</v>
      </c>
      <c r="K274" s="26" t="s">
        <v>26</v>
      </c>
      <c r="N274" s="38"/>
    </row>
    <row r="275" spans="2:14" x14ac:dyDescent="0.25">
      <c r="B275" s="153"/>
      <c r="C275" s="2" t="s">
        <v>160</v>
      </c>
      <c r="D275" s="4" t="s">
        <v>174</v>
      </c>
      <c r="E275" s="19">
        <v>0</v>
      </c>
      <c r="F275" s="16">
        <f t="shared" si="40"/>
        <v>0</v>
      </c>
      <c r="G275" s="19">
        <f t="shared" si="41"/>
        <v>0</v>
      </c>
      <c r="H275" s="16">
        <f t="shared" si="42"/>
        <v>0</v>
      </c>
      <c r="I275" s="19">
        <f t="shared" si="43"/>
        <v>0</v>
      </c>
      <c r="J275" s="16">
        <f t="shared" si="44"/>
        <v>0</v>
      </c>
      <c r="K275" s="26" t="s">
        <v>175</v>
      </c>
    </row>
    <row r="276" spans="2:14" x14ac:dyDescent="0.25">
      <c r="B276" s="153"/>
      <c r="C276" s="2"/>
      <c r="D276" s="4" t="s">
        <v>26</v>
      </c>
      <c r="E276" s="19">
        <v>0</v>
      </c>
      <c r="F276" s="16">
        <f t="shared" si="40"/>
        <v>0</v>
      </c>
      <c r="G276" s="19">
        <f t="shared" si="41"/>
        <v>0</v>
      </c>
      <c r="H276" s="16">
        <f t="shared" si="42"/>
        <v>0</v>
      </c>
      <c r="I276" s="19">
        <f t="shared" si="43"/>
        <v>0</v>
      </c>
      <c r="J276" s="16">
        <f t="shared" si="44"/>
        <v>0</v>
      </c>
      <c r="K276" s="27">
        <f>SUM(E259:E276)</f>
        <v>1870.6200000000001</v>
      </c>
    </row>
    <row r="277" spans="2:14" x14ac:dyDescent="0.25">
      <c r="B277" s="153"/>
      <c r="C277" s="20" t="s">
        <v>176</v>
      </c>
      <c r="D277" s="4"/>
      <c r="E277" s="155">
        <f>SUM(F277:J277)/5.16895</f>
        <v>0.28691166677802488</v>
      </c>
      <c r="F277" s="21">
        <f>$K279*1/F257</f>
        <v>0.34641111111111111</v>
      </c>
      <c r="G277" s="21">
        <f>$K279*1/G257</f>
        <v>0.37676132930513595</v>
      </c>
      <c r="H277" s="21">
        <f>$K279*1/H257</f>
        <v>0.24318084318084318</v>
      </c>
      <c r="I277" s="21">
        <f>$K279*1/I257</f>
        <v>0.27492945326278662</v>
      </c>
      <c r="J277" s="21">
        <f>$K279*1/J257</f>
        <v>0.24174932313239469</v>
      </c>
    </row>
    <row r="278" spans="2:14" x14ac:dyDescent="0.25">
      <c r="B278" s="153"/>
      <c r="C278" s="20" t="s">
        <v>177</v>
      </c>
      <c r="D278" s="4"/>
      <c r="E278" s="155"/>
      <c r="F278" s="22">
        <f>$E277</f>
        <v>0.28691166677802488</v>
      </c>
      <c r="G278" s="22">
        <f>$E277</f>
        <v>0.28691166677802488</v>
      </c>
      <c r="H278" s="22">
        <f>$E277</f>
        <v>0.28691166677802488</v>
      </c>
      <c r="I278" s="22">
        <f>$E277</f>
        <v>0.28691166677802488</v>
      </c>
      <c r="J278" s="22">
        <f>$E277</f>
        <v>0.28691166677802488</v>
      </c>
    </row>
    <row r="279" spans="2:14" x14ac:dyDescent="0.25">
      <c r="B279" s="154" t="s">
        <v>178</v>
      </c>
      <c r="C279" s="154"/>
      <c r="D279" s="154"/>
      <c r="E279" s="154"/>
      <c r="F279" s="23" t="s">
        <v>154</v>
      </c>
      <c r="G279" s="23" t="s">
        <v>155</v>
      </c>
      <c r="H279" s="23" t="s">
        <v>110</v>
      </c>
      <c r="I279" s="23" t="s">
        <v>194</v>
      </c>
      <c r="J279" s="28" t="s">
        <v>157</v>
      </c>
      <c r="K279" s="29">
        <f>K276/5</f>
        <v>374.12400000000002</v>
      </c>
      <c r="L279" s="30" t="s">
        <v>179</v>
      </c>
    </row>
    <row r="280" spans="2:14" x14ac:dyDescent="0.25">
      <c r="B280" s="154"/>
      <c r="C280" s="154"/>
      <c r="D280" s="154"/>
      <c r="E280" s="154"/>
      <c r="F280" s="24">
        <f>F257*$E277</f>
        <v>309.86460012026686</v>
      </c>
      <c r="G280" s="24">
        <f>G257*$E277</f>
        <v>284.90328511057868</v>
      </c>
      <c r="H280" s="24">
        <f>H257*$E277</f>
        <v>441.40212287132016</v>
      </c>
      <c r="I280" s="24">
        <f>I257*$E277</f>
        <v>390.42939615153625</v>
      </c>
      <c r="J280" s="24">
        <f>J257*$E277</f>
        <v>444.01588815566794</v>
      </c>
      <c r="K280" s="31" t="s">
        <v>180</v>
      </c>
      <c r="L280" s="32">
        <f>SUM(F280:J280)</f>
        <v>1870.6152924093697</v>
      </c>
    </row>
    <row r="282" spans="2:14" x14ac:dyDescent="0.25">
      <c r="D282" s="40" t="s">
        <v>205</v>
      </c>
      <c r="E282" t="s">
        <v>206</v>
      </c>
      <c r="F282" s="37">
        <v>100</v>
      </c>
      <c r="J282" s="37">
        <v>700</v>
      </c>
      <c r="K282" s="33" t="s">
        <v>181</v>
      </c>
      <c r="L282" s="34">
        <f>K276-L280</f>
        <v>4.7075906304598902E-3</v>
      </c>
    </row>
    <row r="283" spans="2:14" x14ac:dyDescent="0.25">
      <c r="J283" s="37">
        <v>326</v>
      </c>
    </row>
    <row r="287" spans="2:14" x14ac:dyDescent="0.25">
      <c r="B287" s="1" t="s">
        <v>148</v>
      </c>
      <c r="C287" s="2" t="s">
        <v>149</v>
      </c>
      <c r="D287" s="2" t="s">
        <v>150</v>
      </c>
      <c r="E287" s="2"/>
      <c r="F287" s="156" t="s">
        <v>151</v>
      </c>
      <c r="G287" s="156"/>
      <c r="H287" s="156"/>
      <c r="I287" s="156"/>
      <c r="J287" s="156"/>
    </row>
    <row r="288" spans="2:14" x14ac:dyDescent="0.25">
      <c r="B288" s="3" t="s">
        <v>2</v>
      </c>
      <c r="C288" s="4"/>
      <c r="D288" s="4" t="s">
        <v>152</v>
      </c>
      <c r="E288" s="4" t="s">
        <v>153</v>
      </c>
      <c r="F288" s="5" t="s">
        <v>154</v>
      </c>
      <c r="G288" s="5" t="s">
        <v>155</v>
      </c>
      <c r="H288" s="5" t="s">
        <v>110</v>
      </c>
      <c r="I288" s="5" t="s">
        <v>194</v>
      </c>
      <c r="J288" s="25" t="s">
        <v>157</v>
      </c>
    </row>
    <row r="289" spans="2:10" ht="15.75" x14ac:dyDescent="0.25">
      <c r="B289" s="6">
        <v>2016</v>
      </c>
      <c r="C289" s="2"/>
      <c r="D289" s="2"/>
      <c r="E289" s="2"/>
      <c r="F289" s="2"/>
      <c r="G289" s="2"/>
      <c r="H289" s="2"/>
      <c r="I289" s="2"/>
      <c r="J289" s="2"/>
    </row>
    <row r="290" spans="2:10" ht="15.75" x14ac:dyDescent="0.25">
      <c r="B290" s="7" t="s">
        <v>26</v>
      </c>
      <c r="C290" s="2"/>
      <c r="D290" s="8" t="s">
        <v>158</v>
      </c>
      <c r="E290" s="2"/>
      <c r="F290" s="9">
        <v>1080</v>
      </c>
      <c r="G290" s="9">
        <v>993</v>
      </c>
      <c r="H290" s="9">
        <v>1538.46</v>
      </c>
      <c r="I290" s="9">
        <v>1360.8</v>
      </c>
      <c r="J290" s="9">
        <v>1547.57</v>
      </c>
    </row>
    <row r="291" spans="2:10" ht="15.75" x14ac:dyDescent="0.25">
      <c r="B291" s="10"/>
      <c r="C291" s="4"/>
      <c r="D291" s="11"/>
      <c r="E291" s="4"/>
      <c r="F291" s="12"/>
      <c r="G291" s="12"/>
      <c r="H291" s="12"/>
      <c r="I291" s="12"/>
      <c r="J291" s="12"/>
    </row>
    <row r="292" spans="2:10" x14ac:dyDescent="0.25">
      <c r="B292" s="153" t="s">
        <v>159</v>
      </c>
      <c r="C292" s="13" t="s">
        <v>160</v>
      </c>
      <c r="D292" s="14" t="s">
        <v>161</v>
      </c>
      <c r="E292" s="15">
        <v>400</v>
      </c>
      <c r="F292" s="16">
        <f t="shared" ref="F292:F309" si="45">$E292/5</f>
        <v>80</v>
      </c>
      <c r="G292" s="15">
        <f t="shared" ref="G292:G309" si="46">$E292/5</f>
        <v>80</v>
      </c>
      <c r="H292" s="16">
        <f t="shared" ref="H292:H309" si="47">$E292/5</f>
        <v>80</v>
      </c>
      <c r="I292" s="15">
        <f t="shared" ref="I292:I309" si="48">$E292/5</f>
        <v>80</v>
      </c>
      <c r="J292" s="16">
        <f t="shared" ref="J292:J309" si="49">$E292/5</f>
        <v>80</v>
      </c>
    </row>
    <row r="293" spans="2:10" x14ac:dyDescent="0.25">
      <c r="B293" s="153"/>
      <c r="C293" s="13" t="s">
        <v>160</v>
      </c>
      <c r="D293" s="14" t="s">
        <v>20</v>
      </c>
      <c r="E293" s="15">
        <v>67.709999999999994</v>
      </c>
      <c r="F293" s="16">
        <f t="shared" si="45"/>
        <v>13.541999999999998</v>
      </c>
      <c r="G293" s="15">
        <f t="shared" si="46"/>
        <v>13.541999999999998</v>
      </c>
      <c r="H293" s="16">
        <f t="shared" si="47"/>
        <v>13.541999999999998</v>
      </c>
      <c r="I293" s="15">
        <f t="shared" si="48"/>
        <v>13.541999999999998</v>
      </c>
      <c r="J293" s="16">
        <f t="shared" si="49"/>
        <v>13.541999999999998</v>
      </c>
    </row>
    <row r="294" spans="2:10" x14ac:dyDescent="0.25">
      <c r="B294" s="153"/>
      <c r="C294" s="13" t="s">
        <v>160</v>
      </c>
      <c r="D294" s="14" t="s">
        <v>21</v>
      </c>
      <c r="E294" s="15">
        <v>171.54</v>
      </c>
      <c r="F294" s="16">
        <f t="shared" si="45"/>
        <v>34.308</v>
      </c>
      <c r="G294" s="15">
        <f t="shared" si="46"/>
        <v>34.308</v>
      </c>
      <c r="H294" s="16">
        <f t="shared" si="47"/>
        <v>34.308</v>
      </c>
      <c r="I294" s="15">
        <f t="shared" si="48"/>
        <v>34.308</v>
      </c>
      <c r="J294" s="16">
        <f t="shared" si="49"/>
        <v>34.308</v>
      </c>
    </row>
    <row r="295" spans="2:10" x14ac:dyDescent="0.25">
      <c r="B295" s="153"/>
      <c r="C295" s="13" t="s">
        <v>160</v>
      </c>
      <c r="D295" s="14" t="s">
        <v>162</v>
      </c>
      <c r="E295" s="15">
        <v>144.04</v>
      </c>
      <c r="F295" s="16">
        <f t="shared" si="45"/>
        <v>28.808</v>
      </c>
      <c r="G295" s="15">
        <f t="shared" si="46"/>
        <v>28.808</v>
      </c>
      <c r="H295" s="16">
        <f t="shared" si="47"/>
        <v>28.808</v>
      </c>
      <c r="I295" s="15">
        <f t="shared" si="48"/>
        <v>28.808</v>
      </c>
      <c r="J295" s="16">
        <f t="shared" si="49"/>
        <v>28.808</v>
      </c>
    </row>
    <row r="296" spans="2:10" x14ac:dyDescent="0.25">
      <c r="B296" s="153"/>
      <c r="C296" s="13" t="s">
        <v>163</v>
      </c>
      <c r="D296" s="14"/>
      <c r="E296" s="15">
        <v>0</v>
      </c>
      <c r="F296" s="16">
        <f t="shared" si="45"/>
        <v>0</v>
      </c>
      <c r="G296" s="15">
        <f t="shared" si="46"/>
        <v>0</v>
      </c>
      <c r="H296" s="16">
        <f t="shared" si="47"/>
        <v>0</v>
      </c>
      <c r="I296" s="15">
        <f t="shared" si="48"/>
        <v>0</v>
      </c>
      <c r="J296" s="16">
        <f t="shared" si="49"/>
        <v>0</v>
      </c>
    </row>
    <row r="297" spans="2:10" x14ac:dyDescent="0.25">
      <c r="B297" s="153"/>
      <c r="C297" s="13" t="s">
        <v>163</v>
      </c>
      <c r="D297" s="14" t="s">
        <v>164</v>
      </c>
      <c r="E297" s="15">
        <v>89.9</v>
      </c>
      <c r="F297" s="16">
        <f t="shared" si="45"/>
        <v>17.98</v>
      </c>
      <c r="G297" s="15">
        <f t="shared" si="46"/>
        <v>17.98</v>
      </c>
      <c r="H297" s="16">
        <f t="shared" si="47"/>
        <v>17.98</v>
      </c>
      <c r="I297" s="15">
        <f t="shared" si="48"/>
        <v>17.98</v>
      </c>
      <c r="J297" s="16">
        <f t="shared" si="49"/>
        <v>17.98</v>
      </c>
    </row>
    <row r="298" spans="2:10" x14ac:dyDescent="0.25">
      <c r="B298" s="153"/>
      <c r="C298" s="13" t="s">
        <v>160</v>
      </c>
      <c r="D298" s="14" t="s">
        <v>165</v>
      </c>
      <c r="E298" s="15">
        <v>626</v>
      </c>
      <c r="F298" s="16">
        <f t="shared" si="45"/>
        <v>125.2</v>
      </c>
      <c r="G298" s="15">
        <f t="shared" si="46"/>
        <v>125.2</v>
      </c>
      <c r="H298" s="16">
        <f t="shared" si="47"/>
        <v>125.2</v>
      </c>
      <c r="I298" s="15">
        <f t="shared" si="48"/>
        <v>125.2</v>
      </c>
      <c r="J298" s="16">
        <f t="shared" si="49"/>
        <v>125.2</v>
      </c>
    </row>
    <row r="299" spans="2:10" x14ac:dyDescent="0.25">
      <c r="B299" s="153"/>
      <c r="C299" s="13" t="s">
        <v>166</v>
      </c>
      <c r="D299" s="14" t="s">
        <v>167</v>
      </c>
      <c r="E299" s="15">
        <v>0</v>
      </c>
      <c r="F299" s="16">
        <f t="shared" si="45"/>
        <v>0</v>
      </c>
      <c r="G299" s="15">
        <f t="shared" si="46"/>
        <v>0</v>
      </c>
      <c r="H299" s="16">
        <f t="shared" si="47"/>
        <v>0</v>
      </c>
      <c r="I299" s="15">
        <f t="shared" si="48"/>
        <v>0</v>
      </c>
      <c r="J299" s="16">
        <f t="shared" si="49"/>
        <v>0</v>
      </c>
    </row>
    <row r="300" spans="2:10" x14ac:dyDescent="0.25">
      <c r="B300" s="153"/>
      <c r="C300" s="13" t="s">
        <v>163</v>
      </c>
      <c r="D300" s="14" t="s">
        <v>207</v>
      </c>
      <c r="E300" s="15">
        <v>129.88999999999999</v>
      </c>
      <c r="F300" s="16">
        <f t="shared" si="45"/>
        <v>25.977999999999998</v>
      </c>
      <c r="G300" s="15">
        <f t="shared" si="46"/>
        <v>25.977999999999998</v>
      </c>
      <c r="H300" s="16">
        <f t="shared" si="47"/>
        <v>25.977999999999998</v>
      </c>
      <c r="I300" s="15">
        <f t="shared" si="48"/>
        <v>25.977999999999998</v>
      </c>
      <c r="J300" s="16">
        <f t="shared" si="49"/>
        <v>25.977999999999998</v>
      </c>
    </row>
    <row r="301" spans="2:10" x14ac:dyDescent="0.25">
      <c r="B301" s="153"/>
      <c r="C301" s="13" t="s">
        <v>168</v>
      </c>
      <c r="D301" s="14" t="s">
        <v>169</v>
      </c>
      <c r="E301" s="15">
        <v>34.409999999999997</v>
      </c>
      <c r="F301" s="16">
        <f t="shared" si="45"/>
        <v>6.8819999999999997</v>
      </c>
      <c r="G301" s="15">
        <f t="shared" si="46"/>
        <v>6.8819999999999997</v>
      </c>
      <c r="H301" s="16">
        <f t="shared" si="47"/>
        <v>6.8819999999999997</v>
      </c>
      <c r="I301" s="15">
        <f t="shared" si="48"/>
        <v>6.8819999999999997</v>
      </c>
      <c r="J301" s="16">
        <f t="shared" si="49"/>
        <v>6.8819999999999997</v>
      </c>
    </row>
    <row r="302" spans="2:10" x14ac:dyDescent="0.25">
      <c r="B302" s="153"/>
      <c r="C302" s="13" t="s">
        <v>163</v>
      </c>
      <c r="D302" s="14" t="s">
        <v>208</v>
      </c>
      <c r="E302" s="15">
        <f>54.06+27.8</f>
        <v>81.86</v>
      </c>
      <c r="F302" s="16">
        <f t="shared" si="45"/>
        <v>16.372</v>
      </c>
      <c r="G302" s="15">
        <f t="shared" si="46"/>
        <v>16.372</v>
      </c>
      <c r="H302" s="16">
        <f t="shared" si="47"/>
        <v>16.372</v>
      </c>
      <c r="I302" s="15">
        <f t="shared" si="48"/>
        <v>16.372</v>
      </c>
      <c r="J302" s="16">
        <f t="shared" si="49"/>
        <v>16.372</v>
      </c>
    </row>
    <row r="303" spans="2:10" x14ac:dyDescent="0.25">
      <c r="B303" s="153"/>
      <c r="C303" s="13" t="s">
        <v>170</v>
      </c>
      <c r="D303" s="14" t="s">
        <v>209</v>
      </c>
      <c r="E303" s="15">
        <v>23</v>
      </c>
      <c r="F303" s="16">
        <f t="shared" si="45"/>
        <v>4.5999999999999996</v>
      </c>
      <c r="G303" s="15">
        <f t="shared" si="46"/>
        <v>4.5999999999999996</v>
      </c>
      <c r="H303" s="16">
        <f t="shared" si="47"/>
        <v>4.5999999999999996</v>
      </c>
      <c r="I303" s="15">
        <f t="shared" si="48"/>
        <v>4.5999999999999996</v>
      </c>
      <c r="J303" s="16">
        <f t="shared" si="49"/>
        <v>4.5999999999999996</v>
      </c>
    </row>
    <row r="304" spans="2:10" x14ac:dyDescent="0.25">
      <c r="B304" s="153"/>
      <c r="C304" s="13" t="s">
        <v>170</v>
      </c>
      <c r="D304" s="14" t="s">
        <v>210</v>
      </c>
      <c r="E304" s="15">
        <v>174.9</v>
      </c>
      <c r="F304" s="16">
        <f t="shared" si="45"/>
        <v>34.980000000000004</v>
      </c>
      <c r="G304" s="15">
        <f t="shared" si="46"/>
        <v>34.980000000000004</v>
      </c>
      <c r="H304" s="16">
        <f t="shared" si="47"/>
        <v>34.980000000000004</v>
      </c>
      <c r="I304" s="15">
        <f t="shared" si="48"/>
        <v>34.980000000000004</v>
      </c>
      <c r="J304" s="16">
        <f t="shared" si="49"/>
        <v>34.980000000000004</v>
      </c>
    </row>
    <row r="305" spans="2:12" x14ac:dyDescent="0.25">
      <c r="B305" s="153"/>
      <c r="C305" s="13" t="s">
        <v>163</v>
      </c>
      <c r="D305" s="14" t="s">
        <v>26</v>
      </c>
      <c r="E305" s="15">
        <v>0</v>
      </c>
      <c r="F305" s="16">
        <f t="shared" si="45"/>
        <v>0</v>
      </c>
      <c r="G305" s="15">
        <f t="shared" si="46"/>
        <v>0</v>
      </c>
      <c r="H305" s="16">
        <f t="shared" si="47"/>
        <v>0</v>
      </c>
      <c r="I305" s="15">
        <f t="shared" si="48"/>
        <v>0</v>
      </c>
      <c r="J305" s="16">
        <f t="shared" si="49"/>
        <v>0</v>
      </c>
    </row>
    <row r="306" spans="2:12" x14ac:dyDescent="0.25">
      <c r="B306" s="153"/>
      <c r="C306" s="17" t="s">
        <v>163</v>
      </c>
      <c r="D306" s="18" t="s">
        <v>26</v>
      </c>
      <c r="E306" s="15">
        <v>0</v>
      </c>
      <c r="F306" s="16">
        <f t="shared" si="45"/>
        <v>0</v>
      </c>
      <c r="G306" s="15">
        <f t="shared" si="46"/>
        <v>0</v>
      </c>
      <c r="H306" s="16">
        <f t="shared" si="47"/>
        <v>0</v>
      </c>
      <c r="I306" s="15">
        <f t="shared" si="48"/>
        <v>0</v>
      </c>
      <c r="J306" s="16">
        <f t="shared" si="49"/>
        <v>0</v>
      </c>
    </row>
    <row r="307" spans="2:12" x14ac:dyDescent="0.25">
      <c r="B307" s="153"/>
      <c r="C307" s="17"/>
      <c r="D307" s="18"/>
      <c r="E307" s="15">
        <v>0</v>
      </c>
      <c r="F307" s="16">
        <f t="shared" si="45"/>
        <v>0</v>
      </c>
      <c r="G307" s="15">
        <f t="shared" si="46"/>
        <v>0</v>
      </c>
      <c r="H307" s="16">
        <f t="shared" si="47"/>
        <v>0</v>
      </c>
      <c r="I307" s="15">
        <f t="shared" si="48"/>
        <v>0</v>
      </c>
      <c r="J307" s="16">
        <f t="shared" si="49"/>
        <v>0</v>
      </c>
      <c r="K307" s="26" t="s">
        <v>26</v>
      </c>
    </row>
    <row r="308" spans="2:12" x14ac:dyDescent="0.25">
      <c r="B308" s="153"/>
      <c r="C308" s="2" t="s">
        <v>160</v>
      </c>
      <c r="D308" s="4" t="s">
        <v>174</v>
      </c>
      <c r="E308" s="19">
        <v>0</v>
      </c>
      <c r="F308" s="16">
        <f t="shared" si="45"/>
        <v>0</v>
      </c>
      <c r="G308" s="19">
        <f t="shared" si="46"/>
        <v>0</v>
      </c>
      <c r="H308" s="16">
        <f t="shared" si="47"/>
        <v>0</v>
      </c>
      <c r="I308" s="19">
        <f t="shared" si="48"/>
        <v>0</v>
      </c>
      <c r="J308" s="16">
        <f t="shared" si="49"/>
        <v>0</v>
      </c>
      <c r="K308" s="26" t="s">
        <v>175</v>
      </c>
    </row>
    <row r="309" spans="2:12" x14ac:dyDescent="0.25">
      <c r="B309" s="153"/>
      <c r="C309" s="2"/>
      <c r="D309" s="4" t="s">
        <v>26</v>
      </c>
      <c r="E309" s="19">
        <v>0</v>
      </c>
      <c r="F309" s="16">
        <f t="shared" si="45"/>
        <v>0</v>
      </c>
      <c r="G309" s="19">
        <f t="shared" si="46"/>
        <v>0</v>
      </c>
      <c r="H309" s="16">
        <f t="shared" si="47"/>
        <v>0</v>
      </c>
      <c r="I309" s="19">
        <f t="shared" si="48"/>
        <v>0</v>
      </c>
      <c r="J309" s="16">
        <f t="shared" si="49"/>
        <v>0</v>
      </c>
      <c r="K309" s="27">
        <f>SUM(E292:E309)</f>
        <v>1943.25</v>
      </c>
    </row>
    <row r="310" spans="2:12" x14ac:dyDescent="0.25">
      <c r="B310" s="153"/>
      <c r="C310" s="20" t="s">
        <v>176</v>
      </c>
      <c r="D310" s="4"/>
      <c r="E310" s="155">
        <f>SUM(F310:J310)/5.16895</f>
        <v>0.29805149975216605</v>
      </c>
      <c r="F310" s="21">
        <f>$K312*1/F290</f>
        <v>0.35986111111111108</v>
      </c>
      <c r="G310" s="21">
        <f>$K312*1/G290</f>
        <v>0.39138972809667671</v>
      </c>
      <c r="H310" s="21">
        <f>$K312*1/H290</f>
        <v>0.25262275262275258</v>
      </c>
      <c r="I310" s="21">
        <f>$K312*1/I290</f>
        <v>0.28560405643738979</v>
      </c>
      <c r="J310" s="21">
        <f>$K312*1/J290</f>
        <v>0.25113565137602822</v>
      </c>
    </row>
    <row r="311" spans="2:12" x14ac:dyDescent="0.25">
      <c r="B311" s="153"/>
      <c r="C311" s="20" t="s">
        <v>177</v>
      </c>
      <c r="D311" s="4"/>
      <c r="E311" s="155"/>
      <c r="F311" s="22">
        <f>$E310</f>
        <v>0.29805149975216605</v>
      </c>
      <c r="G311" s="22">
        <f>$E310</f>
        <v>0.29805149975216605</v>
      </c>
      <c r="H311" s="22">
        <f>$E310</f>
        <v>0.29805149975216605</v>
      </c>
      <c r="I311" s="22">
        <f>$E310</f>
        <v>0.29805149975216605</v>
      </c>
      <c r="J311" s="22">
        <f>$E310</f>
        <v>0.29805149975216605</v>
      </c>
    </row>
    <row r="312" spans="2:12" x14ac:dyDescent="0.25">
      <c r="B312" s="154" t="s">
        <v>178</v>
      </c>
      <c r="C312" s="154"/>
      <c r="D312" s="154"/>
      <c r="E312" s="154"/>
      <c r="F312" s="23" t="s">
        <v>154</v>
      </c>
      <c r="G312" s="23" t="s">
        <v>155</v>
      </c>
      <c r="H312" s="23" t="s">
        <v>110</v>
      </c>
      <c r="I312" s="5" t="s">
        <v>194</v>
      </c>
      <c r="J312" s="28" t="s">
        <v>157</v>
      </c>
      <c r="K312" s="29">
        <f>K309/5</f>
        <v>388.65</v>
      </c>
      <c r="L312" s="30" t="s">
        <v>179</v>
      </c>
    </row>
    <row r="313" spans="2:12" x14ac:dyDescent="0.25">
      <c r="B313" s="154"/>
      <c r="C313" s="154"/>
      <c r="D313" s="154"/>
      <c r="E313" s="154"/>
      <c r="F313" s="24">
        <f>F290*$E310</f>
        <v>321.89561973233936</v>
      </c>
      <c r="G313" s="24">
        <f>G290*$E310</f>
        <v>295.96513925390087</v>
      </c>
      <c r="H313" s="24">
        <f>H290*$E310</f>
        <v>458.54031030871738</v>
      </c>
      <c r="I313" s="24">
        <f>I290*$E310</f>
        <v>405.58848086274753</v>
      </c>
      <c r="J313" s="24">
        <f>J290*$E310</f>
        <v>461.25555947145961</v>
      </c>
      <c r="K313" s="31" t="s">
        <v>180</v>
      </c>
      <c r="L313" s="32">
        <f>SUM(F313:J313)</f>
        <v>1943.2451096291647</v>
      </c>
    </row>
    <row r="315" spans="2:12" x14ac:dyDescent="0.25">
      <c r="K315" s="33" t="s">
        <v>181</v>
      </c>
      <c r="L315" s="34">
        <f>K309-L313</f>
        <v>4.8903708352554531E-3</v>
      </c>
    </row>
    <row r="318" spans="2:12" x14ac:dyDescent="0.25">
      <c r="B318" s="1" t="s">
        <v>148</v>
      </c>
      <c r="C318" s="2" t="s">
        <v>149</v>
      </c>
      <c r="D318" s="2" t="s">
        <v>150</v>
      </c>
      <c r="E318" s="2"/>
      <c r="F318" s="156" t="s">
        <v>151</v>
      </c>
      <c r="G318" s="156"/>
      <c r="H318" s="156"/>
      <c r="I318" s="156"/>
      <c r="J318" s="156"/>
    </row>
    <row r="319" spans="2:12" x14ac:dyDescent="0.25">
      <c r="B319" s="3" t="s">
        <v>3</v>
      </c>
      <c r="C319" s="4"/>
      <c r="D319" s="4" t="s">
        <v>152</v>
      </c>
      <c r="E319" s="4" t="s">
        <v>153</v>
      </c>
      <c r="F319" s="5" t="s">
        <v>154</v>
      </c>
      <c r="G319" s="5" t="s">
        <v>155</v>
      </c>
      <c r="H319" s="5" t="s">
        <v>110</v>
      </c>
      <c r="I319" s="5" t="s">
        <v>194</v>
      </c>
      <c r="J319" s="25" t="s">
        <v>157</v>
      </c>
    </row>
    <row r="320" spans="2:12" ht="15.75" x14ac:dyDescent="0.25">
      <c r="B320" s="6">
        <v>2016</v>
      </c>
      <c r="C320" s="2"/>
      <c r="D320" s="2"/>
      <c r="E320" s="2"/>
      <c r="F320" s="2"/>
      <c r="G320" s="2"/>
      <c r="H320" s="2"/>
      <c r="I320" s="2"/>
      <c r="J320" s="2"/>
    </row>
    <row r="321" spans="2:14" ht="15.75" x14ac:dyDescent="0.25">
      <c r="B321" s="7" t="s">
        <v>26</v>
      </c>
      <c r="C321" s="2"/>
      <c r="D321" s="8" t="s">
        <v>158</v>
      </c>
      <c r="E321" s="2"/>
      <c r="F321" s="9">
        <v>1080</v>
      </c>
      <c r="G321" s="9">
        <v>1059.2</v>
      </c>
      <c r="H321" s="9">
        <v>1538.46</v>
      </c>
      <c r="I321" s="9">
        <v>1360.8</v>
      </c>
      <c r="J321" s="9">
        <v>1547.57</v>
      </c>
    </row>
    <row r="322" spans="2:14" ht="8.25" customHeight="1" x14ac:dyDescent="0.25">
      <c r="B322" s="10"/>
      <c r="C322" s="4"/>
      <c r="D322" s="11"/>
      <c r="E322" s="4"/>
      <c r="F322" s="12"/>
      <c r="G322" s="12"/>
      <c r="H322" s="12"/>
      <c r="I322" s="12"/>
      <c r="J322" s="12"/>
    </row>
    <row r="323" spans="2:14" x14ac:dyDescent="0.25">
      <c r="B323" s="153" t="s">
        <v>159</v>
      </c>
      <c r="C323" s="13" t="s">
        <v>160</v>
      </c>
      <c r="D323" s="14" t="s">
        <v>161</v>
      </c>
      <c r="E323" s="15">
        <v>400</v>
      </c>
      <c r="F323" s="16">
        <f t="shared" ref="F323:F340" si="50">$E323/5</f>
        <v>80</v>
      </c>
      <c r="G323" s="15">
        <f t="shared" ref="G323:G340" si="51">$E323/5</f>
        <v>80</v>
      </c>
      <c r="H323" s="16">
        <f t="shared" ref="H323:H340" si="52">$E323/5</f>
        <v>80</v>
      </c>
      <c r="I323" s="15">
        <f t="shared" ref="I323:I340" si="53">$E323/5</f>
        <v>80</v>
      </c>
      <c r="J323" s="16">
        <f t="shared" ref="J323:J340" si="54">$E323/5</f>
        <v>80</v>
      </c>
    </row>
    <row r="324" spans="2:14" x14ac:dyDescent="0.25">
      <c r="B324" s="153"/>
      <c r="C324" s="13" t="s">
        <v>160</v>
      </c>
      <c r="D324" s="14" t="s">
        <v>20</v>
      </c>
      <c r="E324" s="15">
        <v>72.760000000000005</v>
      </c>
      <c r="F324" s="16">
        <f t="shared" si="50"/>
        <v>14.552000000000001</v>
      </c>
      <c r="G324" s="15">
        <f t="shared" si="51"/>
        <v>14.552000000000001</v>
      </c>
      <c r="H324" s="16">
        <f t="shared" si="52"/>
        <v>14.552000000000001</v>
      </c>
      <c r="I324" s="15">
        <f t="shared" si="53"/>
        <v>14.552000000000001</v>
      </c>
      <c r="J324" s="16">
        <f t="shared" si="54"/>
        <v>14.552000000000001</v>
      </c>
      <c r="L324" s="42">
        <v>568.83000000000004</v>
      </c>
    </row>
    <row r="325" spans="2:14" x14ac:dyDescent="0.25">
      <c r="B325" s="153"/>
      <c r="C325" s="13" t="s">
        <v>160</v>
      </c>
      <c r="D325" s="14" t="s">
        <v>21</v>
      </c>
      <c r="E325" s="15">
        <v>144.34</v>
      </c>
      <c r="F325" s="16">
        <f t="shared" si="50"/>
        <v>28.868000000000002</v>
      </c>
      <c r="G325" s="15">
        <f t="shared" si="51"/>
        <v>28.868000000000002</v>
      </c>
      <c r="H325" s="16">
        <f t="shared" si="52"/>
        <v>28.868000000000002</v>
      </c>
      <c r="I325" s="15">
        <f t="shared" si="53"/>
        <v>28.868000000000002</v>
      </c>
      <c r="J325" s="16">
        <f t="shared" si="54"/>
        <v>28.868000000000002</v>
      </c>
      <c r="L325" s="38">
        <f>F346-30</f>
        <v>371.85165218984872</v>
      </c>
    </row>
    <row r="326" spans="2:14" x14ac:dyDescent="0.25">
      <c r="B326" s="153"/>
      <c r="C326" s="13" t="s">
        <v>160</v>
      </c>
      <c r="D326" s="14" t="s">
        <v>162</v>
      </c>
      <c r="E326" s="15">
        <v>145.01</v>
      </c>
      <c r="F326" s="16">
        <f t="shared" si="50"/>
        <v>29.001999999999999</v>
      </c>
      <c r="G326" s="15">
        <f t="shared" si="51"/>
        <v>29.001999999999999</v>
      </c>
      <c r="H326" s="16">
        <f t="shared" si="52"/>
        <v>29.001999999999999</v>
      </c>
      <c r="I326" s="15">
        <f t="shared" si="53"/>
        <v>29.001999999999999</v>
      </c>
      <c r="J326" s="16">
        <f t="shared" si="54"/>
        <v>29.001999999999999</v>
      </c>
      <c r="L326" s="42">
        <v>350</v>
      </c>
    </row>
    <row r="327" spans="2:14" x14ac:dyDescent="0.25">
      <c r="B327" s="153"/>
      <c r="C327" s="13" t="s">
        <v>163</v>
      </c>
      <c r="D327" s="14"/>
      <c r="E327" s="15">
        <v>0</v>
      </c>
      <c r="F327" s="16">
        <f t="shared" si="50"/>
        <v>0</v>
      </c>
      <c r="G327" s="15">
        <f t="shared" si="51"/>
        <v>0</v>
      </c>
      <c r="H327" s="16">
        <f t="shared" si="52"/>
        <v>0</v>
      </c>
      <c r="I327" s="15">
        <f t="shared" si="53"/>
        <v>0</v>
      </c>
      <c r="J327" s="16">
        <f t="shared" si="54"/>
        <v>0</v>
      </c>
      <c r="L327" s="42">
        <v>400</v>
      </c>
    </row>
    <row r="328" spans="2:14" x14ac:dyDescent="0.25">
      <c r="B328" s="153"/>
      <c r="C328" s="13" t="s">
        <v>163</v>
      </c>
      <c r="D328" s="14" t="s">
        <v>164</v>
      </c>
      <c r="E328" s="15">
        <v>0</v>
      </c>
      <c r="F328" s="16">
        <f t="shared" si="50"/>
        <v>0</v>
      </c>
      <c r="G328" s="15">
        <f t="shared" si="51"/>
        <v>0</v>
      </c>
      <c r="H328" s="16">
        <f t="shared" si="52"/>
        <v>0</v>
      </c>
      <c r="I328" s="15">
        <f t="shared" si="53"/>
        <v>0</v>
      </c>
      <c r="J328" s="16">
        <f t="shared" si="54"/>
        <v>0</v>
      </c>
      <c r="L328" s="38">
        <f>J346-350</f>
        <v>215.00399201800394</v>
      </c>
      <c r="N328">
        <f>75/3</f>
        <v>25</v>
      </c>
    </row>
    <row r="329" spans="2:14" x14ac:dyDescent="0.25">
      <c r="B329" s="153"/>
      <c r="C329" s="13" t="s">
        <v>160</v>
      </c>
      <c r="D329" s="14" t="s">
        <v>165</v>
      </c>
      <c r="E329" s="15">
        <v>716.96</v>
      </c>
      <c r="F329" s="16">
        <f t="shared" si="50"/>
        <v>143.392</v>
      </c>
      <c r="G329" s="15">
        <f t="shared" si="51"/>
        <v>143.392</v>
      </c>
      <c r="H329" s="16">
        <f t="shared" si="52"/>
        <v>143.392</v>
      </c>
      <c r="I329" s="15">
        <f t="shared" si="53"/>
        <v>143.392</v>
      </c>
      <c r="J329" s="16">
        <f t="shared" si="54"/>
        <v>143.392</v>
      </c>
      <c r="L329" s="38">
        <f>SUM(L324:L328)</f>
        <v>1905.6856442078529</v>
      </c>
    </row>
    <row r="330" spans="2:14" x14ac:dyDescent="0.25">
      <c r="B330" s="153"/>
      <c r="C330" s="13" t="s">
        <v>166</v>
      </c>
      <c r="D330" s="14" t="s">
        <v>167</v>
      </c>
      <c r="E330" s="15">
        <v>0</v>
      </c>
      <c r="F330" s="16">
        <f t="shared" si="50"/>
        <v>0</v>
      </c>
      <c r="G330" s="15">
        <f t="shared" si="51"/>
        <v>0</v>
      </c>
      <c r="H330" s="16">
        <f t="shared" si="52"/>
        <v>0</v>
      </c>
      <c r="I330" s="15">
        <f t="shared" si="53"/>
        <v>0</v>
      </c>
      <c r="J330" s="16">
        <f t="shared" si="54"/>
        <v>0</v>
      </c>
    </row>
    <row r="331" spans="2:14" x14ac:dyDescent="0.25">
      <c r="B331" s="153"/>
      <c r="C331" s="13" t="s">
        <v>163</v>
      </c>
      <c r="D331" s="14" t="s">
        <v>26</v>
      </c>
      <c r="E331" s="15">
        <v>0</v>
      </c>
      <c r="F331" s="16">
        <f t="shared" si="50"/>
        <v>0</v>
      </c>
      <c r="G331" s="15">
        <f t="shared" si="51"/>
        <v>0</v>
      </c>
      <c r="H331" s="16">
        <f t="shared" si="52"/>
        <v>0</v>
      </c>
      <c r="I331" s="15">
        <f t="shared" si="53"/>
        <v>0</v>
      </c>
      <c r="J331" s="16">
        <f t="shared" si="54"/>
        <v>0</v>
      </c>
    </row>
    <row r="332" spans="2:14" x14ac:dyDescent="0.25">
      <c r="B332" s="153"/>
      <c r="C332" s="13" t="s">
        <v>168</v>
      </c>
      <c r="D332" s="14" t="s">
        <v>169</v>
      </c>
      <c r="E332" s="15">
        <v>0</v>
      </c>
      <c r="F332" s="16">
        <f t="shared" si="50"/>
        <v>0</v>
      </c>
      <c r="G332" s="15">
        <f t="shared" si="51"/>
        <v>0</v>
      </c>
      <c r="H332" s="16">
        <f t="shared" si="52"/>
        <v>0</v>
      </c>
      <c r="I332" s="15">
        <f t="shared" si="53"/>
        <v>0</v>
      </c>
      <c r="J332" s="16">
        <f t="shared" si="54"/>
        <v>0</v>
      </c>
    </row>
    <row r="333" spans="2:14" x14ac:dyDescent="0.25">
      <c r="B333" s="153"/>
      <c r="C333" s="13" t="s">
        <v>163</v>
      </c>
      <c r="D333" s="14" t="s">
        <v>211</v>
      </c>
      <c r="E333" s="15">
        <v>54.06</v>
      </c>
      <c r="F333" s="16">
        <f t="shared" si="50"/>
        <v>10.812000000000001</v>
      </c>
      <c r="G333" s="15">
        <f t="shared" si="51"/>
        <v>10.812000000000001</v>
      </c>
      <c r="H333" s="16">
        <f t="shared" si="52"/>
        <v>10.812000000000001</v>
      </c>
      <c r="I333" s="15">
        <f t="shared" si="53"/>
        <v>10.812000000000001</v>
      </c>
      <c r="J333" s="16">
        <f t="shared" si="54"/>
        <v>10.812000000000001</v>
      </c>
    </row>
    <row r="334" spans="2:14" x14ac:dyDescent="0.25">
      <c r="B334" s="153"/>
      <c r="C334" s="13" t="s">
        <v>170</v>
      </c>
      <c r="D334" s="14" t="s">
        <v>212</v>
      </c>
      <c r="E334" s="15">
        <v>267.08</v>
      </c>
      <c r="F334" s="16">
        <f t="shared" si="50"/>
        <v>53.415999999999997</v>
      </c>
      <c r="G334" s="15">
        <f t="shared" si="51"/>
        <v>53.415999999999997</v>
      </c>
      <c r="H334" s="16">
        <f t="shared" si="52"/>
        <v>53.415999999999997</v>
      </c>
      <c r="I334" s="15">
        <f t="shared" si="53"/>
        <v>53.415999999999997</v>
      </c>
      <c r="J334" s="16">
        <f t="shared" si="54"/>
        <v>53.415999999999997</v>
      </c>
    </row>
    <row r="335" spans="2:14" x14ac:dyDescent="0.25">
      <c r="B335" s="153"/>
      <c r="C335" s="13" t="s">
        <v>170</v>
      </c>
      <c r="D335" s="14" t="s">
        <v>213</v>
      </c>
      <c r="E335" s="15">
        <v>174.9</v>
      </c>
      <c r="F335" s="16">
        <f t="shared" si="50"/>
        <v>34.980000000000004</v>
      </c>
      <c r="G335" s="15">
        <f t="shared" si="51"/>
        <v>34.980000000000004</v>
      </c>
      <c r="H335" s="16">
        <f t="shared" si="52"/>
        <v>34.980000000000004</v>
      </c>
      <c r="I335" s="15">
        <f t="shared" si="53"/>
        <v>34.980000000000004</v>
      </c>
      <c r="J335" s="16">
        <f t="shared" si="54"/>
        <v>34.980000000000004</v>
      </c>
      <c r="M335" s="38">
        <f>K340/7</f>
        <v>328.30142857142857</v>
      </c>
    </row>
    <row r="336" spans="2:14" x14ac:dyDescent="0.25">
      <c r="B336" s="153"/>
      <c r="C336" s="13" t="s">
        <v>163</v>
      </c>
      <c r="D336" s="14" t="s">
        <v>214</v>
      </c>
      <c r="E336" s="15">
        <v>23</v>
      </c>
      <c r="F336" s="16">
        <f t="shared" si="50"/>
        <v>4.5999999999999996</v>
      </c>
      <c r="G336" s="15">
        <f t="shared" si="51"/>
        <v>4.5999999999999996</v>
      </c>
      <c r="H336" s="16">
        <f t="shared" si="52"/>
        <v>4.5999999999999996</v>
      </c>
      <c r="I336" s="15">
        <f t="shared" si="53"/>
        <v>4.5999999999999996</v>
      </c>
      <c r="J336" s="16">
        <f t="shared" si="54"/>
        <v>4.5999999999999996</v>
      </c>
    </row>
    <row r="337" spans="2:12" x14ac:dyDescent="0.25">
      <c r="B337" s="153"/>
      <c r="C337" s="17" t="s">
        <v>163</v>
      </c>
      <c r="D337" s="18" t="s">
        <v>26</v>
      </c>
      <c r="E337" s="15">
        <v>0</v>
      </c>
      <c r="F337" s="16">
        <f t="shared" si="50"/>
        <v>0</v>
      </c>
      <c r="G337" s="15">
        <f t="shared" si="51"/>
        <v>0</v>
      </c>
      <c r="H337" s="16">
        <f t="shared" si="52"/>
        <v>0</v>
      </c>
      <c r="I337" s="15">
        <f t="shared" si="53"/>
        <v>0</v>
      </c>
      <c r="J337" s="16">
        <f t="shared" si="54"/>
        <v>0</v>
      </c>
    </row>
    <row r="338" spans="2:12" x14ac:dyDescent="0.25">
      <c r="B338" s="153"/>
      <c r="C338" s="17"/>
      <c r="D338" s="18"/>
      <c r="E338" s="15">
        <v>0</v>
      </c>
      <c r="F338" s="16">
        <f t="shared" si="50"/>
        <v>0</v>
      </c>
      <c r="G338" s="15">
        <f t="shared" si="51"/>
        <v>0</v>
      </c>
      <c r="H338" s="16">
        <f t="shared" si="52"/>
        <v>0</v>
      </c>
      <c r="I338" s="15">
        <f t="shared" si="53"/>
        <v>0</v>
      </c>
      <c r="J338" s="16">
        <f t="shared" si="54"/>
        <v>0</v>
      </c>
      <c r="K338" s="26" t="s">
        <v>26</v>
      </c>
    </row>
    <row r="339" spans="2:12" x14ac:dyDescent="0.25">
      <c r="B339" s="153"/>
      <c r="C339" s="2" t="s">
        <v>160</v>
      </c>
      <c r="D339" s="4" t="s">
        <v>174</v>
      </c>
      <c r="E339" s="19">
        <v>300</v>
      </c>
      <c r="F339" s="16">
        <f t="shared" si="50"/>
        <v>60</v>
      </c>
      <c r="G339" s="19">
        <f t="shared" si="51"/>
        <v>60</v>
      </c>
      <c r="H339" s="16">
        <f t="shared" si="52"/>
        <v>60</v>
      </c>
      <c r="I339" s="19">
        <f t="shared" si="53"/>
        <v>60</v>
      </c>
      <c r="J339" s="16">
        <f t="shared" si="54"/>
        <v>60</v>
      </c>
      <c r="K339" s="26" t="s">
        <v>175</v>
      </c>
    </row>
    <row r="340" spans="2:12" x14ac:dyDescent="0.25">
      <c r="B340" s="153"/>
      <c r="C340" s="2"/>
      <c r="D340" s="4" t="s">
        <v>26</v>
      </c>
      <c r="E340" s="19">
        <v>0</v>
      </c>
      <c r="F340" s="16">
        <f t="shared" si="50"/>
        <v>0</v>
      </c>
      <c r="G340" s="19">
        <f t="shared" si="51"/>
        <v>0</v>
      </c>
      <c r="H340" s="16">
        <f t="shared" si="52"/>
        <v>0</v>
      </c>
      <c r="I340" s="19">
        <f t="shared" si="53"/>
        <v>0</v>
      </c>
      <c r="J340" s="16">
        <f t="shared" si="54"/>
        <v>0</v>
      </c>
      <c r="K340" s="27">
        <f>SUM(E323:E340)</f>
        <v>2298.11</v>
      </c>
    </row>
    <row r="341" spans="2:12" x14ac:dyDescent="0.25">
      <c r="B341" s="153"/>
      <c r="C341" s="20" t="s">
        <v>176</v>
      </c>
      <c r="D341" s="4"/>
      <c r="E341" s="155">
        <f>SUM(F341:J341)/5.13852</f>
        <v>0.34893671499060069</v>
      </c>
      <c r="F341" s="21">
        <f>$K343*1/F321</f>
        <v>0.42557592592592591</v>
      </c>
      <c r="G341" s="21">
        <f>$K343*1/G321</f>
        <v>0.43393315709969787</v>
      </c>
      <c r="H341" s="21">
        <f>$K343*1/H321</f>
        <v>0.29875459875459875</v>
      </c>
      <c r="I341" s="21">
        <f>$K343*1/I321</f>
        <v>0.33775867136978249</v>
      </c>
      <c r="J341" s="21">
        <f>$K343*1/J321</f>
        <v>0.29699593556349635</v>
      </c>
    </row>
    <row r="342" spans="2:12" x14ac:dyDescent="0.25">
      <c r="B342" s="153"/>
      <c r="C342" s="20" t="s">
        <v>177</v>
      </c>
      <c r="D342" s="4"/>
      <c r="E342" s="155"/>
      <c r="F342" s="22">
        <f>$E341</f>
        <v>0.34893671499060069</v>
      </c>
      <c r="G342" s="22">
        <f>$E341</f>
        <v>0.34893671499060069</v>
      </c>
      <c r="H342" s="22">
        <f>$E341</f>
        <v>0.34893671499060069</v>
      </c>
      <c r="I342" s="22">
        <f>$E341</f>
        <v>0.34893671499060069</v>
      </c>
      <c r="J342" s="22">
        <f>$E341</f>
        <v>0.34893671499060069</v>
      </c>
    </row>
    <row r="343" spans="2:12" x14ac:dyDescent="0.25">
      <c r="B343" s="154" t="s">
        <v>178</v>
      </c>
      <c r="C343" s="154"/>
      <c r="D343" s="154"/>
      <c r="E343" s="154"/>
      <c r="F343" s="23" t="s">
        <v>154</v>
      </c>
      <c r="G343" s="23" t="s">
        <v>155</v>
      </c>
      <c r="H343" s="23" t="s">
        <v>110</v>
      </c>
      <c r="I343" s="23" t="s">
        <v>194</v>
      </c>
      <c r="J343" s="28" t="s">
        <v>157</v>
      </c>
      <c r="K343" s="29">
        <f>K340/5</f>
        <v>459.62200000000001</v>
      </c>
      <c r="L343" s="30" t="s">
        <v>179</v>
      </c>
    </row>
    <row r="344" spans="2:12" x14ac:dyDescent="0.25">
      <c r="B344" s="154"/>
      <c r="C344" s="154"/>
      <c r="D344" s="154"/>
      <c r="E344" s="154"/>
      <c r="F344" s="24">
        <f>F321*$E341</f>
        <v>376.85165218984872</v>
      </c>
      <c r="G344" s="24">
        <f>G321*$E341</f>
        <v>369.59376851804427</v>
      </c>
      <c r="H344" s="24">
        <f>H321*$E341</f>
        <v>536.82517854443961</v>
      </c>
      <c r="I344" s="24">
        <f>I321*$E341</f>
        <v>474.83308175920939</v>
      </c>
      <c r="J344" s="24">
        <f>J321*$E341</f>
        <v>540.00399201800394</v>
      </c>
      <c r="K344" s="31" t="s">
        <v>180</v>
      </c>
      <c r="L344" s="32">
        <f>SUM(F344:J344)</f>
        <v>2298.1076730295458</v>
      </c>
    </row>
    <row r="346" spans="2:12" x14ac:dyDescent="0.25">
      <c r="F346" s="38">
        <f>F344+N328</f>
        <v>401.85165218984872</v>
      </c>
      <c r="H346" s="38">
        <f>H344+N328</f>
        <v>561.82517854443961</v>
      </c>
      <c r="J346" s="38">
        <f>J344+N328</f>
        <v>565.00399201800394</v>
      </c>
      <c r="K346" s="33" t="s">
        <v>181</v>
      </c>
      <c r="L346" s="34">
        <f>K340-L344</f>
        <v>2.3269704543054104E-3</v>
      </c>
    </row>
    <row r="349" spans="2:12" x14ac:dyDescent="0.25">
      <c r="B349" s="1" t="s">
        <v>148</v>
      </c>
      <c r="C349" s="2" t="s">
        <v>149</v>
      </c>
      <c r="D349" s="2" t="s">
        <v>150</v>
      </c>
      <c r="E349" s="2"/>
      <c r="F349" s="156" t="s">
        <v>151</v>
      </c>
      <c r="G349" s="156"/>
      <c r="H349" s="156"/>
      <c r="I349" s="156"/>
      <c r="J349" s="156"/>
    </row>
    <row r="350" spans="2:12" x14ac:dyDescent="0.25">
      <c r="B350" s="3" t="s">
        <v>4</v>
      </c>
      <c r="C350" s="4"/>
      <c r="D350" s="4" t="s">
        <v>152</v>
      </c>
      <c r="E350" s="4" t="s">
        <v>153</v>
      </c>
      <c r="F350" s="5" t="s">
        <v>154</v>
      </c>
      <c r="G350" s="5" t="s">
        <v>155</v>
      </c>
      <c r="H350" s="5" t="s">
        <v>110</v>
      </c>
      <c r="I350" s="5" t="s">
        <v>194</v>
      </c>
      <c r="J350" s="25" t="s">
        <v>157</v>
      </c>
    </row>
    <row r="351" spans="2:12" ht="15.75" x14ac:dyDescent="0.25">
      <c r="B351" s="6">
        <v>2016</v>
      </c>
      <c r="C351" s="2"/>
      <c r="D351" s="2"/>
      <c r="E351" s="2"/>
      <c r="F351" s="2"/>
      <c r="G351" s="2"/>
      <c r="H351" s="2"/>
      <c r="I351" s="2"/>
      <c r="J351" s="2"/>
    </row>
    <row r="352" spans="2:12" ht="15.75" x14ac:dyDescent="0.25">
      <c r="B352" s="7" t="s">
        <v>26</v>
      </c>
      <c r="C352" s="2"/>
      <c r="D352" s="8" t="s">
        <v>158</v>
      </c>
      <c r="E352" s="2"/>
      <c r="F352" s="9">
        <v>1080</v>
      </c>
      <c r="G352" s="9">
        <v>1059.2</v>
      </c>
      <c r="H352" s="9">
        <v>1538.46</v>
      </c>
      <c r="I352" s="9">
        <v>1360.8</v>
      </c>
      <c r="J352" s="9">
        <v>1547.57</v>
      </c>
    </row>
    <row r="353" spans="2:13" ht="15.75" x14ac:dyDescent="0.25">
      <c r="B353" s="10"/>
      <c r="C353" s="4"/>
      <c r="D353" s="11"/>
      <c r="E353" s="4"/>
      <c r="F353" s="12"/>
      <c r="G353" s="12"/>
      <c r="H353" s="12"/>
      <c r="I353" s="12"/>
      <c r="J353" s="12"/>
    </row>
    <row r="354" spans="2:13" x14ac:dyDescent="0.25">
      <c r="B354" s="153" t="s">
        <v>159</v>
      </c>
      <c r="C354" s="13" t="s">
        <v>160</v>
      </c>
      <c r="D354" s="14" t="s">
        <v>161</v>
      </c>
      <c r="E354" s="15">
        <v>400</v>
      </c>
      <c r="F354" s="16">
        <f t="shared" ref="F354:F371" si="55">$E354/5</f>
        <v>80</v>
      </c>
      <c r="G354" s="15">
        <f t="shared" ref="G354:G371" si="56">$E354/5</f>
        <v>80</v>
      </c>
      <c r="H354" s="16">
        <f t="shared" ref="H354:H371" si="57">$E354/5</f>
        <v>80</v>
      </c>
      <c r="I354" s="15">
        <f t="shared" ref="I354:I371" si="58">$E354/5</f>
        <v>80</v>
      </c>
      <c r="J354" s="16">
        <f t="shared" ref="J354:J371" si="59">$E354/5</f>
        <v>80</v>
      </c>
    </row>
    <row r="355" spans="2:13" x14ac:dyDescent="0.25">
      <c r="B355" s="153"/>
      <c r="C355" s="13" t="s">
        <v>160</v>
      </c>
      <c r="D355" s="14" t="s">
        <v>20</v>
      </c>
      <c r="E355" s="15">
        <v>76.13</v>
      </c>
      <c r="F355" s="16">
        <f t="shared" si="55"/>
        <v>15.225999999999999</v>
      </c>
      <c r="G355" s="15">
        <f t="shared" si="56"/>
        <v>15.225999999999999</v>
      </c>
      <c r="H355" s="16">
        <f t="shared" si="57"/>
        <v>15.225999999999999</v>
      </c>
      <c r="I355" s="15">
        <f t="shared" si="58"/>
        <v>15.225999999999999</v>
      </c>
      <c r="J355" s="16">
        <f t="shared" si="59"/>
        <v>15.225999999999999</v>
      </c>
    </row>
    <row r="356" spans="2:13" x14ac:dyDescent="0.25">
      <c r="B356" s="153"/>
      <c r="C356" s="13" t="s">
        <v>160</v>
      </c>
      <c r="D356" s="14" t="s">
        <v>21</v>
      </c>
      <c r="E356" s="15">
        <v>138.4</v>
      </c>
      <c r="F356" s="16">
        <f t="shared" si="55"/>
        <v>27.68</v>
      </c>
      <c r="G356" s="15">
        <f t="shared" si="56"/>
        <v>27.68</v>
      </c>
      <c r="H356" s="16">
        <f t="shared" si="57"/>
        <v>27.68</v>
      </c>
      <c r="I356" s="15">
        <f t="shared" si="58"/>
        <v>27.68</v>
      </c>
      <c r="J356" s="16">
        <f t="shared" si="59"/>
        <v>27.68</v>
      </c>
    </row>
    <row r="357" spans="2:13" x14ac:dyDescent="0.25">
      <c r="B357" s="153"/>
      <c r="C357" s="13" t="s">
        <v>160</v>
      </c>
      <c r="D357" s="14" t="s">
        <v>162</v>
      </c>
      <c r="E357" s="15">
        <v>109.15</v>
      </c>
      <c r="F357" s="16">
        <f t="shared" si="55"/>
        <v>21.830000000000002</v>
      </c>
      <c r="G357" s="15">
        <f t="shared" si="56"/>
        <v>21.830000000000002</v>
      </c>
      <c r="H357" s="16">
        <f t="shared" si="57"/>
        <v>21.830000000000002</v>
      </c>
      <c r="I357" s="15">
        <f t="shared" si="58"/>
        <v>21.830000000000002</v>
      </c>
      <c r="J357" s="16">
        <f t="shared" si="59"/>
        <v>21.830000000000002</v>
      </c>
    </row>
    <row r="358" spans="2:13" x14ac:dyDescent="0.25">
      <c r="B358" s="153"/>
      <c r="C358" s="13" t="s">
        <v>163</v>
      </c>
      <c r="D358" s="14"/>
      <c r="E358" s="15">
        <v>0</v>
      </c>
      <c r="F358" s="16">
        <f t="shared" si="55"/>
        <v>0</v>
      </c>
      <c r="G358" s="15">
        <f t="shared" si="56"/>
        <v>0</v>
      </c>
      <c r="H358" s="16">
        <f t="shared" si="57"/>
        <v>0</v>
      </c>
      <c r="I358" s="15">
        <f t="shared" si="58"/>
        <v>0</v>
      </c>
      <c r="J358" s="16">
        <f t="shared" si="59"/>
        <v>0</v>
      </c>
    </row>
    <row r="359" spans="2:13" x14ac:dyDescent="0.25">
      <c r="B359" s="153"/>
      <c r="C359" s="13" t="s">
        <v>163</v>
      </c>
      <c r="D359" s="14" t="s">
        <v>164</v>
      </c>
      <c r="E359" s="15">
        <v>89.9</v>
      </c>
      <c r="F359" s="16">
        <f t="shared" si="55"/>
        <v>17.98</v>
      </c>
      <c r="G359" s="15">
        <f t="shared" si="56"/>
        <v>17.98</v>
      </c>
      <c r="H359" s="16">
        <f t="shared" si="57"/>
        <v>17.98</v>
      </c>
      <c r="I359" s="15">
        <f t="shared" si="58"/>
        <v>17.98</v>
      </c>
      <c r="J359" s="16">
        <f t="shared" si="59"/>
        <v>17.98</v>
      </c>
    </row>
    <row r="360" spans="2:13" x14ac:dyDescent="0.25">
      <c r="B360" s="153"/>
      <c r="C360" s="13" t="s">
        <v>160</v>
      </c>
      <c r="D360" s="14" t="s">
        <v>165</v>
      </c>
      <c r="E360" s="15">
        <v>745.05</v>
      </c>
      <c r="F360" s="16">
        <f t="shared" si="55"/>
        <v>149.01</v>
      </c>
      <c r="G360" s="15">
        <f t="shared" si="56"/>
        <v>149.01</v>
      </c>
      <c r="H360" s="16">
        <f t="shared" si="57"/>
        <v>149.01</v>
      </c>
      <c r="I360" s="15">
        <f t="shared" si="58"/>
        <v>149.01</v>
      </c>
      <c r="J360" s="16">
        <f t="shared" si="59"/>
        <v>149.01</v>
      </c>
      <c r="M360">
        <f>137/3</f>
        <v>45.666666666666664</v>
      </c>
    </row>
    <row r="361" spans="2:13" x14ac:dyDescent="0.25">
      <c r="B361" s="153"/>
      <c r="C361" s="13" t="s">
        <v>166</v>
      </c>
      <c r="D361" s="14" t="s">
        <v>215</v>
      </c>
      <c r="E361" s="15">
        <v>128</v>
      </c>
      <c r="F361" s="16">
        <f t="shared" si="55"/>
        <v>25.6</v>
      </c>
      <c r="G361" s="15">
        <f t="shared" si="56"/>
        <v>25.6</v>
      </c>
      <c r="H361" s="16">
        <f t="shared" si="57"/>
        <v>25.6</v>
      </c>
      <c r="I361" s="15">
        <f t="shared" si="58"/>
        <v>25.6</v>
      </c>
      <c r="J361" s="16">
        <f t="shared" si="59"/>
        <v>25.6</v>
      </c>
    </row>
    <row r="362" spans="2:13" x14ac:dyDescent="0.25">
      <c r="B362" s="153"/>
      <c r="C362" s="13" t="s">
        <v>163</v>
      </c>
      <c r="D362" s="14" t="s">
        <v>216</v>
      </c>
      <c r="E362" s="15">
        <v>54.06</v>
      </c>
      <c r="F362" s="16">
        <f t="shared" si="55"/>
        <v>10.812000000000001</v>
      </c>
      <c r="G362" s="15">
        <f t="shared" si="56"/>
        <v>10.812000000000001</v>
      </c>
      <c r="H362" s="16">
        <f t="shared" si="57"/>
        <v>10.812000000000001</v>
      </c>
      <c r="I362" s="15">
        <f t="shared" si="58"/>
        <v>10.812000000000001</v>
      </c>
      <c r="J362" s="16">
        <f t="shared" si="59"/>
        <v>10.812000000000001</v>
      </c>
    </row>
    <row r="363" spans="2:13" x14ac:dyDescent="0.25">
      <c r="B363" s="153"/>
      <c r="C363" s="13" t="s">
        <v>168</v>
      </c>
      <c r="D363" s="14" t="s">
        <v>169</v>
      </c>
      <c r="E363" s="15">
        <v>0</v>
      </c>
      <c r="F363" s="16">
        <f t="shared" si="55"/>
        <v>0</v>
      </c>
      <c r="G363" s="15">
        <f t="shared" si="56"/>
        <v>0</v>
      </c>
      <c r="H363" s="16">
        <f t="shared" si="57"/>
        <v>0</v>
      </c>
      <c r="I363" s="15">
        <f t="shared" si="58"/>
        <v>0</v>
      </c>
      <c r="J363" s="16">
        <f t="shared" si="59"/>
        <v>0</v>
      </c>
    </row>
    <row r="364" spans="2:13" x14ac:dyDescent="0.25">
      <c r="B364" s="153"/>
      <c r="C364" s="13" t="s">
        <v>163</v>
      </c>
      <c r="D364" s="14" t="s">
        <v>217</v>
      </c>
      <c r="E364" s="15">
        <v>23</v>
      </c>
      <c r="F364" s="16">
        <f t="shared" si="55"/>
        <v>4.5999999999999996</v>
      </c>
      <c r="G364" s="15">
        <f t="shared" si="56"/>
        <v>4.5999999999999996</v>
      </c>
      <c r="H364" s="16">
        <f t="shared" si="57"/>
        <v>4.5999999999999996</v>
      </c>
      <c r="I364" s="15">
        <f t="shared" si="58"/>
        <v>4.5999999999999996</v>
      </c>
      <c r="J364" s="16">
        <f t="shared" si="59"/>
        <v>4.5999999999999996</v>
      </c>
    </row>
    <row r="365" spans="2:13" x14ac:dyDescent="0.25">
      <c r="B365" s="153"/>
      <c r="C365" s="13" t="s">
        <v>170</v>
      </c>
      <c r="D365" s="14" t="s">
        <v>218</v>
      </c>
      <c r="E365" s="15">
        <v>267.08</v>
      </c>
      <c r="F365" s="16">
        <f t="shared" si="55"/>
        <v>53.415999999999997</v>
      </c>
      <c r="G365" s="15">
        <f t="shared" si="56"/>
        <v>53.415999999999997</v>
      </c>
      <c r="H365" s="16">
        <f t="shared" si="57"/>
        <v>53.415999999999997</v>
      </c>
      <c r="I365" s="15">
        <f t="shared" si="58"/>
        <v>53.415999999999997</v>
      </c>
      <c r="J365" s="16">
        <f t="shared" si="59"/>
        <v>53.415999999999997</v>
      </c>
    </row>
    <row r="366" spans="2:13" x14ac:dyDescent="0.25">
      <c r="B366" s="153"/>
      <c r="C366" s="13" t="s">
        <v>170</v>
      </c>
      <c r="D366" s="14" t="s">
        <v>219</v>
      </c>
      <c r="E366" s="15">
        <v>174.9</v>
      </c>
      <c r="F366" s="16">
        <f t="shared" si="55"/>
        <v>34.980000000000004</v>
      </c>
      <c r="G366" s="15">
        <f t="shared" si="56"/>
        <v>34.980000000000004</v>
      </c>
      <c r="H366" s="16">
        <f t="shared" si="57"/>
        <v>34.980000000000004</v>
      </c>
      <c r="I366" s="15">
        <f t="shared" si="58"/>
        <v>34.980000000000004</v>
      </c>
      <c r="J366" s="16">
        <f t="shared" si="59"/>
        <v>34.980000000000004</v>
      </c>
    </row>
    <row r="367" spans="2:13" x14ac:dyDescent="0.25">
      <c r="B367" s="153"/>
      <c r="C367" s="13" t="s">
        <v>163</v>
      </c>
      <c r="D367" s="14" t="s">
        <v>26</v>
      </c>
      <c r="E367" s="15">
        <v>0</v>
      </c>
      <c r="F367" s="16">
        <f t="shared" si="55"/>
        <v>0</v>
      </c>
      <c r="G367" s="15">
        <f t="shared" si="56"/>
        <v>0</v>
      </c>
      <c r="H367" s="16">
        <f t="shared" si="57"/>
        <v>0</v>
      </c>
      <c r="I367" s="15">
        <f t="shared" si="58"/>
        <v>0</v>
      </c>
      <c r="J367" s="16">
        <f t="shared" si="59"/>
        <v>0</v>
      </c>
    </row>
    <row r="368" spans="2:13" x14ac:dyDescent="0.25">
      <c r="B368" s="153"/>
      <c r="C368" s="17" t="s">
        <v>163</v>
      </c>
      <c r="D368" s="18" t="s">
        <v>26</v>
      </c>
      <c r="E368" s="15">
        <v>0</v>
      </c>
      <c r="F368" s="16">
        <f t="shared" si="55"/>
        <v>0</v>
      </c>
      <c r="G368" s="15">
        <f t="shared" si="56"/>
        <v>0</v>
      </c>
      <c r="H368" s="16">
        <f t="shared" si="57"/>
        <v>0</v>
      </c>
      <c r="I368" s="15">
        <f t="shared" si="58"/>
        <v>0</v>
      </c>
      <c r="J368" s="16">
        <f t="shared" si="59"/>
        <v>0</v>
      </c>
    </row>
    <row r="369" spans="2:12" x14ac:dyDescent="0.25">
      <c r="B369" s="153"/>
      <c r="C369" s="17"/>
      <c r="D369" s="14" t="s">
        <v>26</v>
      </c>
      <c r="E369" s="15">
        <v>0</v>
      </c>
      <c r="F369" s="16">
        <f t="shared" si="55"/>
        <v>0</v>
      </c>
      <c r="G369" s="15">
        <f t="shared" si="56"/>
        <v>0</v>
      </c>
      <c r="H369" s="16">
        <f t="shared" si="57"/>
        <v>0</v>
      </c>
      <c r="I369" s="15">
        <f t="shared" si="58"/>
        <v>0</v>
      </c>
      <c r="J369" s="16">
        <f t="shared" si="59"/>
        <v>0</v>
      </c>
      <c r="K369" s="26" t="s">
        <v>26</v>
      </c>
    </row>
    <row r="370" spans="2:12" x14ac:dyDescent="0.25">
      <c r="B370" s="153"/>
      <c r="C370" s="2" t="s">
        <v>160</v>
      </c>
      <c r="D370" s="4" t="s">
        <v>174</v>
      </c>
      <c r="E370" s="19">
        <v>300</v>
      </c>
      <c r="F370" s="16">
        <f t="shared" si="55"/>
        <v>60</v>
      </c>
      <c r="G370" s="19">
        <f t="shared" si="56"/>
        <v>60</v>
      </c>
      <c r="H370" s="16">
        <f t="shared" si="57"/>
        <v>60</v>
      </c>
      <c r="I370" s="19">
        <f t="shared" si="58"/>
        <v>60</v>
      </c>
      <c r="J370" s="16">
        <f t="shared" si="59"/>
        <v>60</v>
      </c>
      <c r="K370" s="26" t="s">
        <v>175</v>
      </c>
    </row>
    <row r="371" spans="2:12" x14ac:dyDescent="0.25">
      <c r="B371" s="153"/>
      <c r="C371" s="2"/>
      <c r="D371" s="4" t="s">
        <v>26</v>
      </c>
      <c r="E371" s="19">
        <v>0</v>
      </c>
      <c r="F371" s="16">
        <f t="shared" si="55"/>
        <v>0</v>
      </c>
      <c r="G371" s="19">
        <f t="shared" si="56"/>
        <v>0</v>
      </c>
      <c r="H371" s="16">
        <f t="shared" si="57"/>
        <v>0</v>
      </c>
      <c r="I371" s="19">
        <f t="shared" si="58"/>
        <v>0</v>
      </c>
      <c r="J371" s="16">
        <f t="shared" si="59"/>
        <v>0</v>
      </c>
      <c r="K371" s="27">
        <f>SUM(E354:E371)</f>
        <v>2505.6699999999996</v>
      </c>
    </row>
    <row r="372" spans="2:12" x14ac:dyDescent="0.25">
      <c r="B372" s="153"/>
      <c r="C372" s="20" t="s">
        <v>176</v>
      </c>
      <c r="D372" s="4"/>
      <c r="E372" s="155">
        <f>SUM(F372:J372)/5.13852</f>
        <v>0.38045187508452522</v>
      </c>
      <c r="F372" s="21">
        <f>$K374*1/F352</f>
        <v>0.46401296296296285</v>
      </c>
      <c r="G372" s="21">
        <f>$K374*1/G352</f>
        <v>0.47312499999999991</v>
      </c>
      <c r="H372" s="21">
        <f>$K374*1/H352</f>
        <v>0.32573742573742565</v>
      </c>
      <c r="I372" s="21">
        <f>$K374*1/I352</f>
        <v>0.3682642563198118</v>
      </c>
      <c r="J372" s="21">
        <f>$K374*1/J352</f>
        <v>0.32381992413913419</v>
      </c>
    </row>
    <row r="373" spans="2:12" x14ac:dyDescent="0.25">
      <c r="B373" s="153"/>
      <c r="C373" s="20" t="s">
        <v>177</v>
      </c>
      <c r="D373" s="4"/>
      <c r="E373" s="155"/>
      <c r="F373" s="22">
        <f>$E372</f>
        <v>0.38045187508452522</v>
      </c>
      <c r="G373" s="22">
        <f>$E372</f>
        <v>0.38045187508452522</v>
      </c>
      <c r="H373" s="22">
        <f>$E372</f>
        <v>0.38045187508452522</v>
      </c>
      <c r="I373" s="22">
        <f>$E372</f>
        <v>0.38045187508452522</v>
      </c>
      <c r="J373" s="22">
        <f>$E372</f>
        <v>0.38045187508452522</v>
      </c>
    </row>
    <row r="374" spans="2:12" x14ac:dyDescent="0.25">
      <c r="B374" s="154" t="s">
        <v>178</v>
      </c>
      <c r="C374" s="154"/>
      <c r="D374" s="154"/>
      <c r="E374" s="154"/>
      <c r="F374" s="23" t="s">
        <v>154</v>
      </c>
      <c r="G374" s="23" t="s">
        <v>155</v>
      </c>
      <c r="H374" s="23" t="s">
        <v>110</v>
      </c>
      <c r="I374" s="23" t="s">
        <v>194</v>
      </c>
      <c r="J374" s="28" t="s">
        <v>157</v>
      </c>
      <c r="K374" s="29">
        <f>K371/5</f>
        <v>501.1339999999999</v>
      </c>
      <c r="L374" s="30" t="s">
        <v>179</v>
      </c>
    </row>
    <row r="375" spans="2:12" x14ac:dyDescent="0.25">
      <c r="B375" s="154"/>
      <c r="C375" s="154"/>
      <c r="D375" s="154"/>
      <c r="E375" s="154"/>
      <c r="F375" s="24">
        <f>F352*$E372</f>
        <v>410.8880250912872</v>
      </c>
      <c r="G375" s="24">
        <f>G352*$E372</f>
        <v>402.97462608952912</v>
      </c>
      <c r="H375" s="24">
        <f>H352*$E372</f>
        <v>585.30999174253873</v>
      </c>
      <c r="I375" s="24">
        <f>I352*$E372</f>
        <v>517.71891161502185</v>
      </c>
      <c r="J375" s="24">
        <f>J352*$E372</f>
        <v>588.77590832455871</v>
      </c>
      <c r="K375" s="31" t="s">
        <v>180</v>
      </c>
      <c r="L375" s="32">
        <f>SUM(F375:J375)</f>
        <v>2505.6674628629353</v>
      </c>
    </row>
    <row r="377" spans="2:12" x14ac:dyDescent="0.25">
      <c r="F377" s="38">
        <f>F375+M360</f>
        <v>456.55469175795389</v>
      </c>
      <c r="G377" s="42">
        <v>380</v>
      </c>
      <c r="H377" s="38">
        <f>H375+M360</f>
        <v>630.97665840920536</v>
      </c>
      <c r="I377">
        <v>400</v>
      </c>
      <c r="J377" s="38">
        <f>J375+M360</f>
        <v>634.44257499122534</v>
      </c>
      <c r="K377" s="33" t="s">
        <v>181</v>
      </c>
      <c r="L377" s="34">
        <f>K371-L375</f>
        <v>2.5371370643370028E-3</v>
      </c>
    </row>
    <row r="380" spans="2:12" x14ac:dyDescent="0.25">
      <c r="B380" s="1" t="s">
        <v>148</v>
      </c>
      <c r="C380" s="2" t="s">
        <v>149</v>
      </c>
      <c r="D380" s="2" t="s">
        <v>150</v>
      </c>
      <c r="E380" s="2"/>
      <c r="F380" s="156" t="s">
        <v>151</v>
      </c>
      <c r="G380" s="156"/>
      <c r="H380" s="156"/>
      <c r="I380" s="156"/>
      <c r="J380" s="156"/>
    </row>
    <row r="381" spans="2:12" x14ac:dyDescent="0.25">
      <c r="B381" s="3" t="s">
        <v>5</v>
      </c>
      <c r="C381" s="4"/>
      <c r="D381" s="4" t="s">
        <v>152</v>
      </c>
      <c r="E381" s="4" t="s">
        <v>153</v>
      </c>
      <c r="F381" s="5" t="s">
        <v>154</v>
      </c>
      <c r="G381" s="5" t="s">
        <v>155</v>
      </c>
      <c r="H381" s="5" t="s">
        <v>110</v>
      </c>
      <c r="I381" s="5" t="s">
        <v>194</v>
      </c>
      <c r="J381" s="25" t="s">
        <v>157</v>
      </c>
    </row>
    <row r="382" spans="2:12" ht="15.75" x14ac:dyDescent="0.25">
      <c r="B382" s="6">
        <v>2016</v>
      </c>
      <c r="C382" s="2"/>
      <c r="D382" s="2"/>
      <c r="E382" s="2"/>
      <c r="F382" s="2"/>
      <c r="G382" s="2"/>
      <c r="H382" s="2"/>
      <c r="I382" s="2"/>
      <c r="J382" s="2"/>
    </row>
    <row r="383" spans="2:12" ht="15.75" x14ac:dyDescent="0.25">
      <c r="B383" s="7" t="s">
        <v>26</v>
      </c>
      <c r="C383" s="2"/>
      <c r="D383" s="8" t="s">
        <v>158</v>
      </c>
      <c r="E383" s="2"/>
      <c r="F383" s="9">
        <v>1080</v>
      </c>
      <c r="G383" s="9">
        <v>1059.2</v>
      </c>
      <c r="H383" s="9">
        <v>1538.46</v>
      </c>
      <c r="I383" s="9">
        <v>1360.8</v>
      </c>
      <c r="J383" s="9">
        <v>1547.57</v>
      </c>
    </row>
    <row r="384" spans="2:12" ht="15.75" x14ac:dyDescent="0.25">
      <c r="B384" s="10"/>
      <c r="C384" s="4"/>
      <c r="D384" s="11"/>
      <c r="E384" s="4"/>
      <c r="F384" s="12"/>
      <c r="G384" s="12"/>
      <c r="H384" s="12"/>
      <c r="I384" s="12"/>
      <c r="J384" s="12"/>
    </row>
    <row r="385" spans="2:11" x14ac:dyDescent="0.25">
      <c r="B385" s="153" t="s">
        <v>159</v>
      </c>
      <c r="C385" s="13" t="s">
        <v>160</v>
      </c>
      <c r="D385" s="14" t="s">
        <v>161</v>
      </c>
      <c r="E385" s="15">
        <v>400</v>
      </c>
      <c r="F385" s="16">
        <f t="shared" ref="F385:F402" si="60">$E385/5</f>
        <v>80</v>
      </c>
      <c r="G385" s="15">
        <f t="shared" ref="G385:G402" si="61">$E385/5</f>
        <v>80</v>
      </c>
      <c r="H385" s="16">
        <f t="shared" ref="H385:H402" si="62">$E385/5</f>
        <v>80</v>
      </c>
      <c r="I385" s="15">
        <f t="shared" ref="I385:I402" si="63">$E385/5</f>
        <v>80</v>
      </c>
      <c r="J385" s="16">
        <f t="shared" ref="J385:J402" si="64">$E385/5</f>
        <v>80</v>
      </c>
    </row>
    <row r="386" spans="2:11" x14ac:dyDescent="0.25">
      <c r="B386" s="153"/>
      <c r="C386" s="13" t="s">
        <v>160</v>
      </c>
      <c r="D386" s="14" t="s">
        <v>20</v>
      </c>
      <c r="E386" s="15">
        <v>65.760000000000005</v>
      </c>
      <c r="F386" s="16">
        <f t="shared" si="60"/>
        <v>13.152000000000001</v>
      </c>
      <c r="G386" s="15">
        <f t="shared" si="61"/>
        <v>13.152000000000001</v>
      </c>
      <c r="H386" s="16">
        <f t="shared" si="62"/>
        <v>13.152000000000001</v>
      </c>
      <c r="I386" s="15">
        <f t="shared" si="63"/>
        <v>13.152000000000001</v>
      </c>
      <c r="J386" s="16">
        <f t="shared" si="64"/>
        <v>13.152000000000001</v>
      </c>
    </row>
    <row r="387" spans="2:11" x14ac:dyDescent="0.25">
      <c r="B387" s="153"/>
      <c r="C387" s="13" t="s">
        <v>160</v>
      </c>
      <c r="D387" s="14" t="s">
        <v>21</v>
      </c>
      <c r="E387" s="15">
        <v>155.78</v>
      </c>
      <c r="F387" s="16">
        <f t="shared" si="60"/>
        <v>31.155999999999999</v>
      </c>
      <c r="G387" s="15">
        <f t="shared" si="61"/>
        <v>31.155999999999999</v>
      </c>
      <c r="H387" s="16">
        <f t="shared" si="62"/>
        <v>31.155999999999999</v>
      </c>
      <c r="I387" s="15">
        <f t="shared" si="63"/>
        <v>31.155999999999999</v>
      </c>
      <c r="J387" s="16">
        <f t="shared" si="64"/>
        <v>31.155999999999999</v>
      </c>
    </row>
    <row r="388" spans="2:11" x14ac:dyDescent="0.25">
      <c r="B388" s="153"/>
      <c r="C388" s="13" t="s">
        <v>160</v>
      </c>
      <c r="D388" s="14" t="s">
        <v>162</v>
      </c>
      <c r="E388" s="15">
        <v>115.35</v>
      </c>
      <c r="F388" s="16">
        <f t="shared" si="60"/>
        <v>23.07</v>
      </c>
      <c r="G388" s="15">
        <f t="shared" si="61"/>
        <v>23.07</v>
      </c>
      <c r="H388" s="16">
        <f t="shared" si="62"/>
        <v>23.07</v>
      </c>
      <c r="I388" s="15">
        <f t="shared" si="63"/>
        <v>23.07</v>
      </c>
      <c r="J388" s="16">
        <f t="shared" si="64"/>
        <v>23.07</v>
      </c>
    </row>
    <row r="389" spans="2:11" x14ac:dyDescent="0.25">
      <c r="B389" s="153"/>
      <c r="C389" s="13" t="s">
        <v>163</v>
      </c>
      <c r="D389" s="14"/>
      <c r="E389" s="15">
        <v>0</v>
      </c>
      <c r="F389" s="16">
        <f t="shared" si="60"/>
        <v>0</v>
      </c>
      <c r="G389" s="15">
        <f t="shared" si="61"/>
        <v>0</v>
      </c>
      <c r="H389" s="16">
        <f t="shared" si="62"/>
        <v>0</v>
      </c>
      <c r="I389" s="15">
        <f t="shared" si="63"/>
        <v>0</v>
      </c>
      <c r="J389" s="16">
        <f t="shared" si="64"/>
        <v>0</v>
      </c>
    </row>
    <row r="390" spans="2:11" x14ac:dyDescent="0.25">
      <c r="B390" s="153"/>
      <c r="C390" s="13" t="s">
        <v>163</v>
      </c>
      <c r="D390" s="14" t="s">
        <v>164</v>
      </c>
      <c r="E390" s="15">
        <v>89.9</v>
      </c>
      <c r="F390" s="16">
        <f t="shared" si="60"/>
        <v>17.98</v>
      </c>
      <c r="G390" s="15">
        <f t="shared" si="61"/>
        <v>17.98</v>
      </c>
      <c r="H390" s="16">
        <f t="shared" si="62"/>
        <v>17.98</v>
      </c>
      <c r="I390" s="15">
        <f t="shared" si="63"/>
        <v>17.98</v>
      </c>
      <c r="J390" s="16">
        <f t="shared" si="64"/>
        <v>17.98</v>
      </c>
    </row>
    <row r="391" spans="2:11" x14ac:dyDescent="0.25">
      <c r="B391" s="153"/>
      <c r="C391" s="13" t="s">
        <v>160</v>
      </c>
      <c r="D391" s="14" t="s">
        <v>165</v>
      </c>
      <c r="E391" s="15">
        <v>600</v>
      </c>
      <c r="F391" s="16">
        <f t="shared" si="60"/>
        <v>120</v>
      </c>
      <c r="G391" s="15">
        <f t="shared" si="61"/>
        <v>120</v>
      </c>
      <c r="H391" s="16">
        <f t="shared" si="62"/>
        <v>120</v>
      </c>
      <c r="I391" s="15">
        <f t="shared" si="63"/>
        <v>120</v>
      </c>
      <c r="J391" s="16">
        <f t="shared" si="64"/>
        <v>120</v>
      </c>
    </row>
    <row r="392" spans="2:11" x14ac:dyDescent="0.25">
      <c r="B392" s="153"/>
      <c r="C392" s="13" t="s">
        <v>166</v>
      </c>
      <c r="D392" s="14" t="s">
        <v>167</v>
      </c>
      <c r="E392" s="15">
        <v>0</v>
      </c>
      <c r="F392" s="16">
        <f t="shared" si="60"/>
        <v>0</v>
      </c>
      <c r="G392" s="15">
        <f t="shared" si="61"/>
        <v>0</v>
      </c>
      <c r="H392" s="16">
        <f t="shared" si="62"/>
        <v>0</v>
      </c>
      <c r="I392" s="15">
        <f t="shared" si="63"/>
        <v>0</v>
      </c>
      <c r="J392" s="16">
        <f t="shared" si="64"/>
        <v>0</v>
      </c>
    </row>
    <row r="393" spans="2:11" x14ac:dyDescent="0.25">
      <c r="B393" s="153"/>
      <c r="C393" s="13" t="s">
        <v>163</v>
      </c>
      <c r="D393" s="14" t="s">
        <v>26</v>
      </c>
      <c r="E393" s="15">
        <v>0</v>
      </c>
      <c r="F393" s="16">
        <f t="shared" si="60"/>
        <v>0</v>
      </c>
      <c r="G393" s="15">
        <f t="shared" si="61"/>
        <v>0</v>
      </c>
      <c r="H393" s="16">
        <f t="shared" si="62"/>
        <v>0</v>
      </c>
      <c r="I393" s="15">
        <f t="shared" si="63"/>
        <v>0</v>
      </c>
      <c r="J393" s="16">
        <f t="shared" si="64"/>
        <v>0</v>
      </c>
    </row>
    <row r="394" spans="2:11" x14ac:dyDescent="0.25">
      <c r="B394" s="153"/>
      <c r="C394" s="13" t="s">
        <v>168</v>
      </c>
      <c r="D394" s="14" t="s">
        <v>169</v>
      </c>
      <c r="E394" s="15">
        <v>0</v>
      </c>
      <c r="F394" s="16">
        <f t="shared" si="60"/>
        <v>0</v>
      </c>
      <c r="G394" s="15">
        <f t="shared" si="61"/>
        <v>0</v>
      </c>
      <c r="H394" s="16">
        <f t="shared" si="62"/>
        <v>0</v>
      </c>
      <c r="I394" s="15">
        <f t="shared" si="63"/>
        <v>0</v>
      </c>
      <c r="J394" s="16">
        <f t="shared" si="64"/>
        <v>0</v>
      </c>
    </row>
    <row r="395" spans="2:11" x14ac:dyDescent="0.25">
      <c r="B395" s="153"/>
      <c r="C395" s="13" t="s">
        <v>163</v>
      </c>
      <c r="D395" s="14" t="s">
        <v>220</v>
      </c>
      <c r="E395" s="15">
        <v>54.06</v>
      </c>
      <c r="F395" s="16">
        <f t="shared" si="60"/>
        <v>10.812000000000001</v>
      </c>
      <c r="G395" s="15">
        <f t="shared" si="61"/>
        <v>10.812000000000001</v>
      </c>
      <c r="H395" s="16">
        <f t="shared" si="62"/>
        <v>10.812000000000001</v>
      </c>
      <c r="I395" s="15">
        <f t="shared" si="63"/>
        <v>10.812000000000001</v>
      </c>
      <c r="J395" s="16">
        <f t="shared" si="64"/>
        <v>10.812000000000001</v>
      </c>
    </row>
    <row r="396" spans="2:11" x14ac:dyDescent="0.25">
      <c r="B396" s="153"/>
      <c r="C396" s="13" t="s">
        <v>170</v>
      </c>
      <c r="D396" s="14" t="s">
        <v>221</v>
      </c>
      <c r="E396" s="15">
        <v>267.08</v>
      </c>
      <c r="F396" s="16">
        <f t="shared" si="60"/>
        <v>53.415999999999997</v>
      </c>
      <c r="G396" s="15">
        <f t="shared" si="61"/>
        <v>53.415999999999997</v>
      </c>
      <c r="H396" s="16">
        <f t="shared" si="62"/>
        <v>53.415999999999997</v>
      </c>
      <c r="I396" s="15">
        <f t="shared" si="63"/>
        <v>53.415999999999997</v>
      </c>
      <c r="J396" s="16">
        <f t="shared" si="64"/>
        <v>53.415999999999997</v>
      </c>
    </row>
    <row r="397" spans="2:11" x14ac:dyDescent="0.25">
      <c r="B397" s="153"/>
      <c r="C397" s="13" t="s">
        <v>170</v>
      </c>
      <c r="D397" s="14" t="s">
        <v>222</v>
      </c>
      <c r="E397" s="15">
        <v>174.9</v>
      </c>
      <c r="F397" s="16">
        <f t="shared" si="60"/>
        <v>34.980000000000004</v>
      </c>
      <c r="G397" s="15">
        <f t="shared" si="61"/>
        <v>34.980000000000004</v>
      </c>
      <c r="H397" s="16">
        <f t="shared" si="62"/>
        <v>34.980000000000004</v>
      </c>
      <c r="I397" s="15">
        <f t="shared" si="63"/>
        <v>34.980000000000004</v>
      </c>
      <c r="J397" s="16">
        <f t="shared" si="64"/>
        <v>34.980000000000004</v>
      </c>
    </row>
    <row r="398" spans="2:11" x14ac:dyDescent="0.25">
      <c r="B398" s="153"/>
      <c r="C398" s="13" t="s">
        <v>163</v>
      </c>
      <c r="D398" s="14" t="s">
        <v>26</v>
      </c>
      <c r="E398" s="15">
        <v>0</v>
      </c>
      <c r="F398" s="16">
        <f t="shared" si="60"/>
        <v>0</v>
      </c>
      <c r="G398" s="15">
        <f t="shared" si="61"/>
        <v>0</v>
      </c>
      <c r="H398" s="16">
        <f t="shared" si="62"/>
        <v>0</v>
      </c>
      <c r="I398" s="15">
        <f t="shared" si="63"/>
        <v>0</v>
      </c>
      <c r="J398" s="16">
        <f t="shared" si="64"/>
        <v>0</v>
      </c>
    </row>
    <row r="399" spans="2:11" x14ac:dyDescent="0.25">
      <c r="B399" s="153"/>
      <c r="C399" s="17" t="s">
        <v>163</v>
      </c>
      <c r="D399" s="14" t="s">
        <v>223</v>
      </c>
      <c r="E399" s="15">
        <v>0</v>
      </c>
      <c r="F399" s="16">
        <f t="shared" si="60"/>
        <v>0</v>
      </c>
      <c r="G399" s="15">
        <f t="shared" si="61"/>
        <v>0</v>
      </c>
      <c r="H399" s="16">
        <f t="shared" si="62"/>
        <v>0</v>
      </c>
      <c r="I399" s="15">
        <f t="shared" si="63"/>
        <v>0</v>
      </c>
      <c r="J399" s="16">
        <f t="shared" si="64"/>
        <v>0</v>
      </c>
    </row>
    <row r="400" spans="2:11" x14ac:dyDescent="0.25">
      <c r="B400" s="153"/>
      <c r="C400" s="17"/>
      <c r="D400" s="18"/>
      <c r="E400" s="15"/>
      <c r="F400" s="16">
        <f t="shared" si="60"/>
        <v>0</v>
      </c>
      <c r="G400" s="15">
        <f t="shared" si="61"/>
        <v>0</v>
      </c>
      <c r="H400" s="16">
        <f t="shared" si="62"/>
        <v>0</v>
      </c>
      <c r="I400" s="15">
        <f t="shared" si="63"/>
        <v>0</v>
      </c>
      <c r="J400" s="16">
        <f t="shared" si="64"/>
        <v>0</v>
      </c>
      <c r="K400" s="26" t="s">
        <v>26</v>
      </c>
    </row>
    <row r="401" spans="2:12" x14ac:dyDescent="0.25">
      <c r="B401" s="153"/>
      <c r="C401" s="2" t="s">
        <v>160</v>
      </c>
      <c r="D401" s="4" t="s">
        <v>174</v>
      </c>
      <c r="E401" s="19">
        <v>300</v>
      </c>
      <c r="F401" s="16">
        <f t="shared" si="60"/>
        <v>60</v>
      </c>
      <c r="G401" s="19">
        <f t="shared" si="61"/>
        <v>60</v>
      </c>
      <c r="H401" s="16">
        <f t="shared" si="62"/>
        <v>60</v>
      </c>
      <c r="I401" s="19">
        <f t="shared" si="63"/>
        <v>60</v>
      </c>
      <c r="J401" s="16">
        <f t="shared" si="64"/>
        <v>60</v>
      </c>
      <c r="K401" s="26" t="s">
        <v>175</v>
      </c>
    </row>
    <row r="402" spans="2:12" x14ac:dyDescent="0.25">
      <c r="B402" s="153"/>
      <c r="C402" s="2"/>
      <c r="D402" s="4" t="s">
        <v>26</v>
      </c>
      <c r="E402" s="19">
        <v>0</v>
      </c>
      <c r="F402" s="16">
        <f t="shared" si="60"/>
        <v>0</v>
      </c>
      <c r="G402" s="19">
        <f t="shared" si="61"/>
        <v>0</v>
      </c>
      <c r="H402" s="16">
        <f t="shared" si="62"/>
        <v>0</v>
      </c>
      <c r="I402" s="19">
        <f t="shared" si="63"/>
        <v>0</v>
      </c>
      <c r="J402" s="16">
        <f t="shared" si="64"/>
        <v>0</v>
      </c>
      <c r="K402" s="27">
        <f>SUM(E385:E402)</f>
        <v>2222.83</v>
      </c>
    </row>
    <row r="403" spans="2:12" x14ac:dyDescent="0.25">
      <c r="B403" s="153"/>
      <c r="C403" s="20" t="s">
        <v>176</v>
      </c>
      <c r="D403" s="4"/>
      <c r="E403" s="155">
        <f>SUM(F403:J403)/5.13852</f>
        <v>0.33750647191934102</v>
      </c>
      <c r="F403" s="21">
        <f>$K405*1/F383</f>
        <v>0.41163518518518516</v>
      </c>
      <c r="G403" s="21">
        <f>$K405*1/G383</f>
        <v>0.4197186555891238</v>
      </c>
      <c r="H403" s="21">
        <f>$K405*1/H383</f>
        <v>0.28896818896818893</v>
      </c>
      <c r="I403" s="21">
        <f>$K405*1/I383</f>
        <v>0.32669459141681362</v>
      </c>
      <c r="J403" s="21">
        <f>$K405*1/J383</f>
        <v>0.28726713492766076</v>
      </c>
    </row>
    <row r="404" spans="2:12" x14ac:dyDescent="0.25">
      <c r="B404" s="153"/>
      <c r="C404" s="20" t="s">
        <v>177</v>
      </c>
      <c r="D404" s="4"/>
      <c r="E404" s="155"/>
      <c r="F404" s="22">
        <f>$E403</f>
        <v>0.33750647191934102</v>
      </c>
      <c r="G404" s="22">
        <f>$E403</f>
        <v>0.33750647191934102</v>
      </c>
      <c r="H404" s="22">
        <f>$E403</f>
        <v>0.33750647191934102</v>
      </c>
      <c r="I404" s="22">
        <f>$E403</f>
        <v>0.33750647191934102</v>
      </c>
      <c r="J404" s="22">
        <f>$E403</f>
        <v>0.33750647191934102</v>
      </c>
    </row>
    <row r="405" spans="2:12" x14ac:dyDescent="0.25">
      <c r="B405" s="154" t="s">
        <v>178</v>
      </c>
      <c r="C405" s="154"/>
      <c r="D405" s="154"/>
      <c r="E405" s="154"/>
      <c r="F405" s="23" t="s">
        <v>154</v>
      </c>
      <c r="G405" s="23" t="s">
        <v>155</v>
      </c>
      <c r="H405" s="23" t="s">
        <v>110</v>
      </c>
      <c r="I405" s="23" t="s">
        <v>194</v>
      </c>
      <c r="J405" s="28" t="s">
        <v>157</v>
      </c>
      <c r="K405" s="29">
        <f>K402/5</f>
        <v>444.56599999999997</v>
      </c>
      <c r="L405" s="30" t="s">
        <v>179</v>
      </c>
    </row>
    <row r="406" spans="2:12" x14ac:dyDescent="0.25">
      <c r="B406" s="154"/>
      <c r="C406" s="154"/>
      <c r="D406" s="154"/>
      <c r="E406" s="154"/>
      <c r="F406" s="24">
        <f>F383*$E403</f>
        <v>364.50698967288832</v>
      </c>
      <c r="G406" s="24">
        <f>G383*$E403</f>
        <v>357.48685505696602</v>
      </c>
      <c r="H406" s="24">
        <f>H383*$E403</f>
        <v>519.24020678902946</v>
      </c>
      <c r="I406" s="24">
        <f>I383*$E403</f>
        <v>459.27880698783923</v>
      </c>
      <c r="J406" s="24">
        <f>J383*$E403</f>
        <v>522.31489074821457</v>
      </c>
      <c r="K406" s="31" t="s">
        <v>180</v>
      </c>
      <c r="L406" s="32">
        <f>SUM(F406:J406)</f>
        <v>2222.8277492549378</v>
      </c>
    </row>
    <row r="408" spans="2:12" x14ac:dyDescent="0.25">
      <c r="K408" s="33" t="s">
        <v>181</v>
      </c>
      <c r="L408" s="34">
        <f>K402-L406</f>
        <v>2.2507450621560565E-3</v>
      </c>
    </row>
    <row r="412" spans="2:12" x14ac:dyDescent="0.25">
      <c r="B412" s="1" t="s">
        <v>148</v>
      </c>
      <c r="C412" s="2" t="s">
        <v>149</v>
      </c>
      <c r="D412" s="2" t="s">
        <v>150</v>
      </c>
      <c r="E412" s="2"/>
      <c r="F412" s="156" t="s">
        <v>151</v>
      </c>
      <c r="G412" s="156"/>
      <c r="H412" s="156"/>
      <c r="I412" s="156"/>
      <c r="J412" s="156"/>
    </row>
    <row r="413" spans="2:12" x14ac:dyDescent="0.25">
      <c r="B413" s="3" t="s">
        <v>6</v>
      </c>
      <c r="C413" s="4"/>
      <c r="D413" s="4" t="s">
        <v>152</v>
      </c>
      <c r="E413" s="4" t="s">
        <v>153</v>
      </c>
      <c r="F413" s="5" t="s">
        <v>154</v>
      </c>
      <c r="G413" s="5" t="s">
        <v>155</v>
      </c>
      <c r="H413" s="5" t="s">
        <v>110</v>
      </c>
      <c r="I413" s="5" t="s">
        <v>194</v>
      </c>
      <c r="J413" s="25" t="s">
        <v>157</v>
      </c>
    </row>
    <row r="414" spans="2:12" ht="15.75" x14ac:dyDescent="0.25">
      <c r="B414" s="6">
        <v>2016</v>
      </c>
      <c r="C414" s="2"/>
      <c r="D414" s="2"/>
      <c r="E414" s="2"/>
      <c r="F414" s="2"/>
      <c r="G414" s="2"/>
      <c r="H414" s="2"/>
      <c r="I414" s="2"/>
      <c r="J414" s="2"/>
    </row>
    <row r="415" spans="2:12" ht="15.75" x14ac:dyDescent="0.25">
      <c r="B415" s="7" t="s">
        <v>26</v>
      </c>
      <c r="C415" s="2"/>
      <c r="D415" s="8" t="s">
        <v>158</v>
      </c>
      <c r="E415" s="2"/>
      <c r="F415" s="9">
        <v>1080</v>
      </c>
      <c r="G415" s="9">
        <v>1059.2</v>
      </c>
      <c r="H415" s="9">
        <v>1538.46</v>
      </c>
      <c r="I415" s="9">
        <v>1360.8</v>
      </c>
      <c r="J415" s="9">
        <v>1547.57</v>
      </c>
    </row>
    <row r="416" spans="2:12" ht="15.75" x14ac:dyDescent="0.25">
      <c r="B416" s="10"/>
      <c r="C416" s="4"/>
      <c r="D416" s="11"/>
      <c r="E416" s="4"/>
      <c r="F416" s="12"/>
      <c r="G416" s="12"/>
      <c r="H416" s="12"/>
      <c r="I416" s="12"/>
      <c r="J416" s="12"/>
    </row>
    <row r="417" spans="2:11" x14ac:dyDescent="0.25">
      <c r="B417" s="153" t="s">
        <v>159</v>
      </c>
      <c r="C417" s="13" t="s">
        <v>160</v>
      </c>
      <c r="D417" s="14" t="s">
        <v>161</v>
      </c>
      <c r="E417" s="15">
        <v>400</v>
      </c>
      <c r="F417" s="16">
        <f t="shared" ref="F417:F434" si="65">$E417/5</f>
        <v>80</v>
      </c>
      <c r="G417" s="15">
        <f t="shared" ref="G417:G434" si="66">$E417/5</f>
        <v>80</v>
      </c>
      <c r="H417" s="16">
        <f t="shared" ref="H417:H434" si="67">$E417/5</f>
        <v>80</v>
      </c>
      <c r="I417" s="15">
        <f t="shared" ref="I417:I434" si="68">$E417/5</f>
        <v>80</v>
      </c>
      <c r="J417" s="16">
        <f t="shared" ref="J417:J434" si="69">$E417/5</f>
        <v>80</v>
      </c>
    </row>
    <row r="418" spans="2:11" x14ac:dyDescent="0.25">
      <c r="B418" s="153"/>
      <c r="C418" s="13" t="s">
        <v>160</v>
      </c>
      <c r="D418" s="14" t="s">
        <v>20</v>
      </c>
      <c r="E418" s="15">
        <v>76.08</v>
      </c>
      <c r="F418" s="16">
        <f t="shared" si="65"/>
        <v>15.215999999999999</v>
      </c>
      <c r="G418" s="15">
        <f t="shared" si="66"/>
        <v>15.215999999999999</v>
      </c>
      <c r="H418" s="16">
        <f t="shared" si="67"/>
        <v>15.215999999999999</v>
      </c>
      <c r="I418" s="15">
        <f t="shared" si="68"/>
        <v>15.215999999999999</v>
      </c>
      <c r="J418" s="16">
        <f t="shared" si="69"/>
        <v>15.215999999999999</v>
      </c>
    </row>
    <row r="419" spans="2:11" x14ac:dyDescent="0.25">
      <c r="B419" s="153"/>
      <c r="C419" s="13" t="s">
        <v>160</v>
      </c>
      <c r="D419" s="14" t="s">
        <v>21</v>
      </c>
      <c r="E419" s="15">
        <v>138.6</v>
      </c>
      <c r="F419" s="16">
        <f t="shared" si="65"/>
        <v>27.72</v>
      </c>
      <c r="G419" s="15">
        <f t="shared" si="66"/>
        <v>27.72</v>
      </c>
      <c r="H419" s="16">
        <f t="shared" si="67"/>
        <v>27.72</v>
      </c>
      <c r="I419" s="15">
        <f t="shared" si="68"/>
        <v>27.72</v>
      </c>
      <c r="J419" s="16">
        <f t="shared" si="69"/>
        <v>27.72</v>
      </c>
    </row>
    <row r="420" spans="2:11" x14ac:dyDescent="0.25">
      <c r="B420" s="153"/>
      <c r="C420" s="13" t="s">
        <v>160</v>
      </c>
      <c r="D420" s="14" t="s">
        <v>162</v>
      </c>
      <c r="E420" s="15">
        <v>114.13</v>
      </c>
      <c r="F420" s="16">
        <f t="shared" si="65"/>
        <v>22.826000000000001</v>
      </c>
      <c r="G420" s="15">
        <f t="shared" si="66"/>
        <v>22.826000000000001</v>
      </c>
      <c r="H420" s="16">
        <f t="shared" si="67"/>
        <v>22.826000000000001</v>
      </c>
      <c r="I420" s="15">
        <f t="shared" si="68"/>
        <v>22.826000000000001</v>
      </c>
      <c r="J420" s="16">
        <f t="shared" si="69"/>
        <v>22.826000000000001</v>
      </c>
    </row>
    <row r="421" spans="2:11" x14ac:dyDescent="0.25">
      <c r="B421" s="153"/>
      <c r="C421" s="13" t="s">
        <v>163</v>
      </c>
      <c r="D421" s="14"/>
      <c r="E421" s="15">
        <v>0</v>
      </c>
      <c r="F421" s="16">
        <f t="shared" si="65"/>
        <v>0</v>
      </c>
      <c r="G421" s="15">
        <f t="shared" si="66"/>
        <v>0</v>
      </c>
      <c r="H421" s="16">
        <f t="shared" si="67"/>
        <v>0</v>
      </c>
      <c r="I421" s="15">
        <f t="shared" si="68"/>
        <v>0</v>
      </c>
      <c r="J421" s="16">
        <f t="shared" si="69"/>
        <v>0</v>
      </c>
    </row>
    <row r="422" spans="2:11" x14ac:dyDescent="0.25">
      <c r="B422" s="153"/>
      <c r="C422" s="13" t="s">
        <v>163</v>
      </c>
      <c r="D422" s="14" t="s">
        <v>164</v>
      </c>
      <c r="E422" s="15">
        <v>89.9</v>
      </c>
      <c r="F422" s="16">
        <f t="shared" si="65"/>
        <v>17.98</v>
      </c>
      <c r="G422" s="15">
        <f t="shared" si="66"/>
        <v>17.98</v>
      </c>
      <c r="H422" s="16">
        <f t="shared" si="67"/>
        <v>17.98</v>
      </c>
      <c r="I422" s="15">
        <f t="shared" si="68"/>
        <v>17.98</v>
      </c>
      <c r="J422" s="16">
        <f t="shared" si="69"/>
        <v>17.98</v>
      </c>
    </row>
    <row r="423" spans="2:11" x14ac:dyDescent="0.25">
      <c r="B423" s="153"/>
      <c r="C423" s="13" t="s">
        <v>160</v>
      </c>
      <c r="D423" s="14" t="s">
        <v>165</v>
      </c>
      <c r="E423" s="15">
        <v>480.22</v>
      </c>
      <c r="F423" s="16">
        <f t="shared" si="65"/>
        <v>96.044000000000011</v>
      </c>
      <c r="G423" s="15">
        <f t="shared" si="66"/>
        <v>96.044000000000011</v>
      </c>
      <c r="H423" s="16">
        <f t="shared" si="67"/>
        <v>96.044000000000011</v>
      </c>
      <c r="I423" s="15">
        <f t="shared" si="68"/>
        <v>96.044000000000011</v>
      </c>
      <c r="J423" s="16">
        <f t="shared" si="69"/>
        <v>96.044000000000011</v>
      </c>
    </row>
    <row r="424" spans="2:11" x14ac:dyDescent="0.25">
      <c r="B424" s="153"/>
      <c r="C424" s="13" t="s">
        <v>166</v>
      </c>
      <c r="D424" s="14" t="s">
        <v>167</v>
      </c>
      <c r="E424" s="15">
        <v>0</v>
      </c>
      <c r="F424" s="16">
        <f t="shared" si="65"/>
        <v>0</v>
      </c>
      <c r="G424" s="15">
        <f t="shared" si="66"/>
        <v>0</v>
      </c>
      <c r="H424" s="16">
        <f t="shared" si="67"/>
        <v>0</v>
      </c>
      <c r="I424" s="15">
        <f t="shared" si="68"/>
        <v>0</v>
      </c>
      <c r="J424" s="16">
        <f t="shared" si="69"/>
        <v>0</v>
      </c>
    </row>
    <row r="425" spans="2:11" x14ac:dyDescent="0.25">
      <c r="B425" s="153"/>
      <c r="C425" s="13" t="s">
        <v>163</v>
      </c>
      <c r="D425" s="14" t="s">
        <v>26</v>
      </c>
      <c r="E425" s="15">
        <v>0</v>
      </c>
      <c r="F425" s="16">
        <f t="shared" si="65"/>
        <v>0</v>
      </c>
      <c r="G425" s="15">
        <f t="shared" si="66"/>
        <v>0</v>
      </c>
      <c r="H425" s="16">
        <f t="shared" si="67"/>
        <v>0</v>
      </c>
      <c r="I425" s="15">
        <f t="shared" si="68"/>
        <v>0</v>
      </c>
      <c r="J425" s="16">
        <f t="shared" si="69"/>
        <v>0</v>
      </c>
    </row>
    <row r="426" spans="2:11" x14ac:dyDescent="0.25">
      <c r="B426" s="153"/>
      <c r="C426" s="13" t="s">
        <v>168</v>
      </c>
      <c r="D426" s="14" t="s">
        <v>169</v>
      </c>
      <c r="E426" s="15">
        <v>0</v>
      </c>
      <c r="F426" s="16">
        <f t="shared" si="65"/>
        <v>0</v>
      </c>
      <c r="G426" s="15">
        <f t="shared" si="66"/>
        <v>0</v>
      </c>
      <c r="H426" s="16">
        <f t="shared" si="67"/>
        <v>0</v>
      </c>
      <c r="I426" s="15">
        <f t="shared" si="68"/>
        <v>0</v>
      </c>
      <c r="J426" s="16">
        <f t="shared" si="69"/>
        <v>0</v>
      </c>
    </row>
    <row r="427" spans="2:11" x14ac:dyDescent="0.25">
      <c r="B427" s="153"/>
      <c r="C427" s="13" t="s">
        <v>163</v>
      </c>
      <c r="D427" s="14" t="s">
        <v>224</v>
      </c>
      <c r="E427" s="15">
        <v>54.06</v>
      </c>
      <c r="F427" s="16">
        <f t="shared" si="65"/>
        <v>10.812000000000001</v>
      </c>
      <c r="G427" s="15">
        <f t="shared" si="66"/>
        <v>10.812000000000001</v>
      </c>
      <c r="H427" s="16">
        <f t="shared" si="67"/>
        <v>10.812000000000001</v>
      </c>
      <c r="I427" s="15">
        <f t="shared" si="68"/>
        <v>10.812000000000001</v>
      </c>
      <c r="J427" s="16">
        <f t="shared" si="69"/>
        <v>10.812000000000001</v>
      </c>
    </row>
    <row r="428" spans="2:11" x14ac:dyDescent="0.25">
      <c r="B428" s="153"/>
      <c r="C428" s="13" t="s">
        <v>170</v>
      </c>
      <c r="D428" s="14" t="s">
        <v>225</v>
      </c>
      <c r="E428" s="15">
        <v>267.08</v>
      </c>
      <c r="F428" s="16">
        <f t="shared" si="65"/>
        <v>53.415999999999997</v>
      </c>
      <c r="G428" s="15">
        <f t="shared" si="66"/>
        <v>53.415999999999997</v>
      </c>
      <c r="H428" s="16">
        <f t="shared" si="67"/>
        <v>53.415999999999997</v>
      </c>
      <c r="I428" s="15">
        <f t="shared" si="68"/>
        <v>53.415999999999997</v>
      </c>
      <c r="J428" s="16">
        <f t="shared" si="69"/>
        <v>53.415999999999997</v>
      </c>
    </row>
    <row r="429" spans="2:11" x14ac:dyDescent="0.25">
      <c r="B429" s="153"/>
      <c r="C429" s="13" t="s">
        <v>170</v>
      </c>
      <c r="D429" s="14"/>
      <c r="E429" s="15">
        <v>0</v>
      </c>
      <c r="F429" s="16">
        <f t="shared" si="65"/>
        <v>0</v>
      </c>
      <c r="G429" s="15">
        <f t="shared" si="66"/>
        <v>0</v>
      </c>
      <c r="H429" s="16">
        <f t="shared" si="67"/>
        <v>0</v>
      </c>
      <c r="I429" s="15">
        <f t="shared" si="68"/>
        <v>0</v>
      </c>
      <c r="J429" s="16">
        <f t="shared" si="69"/>
        <v>0</v>
      </c>
    </row>
    <row r="430" spans="2:11" x14ac:dyDescent="0.25">
      <c r="B430" s="153"/>
      <c r="C430" s="13" t="s">
        <v>163</v>
      </c>
      <c r="D430" s="14" t="s">
        <v>223</v>
      </c>
      <c r="E430" s="15">
        <f>4*19</f>
        <v>76</v>
      </c>
      <c r="F430" s="16">
        <f t="shared" si="65"/>
        <v>15.2</v>
      </c>
      <c r="G430" s="15">
        <f t="shared" si="66"/>
        <v>15.2</v>
      </c>
      <c r="H430" s="16">
        <f t="shared" si="67"/>
        <v>15.2</v>
      </c>
      <c r="I430" s="15">
        <f t="shared" si="68"/>
        <v>15.2</v>
      </c>
      <c r="J430" s="16">
        <f t="shared" si="69"/>
        <v>15.2</v>
      </c>
    </row>
    <row r="431" spans="2:11" x14ac:dyDescent="0.25">
      <c r="B431" s="153"/>
      <c r="C431" s="17" t="s">
        <v>163</v>
      </c>
      <c r="D431" s="18" t="s">
        <v>26</v>
      </c>
      <c r="E431" s="15">
        <v>0</v>
      </c>
      <c r="F431" s="16">
        <f t="shared" si="65"/>
        <v>0</v>
      </c>
      <c r="G431" s="15">
        <f t="shared" si="66"/>
        <v>0</v>
      </c>
      <c r="H431" s="16">
        <f t="shared" si="67"/>
        <v>0</v>
      </c>
      <c r="I431" s="15">
        <f t="shared" si="68"/>
        <v>0</v>
      </c>
      <c r="J431" s="16">
        <f t="shared" si="69"/>
        <v>0</v>
      </c>
    </row>
    <row r="432" spans="2:11" x14ac:dyDescent="0.25">
      <c r="B432" s="153"/>
      <c r="C432" s="17"/>
      <c r="D432" s="18"/>
      <c r="E432" s="15">
        <v>0</v>
      </c>
      <c r="F432" s="16">
        <f t="shared" si="65"/>
        <v>0</v>
      </c>
      <c r="G432" s="15">
        <f t="shared" si="66"/>
        <v>0</v>
      </c>
      <c r="H432" s="16">
        <f t="shared" si="67"/>
        <v>0</v>
      </c>
      <c r="I432" s="15">
        <f t="shared" si="68"/>
        <v>0</v>
      </c>
      <c r="J432" s="16">
        <f t="shared" si="69"/>
        <v>0</v>
      </c>
      <c r="K432" s="26" t="s">
        <v>26</v>
      </c>
    </row>
    <row r="433" spans="2:12" x14ac:dyDescent="0.25">
      <c r="B433" s="153"/>
      <c r="C433" s="2" t="s">
        <v>160</v>
      </c>
      <c r="D433" s="4" t="s">
        <v>174</v>
      </c>
      <c r="E433" s="19">
        <v>300</v>
      </c>
      <c r="F433" s="16">
        <f t="shared" si="65"/>
        <v>60</v>
      </c>
      <c r="G433" s="19">
        <f t="shared" si="66"/>
        <v>60</v>
      </c>
      <c r="H433" s="16">
        <f t="shared" si="67"/>
        <v>60</v>
      </c>
      <c r="I433" s="19">
        <f t="shared" si="68"/>
        <v>60</v>
      </c>
      <c r="J433" s="16">
        <f t="shared" si="69"/>
        <v>60</v>
      </c>
      <c r="K433" s="26" t="s">
        <v>175</v>
      </c>
    </row>
    <row r="434" spans="2:12" x14ac:dyDescent="0.25">
      <c r="B434" s="153"/>
      <c r="C434" s="2"/>
      <c r="D434" s="4" t="s">
        <v>26</v>
      </c>
      <c r="E434" s="19">
        <v>0</v>
      </c>
      <c r="F434" s="16">
        <f t="shared" si="65"/>
        <v>0</v>
      </c>
      <c r="G434" s="19">
        <f t="shared" si="66"/>
        <v>0</v>
      </c>
      <c r="H434" s="16">
        <f t="shared" si="67"/>
        <v>0</v>
      </c>
      <c r="I434" s="19">
        <f t="shared" si="68"/>
        <v>0</v>
      </c>
      <c r="J434" s="16">
        <f t="shared" si="69"/>
        <v>0</v>
      </c>
      <c r="K434" s="27">
        <f>SUM(E417:E434)</f>
        <v>1996.0699999999997</v>
      </c>
    </row>
    <row r="435" spans="2:12" x14ac:dyDescent="0.25">
      <c r="B435" s="153"/>
      <c r="C435" s="20" t="s">
        <v>176</v>
      </c>
      <c r="D435" s="4"/>
      <c r="E435" s="155">
        <f>SUM(F435:J435)/5.13852</f>
        <v>0.3030760532312588</v>
      </c>
      <c r="F435" s="21">
        <f>$K437*1/F415</f>
        <v>0.36964259259259252</v>
      </c>
      <c r="G435" s="21">
        <f>$K437*1/G415</f>
        <v>0.37690143504531715</v>
      </c>
      <c r="H435" s="21">
        <f>$K437*1/H415</f>
        <v>0.25948935948935947</v>
      </c>
      <c r="I435" s="21">
        <f>$K437*1/I415</f>
        <v>0.29336713697824807</v>
      </c>
      <c r="J435" s="21">
        <f>$K437*1/J415</f>
        <v>0.2579618369443708</v>
      </c>
    </row>
    <row r="436" spans="2:12" x14ac:dyDescent="0.25">
      <c r="B436" s="153"/>
      <c r="C436" s="20" t="s">
        <v>177</v>
      </c>
      <c r="D436" s="4"/>
      <c r="E436" s="155"/>
      <c r="F436" s="22">
        <f>$E435</f>
        <v>0.3030760532312588</v>
      </c>
      <c r="G436" s="22">
        <f>$E435</f>
        <v>0.3030760532312588</v>
      </c>
      <c r="H436" s="22">
        <f>$E435</f>
        <v>0.3030760532312588</v>
      </c>
      <c r="I436" s="22">
        <f>$E435</f>
        <v>0.3030760532312588</v>
      </c>
      <c r="J436" s="22">
        <f>$E435</f>
        <v>0.3030760532312588</v>
      </c>
    </row>
    <row r="437" spans="2:12" x14ac:dyDescent="0.25">
      <c r="B437" s="154" t="s">
        <v>178</v>
      </c>
      <c r="C437" s="154"/>
      <c r="D437" s="154"/>
      <c r="E437" s="154"/>
      <c r="F437" s="23" t="s">
        <v>154</v>
      </c>
      <c r="G437" s="23" t="s">
        <v>155</v>
      </c>
      <c r="H437" s="23" t="s">
        <v>110</v>
      </c>
      <c r="I437" s="23" t="s">
        <v>194</v>
      </c>
      <c r="J437" s="28" t="s">
        <v>157</v>
      </c>
      <c r="K437" s="29">
        <f>K434/5</f>
        <v>399.21399999999994</v>
      </c>
      <c r="L437" s="30" t="s">
        <v>179</v>
      </c>
    </row>
    <row r="438" spans="2:12" x14ac:dyDescent="0.25">
      <c r="B438" s="154"/>
      <c r="C438" s="154"/>
      <c r="D438" s="154"/>
      <c r="E438" s="154"/>
      <c r="F438" s="24">
        <f>F415*$E435</f>
        <v>327.32213748975948</v>
      </c>
      <c r="G438" s="24">
        <f>G415*$E435</f>
        <v>321.01815558254935</v>
      </c>
      <c r="H438" s="24">
        <f>H415*$E435</f>
        <v>466.27038485416244</v>
      </c>
      <c r="I438" s="24">
        <f>I415*$E435</f>
        <v>412.42589323709694</v>
      </c>
      <c r="J438" s="24">
        <f>J415*$E435</f>
        <v>469.03140769909919</v>
      </c>
      <c r="K438" s="31" t="s">
        <v>180</v>
      </c>
      <c r="L438" s="32">
        <f>SUM(F438:J438)</f>
        <v>1996.0679788626676</v>
      </c>
    </row>
    <row r="440" spans="2:12" x14ac:dyDescent="0.25">
      <c r="K440" s="33" t="s">
        <v>181</v>
      </c>
      <c r="L440" s="34">
        <f>K434-L438</f>
        <v>2.0211373321217252E-3</v>
      </c>
    </row>
    <row r="445" spans="2:12" x14ac:dyDescent="0.25">
      <c r="B445" s="1" t="s">
        <v>148</v>
      </c>
      <c r="C445" s="2" t="s">
        <v>149</v>
      </c>
      <c r="D445" s="2" t="s">
        <v>150</v>
      </c>
      <c r="E445" s="2"/>
      <c r="F445" s="43" t="s">
        <v>151</v>
      </c>
      <c r="G445" s="43"/>
      <c r="H445" s="43"/>
      <c r="I445" s="43"/>
      <c r="J445" s="43"/>
      <c r="K445" s="43"/>
    </row>
    <row r="446" spans="2:12" x14ac:dyDescent="0.25">
      <c r="B446" s="3" t="s">
        <v>7</v>
      </c>
      <c r="C446" s="4"/>
      <c r="D446" s="4" t="s">
        <v>152</v>
      </c>
      <c r="E446" s="4" t="s">
        <v>153</v>
      </c>
      <c r="F446" s="5" t="s">
        <v>154</v>
      </c>
      <c r="G446" s="5" t="s">
        <v>155</v>
      </c>
      <c r="H446" s="5" t="s">
        <v>110</v>
      </c>
      <c r="I446" s="5" t="s">
        <v>194</v>
      </c>
      <c r="J446" s="25" t="s">
        <v>157</v>
      </c>
      <c r="K446" s="25" t="s">
        <v>226</v>
      </c>
    </row>
    <row r="447" spans="2:12" ht="15.75" x14ac:dyDescent="0.25">
      <c r="B447" s="6">
        <v>2017</v>
      </c>
      <c r="C447" s="2"/>
      <c r="D447" s="2"/>
      <c r="E447" s="2"/>
      <c r="F447" s="2"/>
      <c r="G447" s="2"/>
      <c r="H447" s="2"/>
      <c r="I447" s="2"/>
      <c r="J447" s="2"/>
      <c r="K447" s="2"/>
    </row>
    <row r="448" spans="2:12" ht="15.75" x14ac:dyDescent="0.25">
      <c r="B448" s="7" t="s">
        <v>26</v>
      </c>
      <c r="C448" s="2"/>
      <c r="D448" s="8" t="s">
        <v>158</v>
      </c>
      <c r="E448" s="2"/>
      <c r="F448" s="9">
        <v>1080</v>
      </c>
      <c r="G448" s="9">
        <v>1134</v>
      </c>
      <c r="H448" s="9">
        <v>1538.46</v>
      </c>
      <c r="I448" s="9">
        <v>1360.8</v>
      </c>
      <c r="J448" s="9">
        <v>1547.57</v>
      </c>
      <c r="K448" s="9">
        <v>900</v>
      </c>
    </row>
    <row r="449" spans="2:11" ht="15.75" x14ac:dyDescent="0.25">
      <c r="B449" s="10"/>
      <c r="C449" s="4"/>
      <c r="D449" s="11"/>
      <c r="E449" s="4"/>
      <c r="F449" s="12"/>
      <c r="G449" s="12"/>
      <c r="H449" s="12"/>
      <c r="I449" s="12"/>
      <c r="J449" s="12"/>
      <c r="K449" s="12"/>
    </row>
    <row r="450" spans="2:11" x14ac:dyDescent="0.25">
      <c r="B450" s="153" t="s">
        <v>159</v>
      </c>
      <c r="C450" s="13" t="s">
        <v>160</v>
      </c>
      <c r="D450" s="14" t="s">
        <v>161</v>
      </c>
      <c r="E450" s="15">
        <v>400</v>
      </c>
      <c r="F450" s="16">
        <f t="shared" ref="F450:F467" si="70">$E450/6</f>
        <v>66.666666666666671</v>
      </c>
      <c r="G450" s="15">
        <f t="shared" ref="G450:G467" si="71">$E450/6</f>
        <v>66.666666666666671</v>
      </c>
      <c r="H450" s="16">
        <f t="shared" ref="H450:H467" si="72">$E450/6</f>
        <v>66.666666666666671</v>
      </c>
      <c r="I450" s="16">
        <f t="shared" ref="I450:I467" si="73">$E450/6</f>
        <v>66.666666666666671</v>
      </c>
      <c r="J450" s="16">
        <f t="shared" ref="J450:J467" si="74">$E450/6</f>
        <v>66.666666666666671</v>
      </c>
      <c r="K450" s="16">
        <f t="shared" ref="K450:K467" si="75">$E450/6</f>
        <v>66.666666666666671</v>
      </c>
    </row>
    <row r="451" spans="2:11" x14ac:dyDescent="0.25">
      <c r="B451" s="153"/>
      <c r="C451" s="13" t="s">
        <v>160</v>
      </c>
      <c r="D451" s="14" t="s">
        <v>20</v>
      </c>
      <c r="E451" s="15">
        <v>65.760000000000005</v>
      </c>
      <c r="F451" s="16">
        <f t="shared" si="70"/>
        <v>10.96</v>
      </c>
      <c r="G451" s="15">
        <f t="shared" si="71"/>
        <v>10.96</v>
      </c>
      <c r="H451" s="16">
        <f t="shared" si="72"/>
        <v>10.96</v>
      </c>
      <c r="I451" s="16">
        <f t="shared" si="73"/>
        <v>10.96</v>
      </c>
      <c r="J451" s="16">
        <f t="shared" si="74"/>
        <v>10.96</v>
      </c>
      <c r="K451" s="16">
        <f t="shared" si="75"/>
        <v>10.96</v>
      </c>
    </row>
    <row r="452" spans="2:11" x14ac:dyDescent="0.25">
      <c r="B452" s="153"/>
      <c r="C452" s="13" t="s">
        <v>160</v>
      </c>
      <c r="D452" s="14" t="s">
        <v>21</v>
      </c>
      <c r="E452" s="15">
        <v>155.11000000000001</v>
      </c>
      <c r="F452" s="16">
        <f t="shared" si="70"/>
        <v>25.85166666666667</v>
      </c>
      <c r="G452" s="15">
        <f t="shared" si="71"/>
        <v>25.85166666666667</v>
      </c>
      <c r="H452" s="16">
        <f t="shared" si="72"/>
        <v>25.85166666666667</v>
      </c>
      <c r="I452" s="16">
        <f t="shared" si="73"/>
        <v>25.85166666666667</v>
      </c>
      <c r="J452" s="16">
        <f t="shared" si="74"/>
        <v>25.85166666666667</v>
      </c>
      <c r="K452" s="16">
        <f t="shared" si="75"/>
        <v>25.85166666666667</v>
      </c>
    </row>
    <row r="453" spans="2:11" x14ac:dyDescent="0.25">
      <c r="B453" s="153"/>
      <c r="C453" s="13" t="s">
        <v>160</v>
      </c>
      <c r="D453" s="14" t="s">
        <v>162</v>
      </c>
      <c r="E453" s="15">
        <v>120.95</v>
      </c>
      <c r="F453" s="16">
        <f t="shared" si="70"/>
        <v>20.158333333333335</v>
      </c>
      <c r="G453" s="15">
        <f t="shared" si="71"/>
        <v>20.158333333333335</v>
      </c>
      <c r="H453" s="16">
        <f t="shared" si="72"/>
        <v>20.158333333333335</v>
      </c>
      <c r="I453" s="16">
        <f t="shared" si="73"/>
        <v>20.158333333333335</v>
      </c>
      <c r="J453" s="16">
        <f t="shared" si="74"/>
        <v>20.158333333333335</v>
      </c>
      <c r="K453" s="16">
        <f t="shared" si="75"/>
        <v>20.158333333333335</v>
      </c>
    </row>
    <row r="454" spans="2:11" x14ac:dyDescent="0.25">
      <c r="B454" s="153"/>
      <c r="C454" s="13" t="s">
        <v>163</v>
      </c>
      <c r="D454" s="14"/>
      <c r="E454" s="15">
        <v>0</v>
      </c>
      <c r="F454" s="16">
        <f t="shared" si="70"/>
        <v>0</v>
      </c>
      <c r="G454" s="15">
        <f t="shared" si="71"/>
        <v>0</v>
      </c>
      <c r="H454" s="16">
        <f t="shared" si="72"/>
        <v>0</v>
      </c>
      <c r="I454" s="16">
        <f t="shared" si="73"/>
        <v>0</v>
      </c>
      <c r="J454" s="16">
        <f t="shared" si="74"/>
        <v>0</v>
      </c>
      <c r="K454" s="16">
        <f t="shared" si="75"/>
        <v>0</v>
      </c>
    </row>
    <row r="455" spans="2:11" x14ac:dyDescent="0.25">
      <c r="B455" s="153"/>
      <c r="C455" s="13" t="s">
        <v>163</v>
      </c>
      <c r="D455" s="14" t="s">
        <v>164</v>
      </c>
      <c r="E455" s="15">
        <v>100.9</v>
      </c>
      <c r="F455" s="16">
        <f t="shared" si="70"/>
        <v>16.816666666666666</v>
      </c>
      <c r="G455" s="15">
        <f t="shared" si="71"/>
        <v>16.816666666666666</v>
      </c>
      <c r="H455" s="16">
        <f t="shared" si="72"/>
        <v>16.816666666666666</v>
      </c>
      <c r="I455" s="16">
        <f t="shared" si="73"/>
        <v>16.816666666666666</v>
      </c>
      <c r="J455" s="16">
        <f t="shared" si="74"/>
        <v>16.816666666666666</v>
      </c>
      <c r="K455" s="16">
        <f t="shared" si="75"/>
        <v>16.816666666666666</v>
      </c>
    </row>
    <row r="456" spans="2:11" x14ac:dyDescent="0.25">
      <c r="B456" s="153"/>
      <c r="C456" s="13" t="s">
        <v>160</v>
      </c>
      <c r="D456" s="14" t="s">
        <v>165</v>
      </c>
      <c r="E456" s="15">
        <v>600</v>
      </c>
      <c r="F456" s="16">
        <f t="shared" si="70"/>
        <v>100</v>
      </c>
      <c r="G456" s="15">
        <f t="shared" si="71"/>
        <v>100</v>
      </c>
      <c r="H456" s="16">
        <f t="shared" si="72"/>
        <v>100</v>
      </c>
      <c r="I456" s="16">
        <f t="shared" si="73"/>
        <v>100</v>
      </c>
      <c r="J456" s="16">
        <f t="shared" si="74"/>
        <v>100</v>
      </c>
      <c r="K456" s="16">
        <f t="shared" si="75"/>
        <v>100</v>
      </c>
    </row>
    <row r="457" spans="2:11" x14ac:dyDescent="0.25">
      <c r="B457" s="153"/>
      <c r="C457" s="13" t="s">
        <v>166</v>
      </c>
      <c r="D457" s="14" t="s">
        <v>167</v>
      </c>
      <c r="E457" s="15">
        <v>0</v>
      </c>
      <c r="F457" s="16">
        <f t="shared" si="70"/>
        <v>0</v>
      </c>
      <c r="G457" s="15">
        <f t="shared" si="71"/>
        <v>0</v>
      </c>
      <c r="H457" s="16">
        <f t="shared" si="72"/>
        <v>0</v>
      </c>
      <c r="I457" s="16">
        <f t="shared" si="73"/>
        <v>0</v>
      </c>
      <c r="J457" s="16">
        <f t="shared" si="74"/>
        <v>0</v>
      </c>
      <c r="K457" s="16">
        <f t="shared" si="75"/>
        <v>0</v>
      </c>
    </row>
    <row r="458" spans="2:11" x14ac:dyDescent="0.25">
      <c r="B458" s="153"/>
      <c r="C458" s="13" t="s">
        <v>163</v>
      </c>
      <c r="D458" s="14" t="s">
        <v>227</v>
      </c>
      <c r="E458" s="15">
        <v>0</v>
      </c>
      <c r="F458" s="16">
        <f t="shared" si="70"/>
        <v>0</v>
      </c>
      <c r="G458" s="15">
        <f t="shared" si="71"/>
        <v>0</v>
      </c>
      <c r="H458" s="16">
        <f t="shared" si="72"/>
        <v>0</v>
      </c>
      <c r="I458" s="16">
        <f t="shared" si="73"/>
        <v>0</v>
      </c>
      <c r="J458" s="16">
        <f t="shared" si="74"/>
        <v>0</v>
      </c>
      <c r="K458" s="16">
        <f t="shared" si="75"/>
        <v>0</v>
      </c>
    </row>
    <row r="459" spans="2:11" x14ac:dyDescent="0.25">
      <c r="B459" s="153"/>
      <c r="C459" s="13" t="s">
        <v>168</v>
      </c>
      <c r="D459" s="14" t="s">
        <v>169</v>
      </c>
      <c r="E459" s="15">
        <v>60</v>
      </c>
      <c r="F459" s="16">
        <f t="shared" si="70"/>
        <v>10</v>
      </c>
      <c r="G459" s="15">
        <f t="shared" si="71"/>
        <v>10</v>
      </c>
      <c r="H459" s="16">
        <f t="shared" si="72"/>
        <v>10</v>
      </c>
      <c r="I459" s="16">
        <f t="shared" si="73"/>
        <v>10</v>
      </c>
      <c r="J459" s="16">
        <f t="shared" si="74"/>
        <v>10</v>
      </c>
      <c r="K459" s="16">
        <f t="shared" si="75"/>
        <v>10</v>
      </c>
    </row>
    <row r="460" spans="2:11" x14ac:dyDescent="0.25">
      <c r="B460" s="153"/>
      <c r="C460" s="13" t="s">
        <v>163</v>
      </c>
      <c r="D460" s="14" t="s">
        <v>228</v>
      </c>
      <c r="E460" s="15">
        <v>54.06</v>
      </c>
      <c r="F460" s="16">
        <f t="shared" si="70"/>
        <v>9.01</v>
      </c>
      <c r="G460" s="15">
        <f t="shared" si="71"/>
        <v>9.01</v>
      </c>
      <c r="H460" s="16">
        <f t="shared" si="72"/>
        <v>9.01</v>
      </c>
      <c r="I460" s="16">
        <f t="shared" si="73"/>
        <v>9.01</v>
      </c>
      <c r="J460" s="16">
        <f t="shared" si="74"/>
        <v>9.01</v>
      </c>
      <c r="K460" s="16">
        <f t="shared" si="75"/>
        <v>9.01</v>
      </c>
    </row>
    <row r="461" spans="2:11" x14ac:dyDescent="0.25">
      <c r="B461" s="153"/>
      <c r="C461" s="13" t="s">
        <v>170</v>
      </c>
      <c r="D461" s="14"/>
      <c r="E461" s="15"/>
      <c r="F461" s="16">
        <f t="shared" si="70"/>
        <v>0</v>
      </c>
      <c r="G461" s="15">
        <f t="shared" si="71"/>
        <v>0</v>
      </c>
      <c r="H461" s="16">
        <f t="shared" si="72"/>
        <v>0</v>
      </c>
      <c r="I461" s="16">
        <f t="shared" si="73"/>
        <v>0</v>
      </c>
      <c r="J461" s="16">
        <f t="shared" si="74"/>
        <v>0</v>
      </c>
      <c r="K461" s="16">
        <f t="shared" si="75"/>
        <v>0</v>
      </c>
    </row>
    <row r="462" spans="2:11" x14ac:dyDescent="0.25">
      <c r="B462" s="153"/>
      <c r="C462" s="13" t="s">
        <v>170</v>
      </c>
      <c r="D462" s="14"/>
      <c r="E462" s="15"/>
      <c r="F462" s="16">
        <f t="shared" si="70"/>
        <v>0</v>
      </c>
      <c r="G462" s="15">
        <f t="shared" si="71"/>
        <v>0</v>
      </c>
      <c r="H462" s="16">
        <f t="shared" si="72"/>
        <v>0</v>
      </c>
      <c r="I462" s="16">
        <f t="shared" si="73"/>
        <v>0</v>
      </c>
      <c r="J462" s="16">
        <f t="shared" si="74"/>
        <v>0</v>
      </c>
      <c r="K462" s="16">
        <f t="shared" si="75"/>
        <v>0</v>
      </c>
    </row>
    <row r="463" spans="2:11" x14ac:dyDescent="0.25">
      <c r="B463" s="153"/>
      <c r="C463" s="13" t="s">
        <v>163</v>
      </c>
      <c r="D463" s="14" t="s">
        <v>223</v>
      </c>
      <c r="E463" s="15">
        <v>76</v>
      </c>
      <c r="F463" s="16">
        <f t="shared" si="70"/>
        <v>12.666666666666666</v>
      </c>
      <c r="G463" s="15">
        <f t="shared" si="71"/>
        <v>12.666666666666666</v>
      </c>
      <c r="H463" s="16">
        <f t="shared" si="72"/>
        <v>12.666666666666666</v>
      </c>
      <c r="I463" s="16">
        <f t="shared" si="73"/>
        <v>12.666666666666666</v>
      </c>
      <c r="J463" s="16">
        <f t="shared" si="74"/>
        <v>12.666666666666666</v>
      </c>
      <c r="K463" s="16">
        <f t="shared" si="75"/>
        <v>12.666666666666666</v>
      </c>
    </row>
    <row r="464" spans="2:11" x14ac:dyDescent="0.25">
      <c r="B464" s="153"/>
      <c r="C464" s="17" t="s">
        <v>163</v>
      </c>
      <c r="D464" s="14" t="s">
        <v>229</v>
      </c>
      <c r="E464" s="15">
        <v>0</v>
      </c>
      <c r="F464" s="16">
        <f t="shared" si="70"/>
        <v>0</v>
      </c>
      <c r="G464" s="15">
        <f t="shared" si="71"/>
        <v>0</v>
      </c>
      <c r="H464" s="16">
        <f t="shared" si="72"/>
        <v>0</v>
      </c>
      <c r="I464" s="16">
        <f t="shared" si="73"/>
        <v>0</v>
      </c>
      <c r="J464" s="16">
        <f t="shared" si="74"/>
        <v>0</v>
      </c>
      <c r="K464" s="16">
        <f t="shared" si="75"/>
        <v>0</v>
      </c>
    </row>
    <row r="465" spans="2:13" x14ac:dyDescent="0.25">
      <c r="B465" s="153"/>
      <c r="C465" s="17"/>
      <c r="D465" s="18"/>
      <c r="E465" s="15"/>
      <c r="F465" s="16">
        <f t="shared" si="70"/>
        <v>0</v>
      </c>
      <c r="G465" s="15">
        <f t="shared" si="71"/>
        <v>0</v>
      </c>
      <c r="H465" s="16">
        <f t="shared" si="72"/>
        <v>0</v>
      </c>
      <c r="I465" s="16">
        <f t="shared" si="73"/>
        <v>0</v>
      </c>
      <c r="J465" s="16">
        <f t="shared" si="74"/>
        <v>0</v>
      </c>
      <c r="K465" s="16">
        <f t="shared" si="75"/>
        <v>0</v>
      </c>
    </row>
    <row r="466" spans="2:13" x14ac:dyDescent="0.25">
      <c r="B466" s="153"/>
      <c r="C466" s="2" t="s">
        <v>160</v>
      </c>
      <c r="D466" s="4" t="s">
        <v>174</v>
      </c>
      <c r="E466" s="19">
        <v>500</v>
      </c>
      <c r="F466" s="16">
        <f t="shared" si="70"/>
        <v>83.333333333333329</v>
      </c>
      <c r="G466" s="15">
        <f t="shared" si="71"/>
        <v>83.333333333333329</v>
      </c>
      <c r="H466" s="16">
        <f t="shared" si="72"/>
        <v>83.333333333333329</v>
      </c>
      <c r="I466" s="16">
        <f t="shared" si="73"/>
        <v>83.333333333333329</v>
      </c>
      <c r="J466" s="16">
        <f t="shared" si="74"/>
        <v>83.333333333333329</v>
      </c>
      <c r="K466" s="16">
        <f t="shared" si="75"/>
        <v>83.333333333333329</v>
      </c>
      <c r="L466" s="26" t="s">
        <v>175</v>
      </c>
    </row>
    <row r="467" spans="2:13" x14ac:dyDescent="0.25">
      <c r="B467" s="153"/>
      <c r="C467" s="2"/>
      <c r="D467" s="4" t="s">
        <v>26</v>
      </c>
      <c r="E467" s="19">
        <v>0</v>
      </c>
      <c r="F467" s="16">
        <f t="shared" si="70"/>
        <v>0</v>
      </c>
      <c r="G467" s="15">
        <f t="shared" si="71"/>
        <v>0</v>
      </c>
      <c r="H467" s="16">
        <f t="shared" si="72"/>
        <v>0</v>
      </c>
      <c r="I467" s="16">
        <f t="shared" si="73"/>
        <v>0</v>
      </c>
      <c r="J467" s="16">
        <f t="shared" si="74"/>
        <v>0</v>
      </c>
      <c r="K467" s="16">
        <f t="shared" si="75"/>
        <v>0</v>
      </c>
      <c r="L467" s="27">
        <f>SUM(E450:E467)</f>
        <v>2132.7799999999997</v>
      </c>
    </row>
    <row r="468" spans="2:13" x14ac:dyDescent="0.25">
      <c r="B468" s="153"/>
      <c r="C468" s="20" t="s">
        <v>176</v>
      </c>
      <c r="D468" s="4"/>
      <c r="E468" s="155">
        <f>SUM(F468:K468)/6.2376</f>
        <v>0.28208138119681986</v>
      </c>
      <c r="F468" s="21">
        <f t="shared" ref="F468:K468" si="76">$L470*1/F448</f>
        <v>0.32913271604938271</v>
      </c>
      <c r="G468" s="21">
        <f t="shared" si="76"/>
        <v>0.31345972957084067</v>
      </c>
      <c r="H468" s="21">
        <f t="shared" si="76"/>
        <v>0.23105139771806438</v>
      </c>
      <c r="I468" s="21">
        <f t="shared" si="76"/>
        <v>0.26121644130903388</v>
      </c>
      <c r="J468" s="21">
        <f t="shared" si="76"/>
        <v>0.22969127944670245</v>
      </c>
      <c r="K468" s="21">
        <f t="shared" si="76"/>
        <v>0.39495925925925923</v>
      </c>
    </row>
    <row r="469" spans="2:13" x14ac:dyDescent="0.25">
      <c r="B469" s="153"/>
      <c r="C469" s="20" t="s">
        <v>177</v>
      </c>
      <c r="D469" s="4"/>
      <c r="E469" s="155"/>
      <c r="F469" s="22">
        <f t="shared" ref="F469:K469" si="77">$E468</f>
        <v>0.28208138119681986</v>
      </c>
      <c r="G469" s="22">
        <f t="shared" si="77"/>
        <v>0.28208138119681986</v>
      </c>
      <c r="H469" s="22">
        <f t="shared" si="77"/>
        <v>0.28208138119681986</v>
      </c>
      <c r="I469" s="22">
        <f t="shared" si="77"/>
        <v>0.28208138119681986</v>
      </c>
      <c r="J469" s="22">
        <f t="shared" si="77"/>
        <v>0.28208138119681986</v>
      </c>
      <c r="K469" s="22">
        <f t="shared" si="77"/>
        <v>0.28208138119681986</v>
      </c>
      <c r="L469" s="22"/>
    </row>
    <row r="470" spans="2:13" x14ac:dyDescent="0.25">
      <c r="B470" s="154" t="s">
        <v>178</v>
      </c>
      <c r="C470" s="154"/>
      <c r="D470" s="154"/>
      <c r="E470" s="154"/>
      <c r="F470" s="23" t="s">
        <v>154</v>
      </c>
      <c r="G470" s="23" t="s">
        <v>155</v>
      </c>
      <c r="H470" s="23" t="s">
        <v>110</v>
      </c>
      <c r="I470" s="23" t="s">
        <v>194</v>
      </c>
      <c r="J470" s="28" t="s">
        <v>157</v>
      </c>
      <c r="K470" s="28" t="s">
        <v>230</v>
      </c>
      <c r="L470" s="29">
        <f>L467/6</f>
        <v>355.46333333333331</v>
      </c>
      <c r="M470" s="30" t="s">
        <v>179</v>
      </c>
    </row>
    <row r="471" spans="2:13" x14ac:dyDescent="0.25">
      <c r="B471" s="154"/>
      <c r="C471" s="154"/>
      <c r="D471" s="154"/>
      <c r="E471" s="154"/>
      <c r="F471" s="24">
        <f>F448*$E468+(K471*0.02)</f>
        <v>309.26371344889674</v>
      </c>
      <c r="G471" s="24">
        <f>G448*$E468+(K471*0.02)</f>
        <v>324.49610803352499</v>
      </c>
      <c r="H471" s="24">
        <f>H448*$E468+(K471*0.02)</f>
        <v>438.58674347239076</v>
      </c>
      <c r="I471" s="24">
        <f>I448*$E468+(0.02*K471)</f>
        <v>388.47216528896371</v>
      </c>
      <c r="J471" s="24">
        <f>J448*$E468+(K471*0.02)</f>
        <v>441.15650485509377</v>
      </c>
      <c r="K471" s="24">
        <f>(E468*0.90908)*K448</f>
        <v>230.7910878165645</v>
      </c>
      <c r="L471" s="31" t="s">
        <v>180</v>
      </c>
      <c r="M471" s="32">
        <f>SUM(F471:K471)</f>
        <v>2132.7663229154346</v>
      </c>
    </row>
    <row r="472" spans="2:13" x14ac:dyDescent="0.25">
      <c r="K472" s="38"/>
    </row>
    <row r="473" spans="2:13" x14ac:dyDescent="0.25">
      <c r="F473">
        <v>300</v>
      </c>
      <c r="G473">
        <v>200</v>
      </c>
      <c r="I473">
        <v>300</v>
      </c>
      <c r="K473">
        <v>65.760000000000005</v>
      </c>
      <c r="L473" s="33" t="s">
        <v>181</v>
      </c>
      <c r="M473" s="34">
        <f>L467-M471</f>
        <v>1.3677084565188125E-2</v>
      </c>
    </row>
    <row r="474" spans="2:13" x14ac:dyDescent="0.25">
      <c r="K474" s="38">
        <f>K471-K473</f>
        <v>165.03108781656448</v>
      </c>
    </row>
    <row r="475" spans="2:13" x14ac:dyDescent="0.25">
      <c r="I475" s="39"/>
    </row>
    <row r="476" spans="2:13" x14ac:dyDescent="0.25">
      <c r="B476" s="1" t="s">
        <v>148</v>
      </c>
      <c r="C476" s="2" t="s">
        <v>149</v>
      </c>
      <c r="D476" s="2" t="s">
        <v>150</v>
      </c>
      <c r="E476" s="2"/>
      <c r="F476" s="43" t="s">
        <v>151</v>
      </c>
      <c r="G476" s="43"/>
      <c r="H476" s="43"/>
      <c r="I476" s="43"/>
      <c r="J476" s="43"/>
      <c r="K476" s="43"/>
    </row>
    <row r="477" spans="2:13" x14ac:dyDescent="0.25">
      <c r="B477" s="3" t="s">
        <v>8</v>
      </c>
      <c r="C477" s="4"/>
      <c r="D477" s="4" t="s">
        <v>152</v>
      </c>
      <c r="E477" s="4" t="s">
        <v>153</v>
      </c>
      <c r="F477" s="5" t="s">
        <v>154</v>
      </c>
      <c r="G477" s="5" t="s">
        <v>155</v>
      </c>
      <c r="H477" s="5" t="s">
        <v>110</v>
      </c>
      <c r="I477" s="5" t="s">
        <v>194</v>
      </c>
      <c r="J477" s="25" t="s">
        <v>157</v>
      </c>
      <c r="K477" s="25" t="s">
        <v>226</v>
      </c>
    </row>
    <row r="478" spans="2:13" ht="15.75" x14ac:dyDescent="0.25">
      <c r="B478" s="6">
        <v>2017</v>
      </c>
      <c r="C478" s="2"/>
      <c r="D478" s="2"/>
      <c r="E478" s="2"/>
      <c r="F478" s="2"/>
      <c r="G478" s="2"/>
      <c r="H478" s="2"/>
      <c r="I478" s="2"/>
      <c r="J478" s="2"/>
      <c r="K478" s="2"/>
    </row>
    <row r="479" spans="2:13" ht="15.75" x14ac:dyDescent="0.25">
      <c r="B479" s="7" t="s">
        <v>26</v>
      </c>
      <c r="C479" s="2"/>
      <c r="D479" s="8" t="s">
        <v>158</v>
      </c>
      <c r="E479" s="2"/>
      <c r="F479" s="9">
        <v>1080</v>
      </c>
      <c r="G479" s="9">
        <v>1134</v>
      </c>
      <c r="H479" s="9">
        <v>1538.46</v>
      </c>
      <c r="I479" s="9">
        <v>1360.8</v>
      </c>
      <c r="J479" s="9">
        <v>1547.57</v>
      </c>
      <c r="K479" s="9">
        <v>900</v>
      </c>
    </row>
    <row r="480" spans="2:13" ht="15.75" x14ac:dyDescent="0.25">
      <c r="B480" s="10"/>
      <c r="C480" s="4"/>
      <c r="D480" s="11"/>
      <c r="E480" s="4"/>
      <c r="F480" s="12"/>
      <c r="G480" s="12"/>
      <c r="H480" s="12"/>
      <c r="I480" s="12"/>
      <c r="J480" s="12"/>
      <c r="K480" s="12"/>
    </row>
    <row r="481" spans="2:11" x14ac:dyDescent="0.25">
      <c r="B481" s="153" t="s">
        <v>159</v>
      </c>
      <c r="C481" s="13" t="s">
        <v>160</v>
      </c>
      <c r="D481" s="14" t="s">
        <v>161</v>
      </c>
      <c r="E481" s="15">
        <v>400</v>
      </c>
      <c r="F481" s="16">
        <f t="shared" ref="F481:F498" si="78">$E481/6</f>
        <v>66.666666666666671</v>
      </c>
      <c r="G481" s="15">
        <f t="shared" ref="G481:G498" si="79">$E481/6</f>
        <v>66.666666666666671</v>
      </c>
      <c r="H481" s="16">
        <f t="shared" ref="H481:H498" si="80">$E481/6</f>
        <v>66.666666666666671</v>
      </c>
      <c r="I481" s="16">
        <f t="shared" ref="I481:I498" si="81">$E481/6</f>
        <v>66.666666666666671</v>
      </c>
      <c r="J481" s="16">
        <f t="shared" ref="J481:J498" si="82">$E481/6</f>
        <v>66.666666666666671</v>
      </c>
      <c r="K481" s="16">
        <f t="shared" ref="K481:K498" si="83">$E481/6</f>
        <v>66.666666666666671</v>
      </c>
    </row>
    <row r="482" spans="2:11" x14ac:dyDescent="0.25">
      <c r="B482" s="153"/>
      <c r="C482" s="13" t="s">
        <v>160</v>
      </c>
      <c r="D482" s="14" t="s">
        <v>20</v>
      </c>
      <c r="E482" s="15">
        <v>111.12</v>
      </c>
      <c r="F482" s="16">
        <f t="shared" si="78"/>
        <v>18.52</v>
      </c>
      <c r="G482" s="15">
        <f t="shared" si="79"/>
        <v>18.52</v>
      </c>
      <c r="H482" s="16">
        <f t="shared" si="80"/>
        <v>18.52</v>
      </c>
      <c r="I482" s="16">
        <f t="shared" si="81"/>
        <v>18.52</v>
      </c>
      <c r="J482" s="16">
        <f t="shared" si="82"/>
        <v>18.52</v>
      </c>
      <c r="K482" s="16">
        <f t="shared" si="83"/>
        <v>18.52</v>
      </c>
    </row>
    <row r="483" spans="2:11" x14ac:dyDescent="0.25">
      <c r="B483" s="153"/>
      <c r="C483" s="13" t="s">
        <v>160</v>
      </c>
      <c r="D483" s="14" t="s">
        <v>21</v>
      </c>
      <c r="E483" s="15">
        <v>150.66999999999999</v>
      </c>
      <c r="F483" s="16">
        <f t="shared" si="78"/>
        <v>25.111666666666665</v>
      </c>
      <c r="G483" s="15">
        <f t="shared" si="79"/>
        <v>25.111666666666665</v>
      </c>
      <c r="H483" s="16">
        <f t="shared" si="80"/>
        <v>25.111666666666665</v>
      </c>
      <c r="I483" s="16">
        <f t="shared" si="81"/>
        <v>25.111666666666665</v>
      </c>
      <c r="J483" s="16">
        <f t="shared" si="82"/>
        <v>25.111666666666665</v>
      </c>
      <c r="K483" s="16">
        <f t="shared" si="83"/>
        <v>25.111666666666665</v>
      </c>
    </row>
    <row r="484" spans="2:11" x14ac:dyDescent="0.25">
      <c r="B484" s="153"/>
      <c r="C484" s="13" t="s">
        <v>160</v>
      </c>
      <c r="D484" s="14" t="s">
        <v>162</v>
      </c>
      <c r="E484" s="15">
        <v>131.88</v>
      </c>
      <c r="F484" s="16">
        <f t="shared" si="78"/>
        <v>21.98</v>
      </c>
      <c r="G484" s="15">
        <f t="shared" si="79"/>
        <v>21.98</v>
      </c>
      <c r="H484" s="16">
        <f t="shared" si="80"/>
        <v>21.98</v>
      </c>
      <c r="I484" s="16">
        <f t="shared" si="81"/>
        <v>21.98</v>
      </c>
      <c r="J484" s="16">
        <f t="shared" si="82"/>
        <v>21.98</v>
      </c>
      <c r="K484" s="16">
        <f t="shared" si="83"/>
        <v>21.98</v>
      </c>
    </row>
    <row r="485" spans="2:11" x14ac:dyDescent="0.25">
      <c r="B485" s="153"/>
      <c r="C485" s="13" t="s">
        <v>163</v>
      </c>
      <c r="D485" s="14"/>
      <c r="E485" s="15">
        <v>0</v>
      </c>
      <c r="F485" s="16">
        <f t="shared" si="78"/>
        <v>0</v>
      </c>
      <c r="G485" s="15">
        <f t="shared" si="79"/>
        <v>0</v>
      </c>
      <c r="H485" s="16">
        <f t="shared" si="80"/>
        <v>0</v>
      </c>
      <c r="I485" s="16">
        <f t="shared" si="81"/>
        <v>0</v>
      </c>
      <c r="J485" s="16">
        <f t="shared" si="82"/>
        <v>0</v>
      </c>
      <c r="K485" s="16">
        <f t="shared" si="83"/>
        <v>0</v>
      </c>
    </row>
    <row r="486" spans="2:11" x14ac:dyDescent="0.25">
      <c r="B486" s="153"/>
      <c r="C486" s="13" t="s">
        <v>163</v>
      </c>
      <c r="D486" s="14" t="s">
        <v>164</v>
      </c>
      <c r="E486" s="15">
        <v>100.9</v>
      </c>
      <c r="F486" s="16">
        <f t="shared" si="78"/>
        <v>16.816666666666666</v>
      </c>
      <c r="G486" s="15">
        <f t="shared" si="79"/>
        <v>16.816666666666666</v>
      </c>
      <c r="H486" s="16">
        <f t="shared" si="80"/>
        <v>16.816666666666666</v>
      </c>
      <c r="I486" s="16">
        <f t="shared" si="81"/>
        <v>16.816666666666666</v>
      </c>
      <c r="J486" s="16">
        <f t="shared" si="82"/>
        <v>16.816666666666666</v>
      </c>
      <c r="K486" s="16">
        <f t="shared" si="83"/>
        <v>16.816666666666666</v>
      </c>
    </row>
    <row r="487" spans="2:11" x14ac:dyDescent="0.25">
      <c r="B487" s="153"/>
      <c r="C487" s="13" t="s">
        <v>160</v>
      </c>
      <c r="D487" s="14" t="s">
        <v>165</v>
      </c>
      <c r="E487" s="15">
        <v>600</v>
      </c>
      <c r="F487" s="16">
        <f t="shared" si="78"/>
        <v>100</v>
      </c>
      <c r="G487" s="15">
        <f t="shared" si="79"/>
        <v>100</v>
      </c>
      <c r="H487" s="16">
        <f t="shared" si="80"/>
        <v>100</v>
      </c>
      <c r="I487" s="16">
        <f t="shared" si="81"/>
        <v>100</v>
      </c>
      <c r="J487" s="16">
        <f t="shared" si="82"/>
        <v>100</v>
      </c>
      <c r="K487" s="16">
        <f t="shared" si="83"/>
        <v>100</v>
      </c>
    </row>
    <row r="488" spans="2:11" x14ac:dyDescent="0.25">
      <c r="B488" s="153"/>
      <c r="C488" s="13" t="s">
        <v>166</v>
      </c>
      <c r="D488" s="14" t="s">
        <v>167</v>
      </c>
      <c r="E488" s="15">
        <v>0</v>
      </c>
      <c r="F488" s="16">
        <f t="shared" si="78"/>
        <v>0</v>
      </c>
      <c r="G488" s="15">
        <f t="shared" si="79"/>
        <v>0</v>
      </c>
      <c r="H488" s="16">
        <f t="shared" si="80"/>
        <v>0</v>
      </c>
      <c r="I488" s="16">
        <f t="shared" si="81"/>
        <v>0</v>
      </c>
      <c r="J488" s="16">
        <f t="shared" si="82"/>
        <v>0</v>
      </c>
      <c r="K488" s="16">
        <f t="shared" si="83"/>
        <v>0</v>
      </c>
    </row>
    <row r="489" spans="2:11" x14ac:dyDescent="0.25">
      <c r="B489" s="153"/>
      <c r="C489" s="13" t="s">
        <v>163</v>
      </c>
      <c r="D489" s="14" t="s">
        <v>227</v>
      </c>
      <c r="E489" s="15">
        <v>60</v>
      </c>
      <c r="F489" s="16">
        <f t="shared" si="78"/>
        <v>10</v>
      </c>
      <c r="G489" s="15">
        <f t="shared" si="79"/>
        <v>10</v>
      </c>
      <c r="H489" s="16">
        <f t="shared" si="80"/>
        <v>10</v>
      </c>
      <c r="I489" s="16">
        <f t="shared" si="81"/>
        <v>10</v>
      </c>
      <c r="J489" s="16">
        <f t="shared" si="82"/>
        <v>10</v>
      </c>
      <c r="K489" s="16">
        <f t="shared" si="83"/>
        <v>10</v>
      </c>
    </row>
    <row r="490" spans="2:11" x14ac:dyDescent="0.25">
      <c r="B490" s="153"/>
      <c r="C490" s="13" t="s">
        <v>168</v>
      </c>
      <c r="D490" s="14" t="s">
        <v>169</v>
      </c>
      <c r="E490" s="15"/>
      <c r="F490" s="16">
        <f t="shared" si="78"/>
        <v>0</v>
      </c>
      <c r="G490" s="15">
        <f t="shared" si="79"/>
        <v>0</v>
      </c>
      <c r="H490" s="16">
        <f t="shared" si="80"/>
        <v>0</v>
      </c>
      <c r="I490" s="16">
        <f t="shared" si="81"/>
        <v>0</v>
      </c>
      <c r="J490" s="16">
        <f t="shared" si="82"/>
        <v>0</v>
      </c>
      <c r="K490" s="16">
        <f t="shared" si="83"/>
        <v>0</v>
      </c>
    </row>
    <row r="491" spans="2:11" x14ac:dyDescent="0.25">
      <c r="B491" s="153"/>
      <c r="C491" s="13" t="s">
        <v>163</v>
      </c>
      <c r="D491" s="14" t="s">
        <v>231</v>
      </c>
      <c r="E491" s="15">
        <v>54.06</v>
      </c>
      <c r="F491" s="16">
        <f t="shared" si="78"/>
        <v>9.01</v>
      </c>
      <c r="G491" s="15">
        <f t="shared" si="79"/>
        <v>9.01</v>
      </c>
      <c r="H491" s="16">
        <f t="shared" si="80"/>
        <v>9.01</v>
      </c>
      <c r="I491" s="16">
        <f t="shared" si="81"/>
        <v>9.01</v>
      </c>
      <c r="J491" s="16">
        <f t="shared" si="82"/>
        <v>9.01</v>
      </c>
      <c r="K491" s="16">
        <f t="shared" si="83"/>
        <v>9.01</v>
      </c>
    </row>
    <row r="492" spans="2:11" x14ac:dyDescent="0.25">
      <c r="B492" s="153"/>
      <c r="C492" s="13" t="s">
        <v>170</v>
      </c>
      <c r="D492" s="14"/>
      <c r="E492" s="15"/>
      <c r="F492" s="16">
        <f t="shared" si="78"/>
        <v>0</v>
      </c>
      <c r="G492" s="15">
        <f t="shared" si="79"/>
        <v>0</v>
      </c>
      <c r="H492" s="16">
        <f t="shared" si="80"/>
        <v>0</v>
      </c>
      <c r="I492" s="16">
        <f t="shared" si="81"/>
        <v>0</v>
      </c>
      <c r="J492" s="16">
        <f t="shared" si="82"/>
        <v>0</v>
      </c>
      <c r="K492" s="16">
        <f t="shared" si="83"/>
        <v>0</v>
      </c>
    </row>
    <row r="493" spans="2:11" x14ac:dyDescent="0.25">
      <c r="B493" s="153"/>
      <c r="C493" s="13" t="s">
        <v>170</v>
      </c>
      <c r="D493" s="14"/>
      <c r="E493" s="15"/>
      <c r="F493" s="16">
        <f t="shared" si="78"/>
        <v>0</v>
      </c>
      <c r="G493" s="15">
        <f t="shared" si="79"/>
        <v>0</v>
      </c>
      <c r="H493" s="16">
        <f t="shared" si="80"/>
        <v>0</v>
      </c>
      <c r="I493" s="16">
        <f t="shared" si="81"/>
        <v>0</v>
      </c>
      <c r="J493" s="16">
        <f t="shared" si="82"/>
        <v>0</v>
      </c>
      <c r="K493" s="16">
        <f t="shared" si="83"/>
        <v>0</v>
      </c>
    </row>
    <row r="494" spans="2:11" x14ac:dyDescent="0.25">
      <c r="B494" s="153"/>
      <c r="C494" s="13" t="s">
        <v>163</v>
      </c>
      <c r="D494" s="14" t="s">
        <v>223</v>
      </c>
      <c r="E494" s="15">
        <v>100</v>
      </c>
      <c r="F494" s="16">
        <f t="shared" si="78"/>
        <v>16.666666666666668</v>
      </c>
      <c r="G494" s="15">
        <f t="shared" si="79"/>
        <v>16.666666666666668</v>
      </c>
      <c r="H494" s="16">
        <f t="shared" si="80"/>
        <v>16.666666666666668</v>
      </c>
      <c r="I494" s="16">
        <f t="shared" si="81"/>
        <v>16.666666666666668</v>
      </c>
      <c r="J494" s="16">
        <f t="shared" si="82"/>
        <v>16.666666666666668</v>
      </c>
      <c r="K494" s="16">
        <f t="shared" si="83"/>
        <v>16.666666666666668</v>
      </c>
    </row>
    <row r="495" spans="2:11" x14ac:dyDescent="0.25">
      <c r="B495" s="153"/>
      <c r="C495" s="17" t="s">
        <v>163</v>
      </c>
      <c r="D495" s="14" t="s">
        <v>229</v>
      </c>
      <c r="E495" s="15">
        <v>0</v>
      </c>
      <c r="F495" s="16">
        <f t="shared" si="78"/>
        <v>0</v>
      </c>
      <c r="G495" s="15">
        <f t="shared" si="79"/>
        <v>0</v>
      </c>
      <c r="H495" s="16">
        <f t="shared" si="80"/>
        <v>0</v>
      </c>
      <c r="I495" s="16">
        <f t="shared" si="81"/>
        <v>0</v>
      </c>
      <c r="J495" s="16">
        <f t="shared" si="82"/>
        <v>0</v>
      </c>
      <c r="K495" s="16">
        <f t="shared" si="83"/>
        <v>0</v>
      </c>
    </row>
    <row r="496" spans="2:11" x14ac:dyDescent="0.25">
      <c r="B496" s="153"/>
      <c r="C496" s="17"/>
      <c r="D496" s="18"/>
      <c r="E496" s="15"/>
      <c r="F496" s="16">
        <f t="shared" si="78"/>
        <v>0</v>
      </c>
      <c r="G496" s="15">
        <f t="shared" si="79"/>
        <v>0</v>
      </c>
      <c r="H496" s="16">
        <f t="shared" si="80"/>
        <v>0</v>
      </c>
      <c r="I496" s="16">
        <f t="shared" si="81"/>
        <v>0</v>
      </c>
      <c r="J496" s="16">
        <f t="shared" si="82"/>
        <v>0</v>
      </c>
      <c r="K496" s="16">
        <f t="shared" si="83"/>
        <v>0</v>
      </c>
    </row>
    <row r="497" spans="2:13" x14ac:dyDescent="0.25">
      <c r="B497" s="153"/>
      <c r="C497" s="2" t="s">
        <v>160</v>
      </c>
      <c r="D497" s="4" t="s">
        <v>174</v>
      </c>
      <c r="E497" s="19">
        <v>0</v>
      </c>
      <c r="F497" s="16">
        <f t="shared" si="78"/>
        <v>0</v>
      </c>
      <c r="G497" s="15">
        <f t="shared" si="79"/>
        <v>0</v>
      </c>
      <c r="H497" s="16">
        <f t="shared" si="80"/>
        <v>0</v>
      </c>
      <c r="I497" s="16">
        <f t="shared" si="81"/>
        <v>0</v>
      </c>
      <c r="J497" s="16">
        <f t="shared" si="82"/>
        <v>0</v>
      </c>
      <c r="K497" s="16">
        <f t="shared" si="83"/>
        <v>0</v>
      </c>
      <c r="L497" s="26" t="s">
        <v>175</v>
      </c>
    </row>
    <row r="498" spans="2:13" x14ac:dyDescent="0.25">
      <c r="B498" s="153"/>
      <c r="C498" s="2"/>
      <c r="D498" s="4" t="s">
        <v>26</v>
      </c>
      <c r="E498" s="19">
        <v>0</v>
      </c>
      <c r="F498" s="16">
        <f t="shared" si="78"/>
        <v>0</v>
      </c>
      <c r="G498" s="15">
        <f t="shared" si="79"/>
        <v>0</v>
      </c>
      <c r="H498" s="16">
        <f t="shared" si="80"/>
        <v>0</v>
      </c>
      <c r="I498" s="16">
        <f t="shared" si="81"/>
        <v>0</v>
      </c>
      <c r="J498" s="16">
        <f t="shared" si="82"/>
        <v>0</v>
      </c>
      <c r="K498" s="16">
        <f t="shared" si="83"/>
        <v>0</v>
      </c>
      <c r="L498" s="27">
        <f>SUM(E481:E498)</f>
        <v>1708.6299999999999</v>
      </c>
    </row>
    <row r="499" spans="2:13" x14ac:dyDescent="0.25">
      <c r="B499" s="153"/>
      <c r="C499" s="20" t="s">
        <v>176</v>
      </c>
      <c r="D499" s="4"/>
      <c r="E499" s="155">
        <f>SUM(F499:K499)/6.23756</f>
        <v>0.22598477158054345</v>
      </c>
      <c r="F499" s="21">
        <f t="shared" ref="F499:K499" si="84">$L501*1/F479</f>
        <v>0.26367746913580248</v>
      </c>
      <c r="G499" s="21">
        <f t="shared" si="84"/>
        <v>0.2511213991769547</v>
      </c>
      <c r="H499" s="21">
        <f t="shared" si="84"/>
        <v>0.18510176843510176</v>
      </c>
      <c r="I499" s="21">
        <f t="shared" si="84"/>
        <v>0.20926783264746227</v>
      </c>
      <c r="J499" s="21">
        <f t="shared" si="84"/>
        <v>0.18401213946165063</v>
      </c>
      <c r="K499" s="21">
        <f t="shared" si="84"/>
        <v>0.31641296296296295</v>
      </c>
    </row>
    <row r="500" spans="2:13" x14ac:dyDescent="0.25">
      <c r="B500" s="153"/>
      <c r="C500" s="20" t="s">
        <v>177</v>
      </c>
      <c r="D500" s="4"/>
      <c r="E500" s="155"/>
      <c r="F500" s="22">
        <f t="shared" ref="F500:K500" si="85">$E499</f>
        <v>0.22598477158054345</v>
      </c>
      <c r="G500" s="22">
        <f t="shared" si="85"/>
        <v>0.22598477158054345</v>
      </c>
      <c r="H500" s="22">
        <f t="shared" si="85"/>
        <v>0.22598477158054345</v>
      </c>
      <c r="I500" s="22">
        <f t="shared" si="85"/>
        <v>0.22598477158054345</v>
      </c>
      <c r="J500" s="22">
        <f t="shared" si="85"/>
        <v>0.22598477158054345</v>
      </c>
      <c r="K500" s="22">
        <f t="shared" si="85"/>
        <v>0.22598477158054345</v>
      </c>
      <c r="L500" s="22"/>
    </row>
    <row r="501" spans="2:13" x14ac:dyDescent="0.25">
      <c r="B501" s="154" t="s">
        <v>178</v>
      </c>
      <c r="C501" s="154"/>
      <c r="D501" s="154"/>
      <c r="E501" s="154"/>
      <c r="F501" s="23" t="s">
        <v>154</v>
      </c>
      <c r="G501" s="23" t="s">
        <v>155</v>
      </c>
      <c r="H501" s="23" t="s">
        <v>110</v>
      </c>
      <c r="I501" s="23" t="s">
        <v>194</v>
      </c>
      <c r="J501" s="28" t="s">
        <v>157</v>
      </c>
      <c r="K501" s="28" t="s">
        <v>230</v>
      </c>
      <c r="L501" s="29">
        <f>L498/6</f>
        <v>284.77166666666665</v>
      </c>
      <c r="M501" s="30" t="s">
        <v>179</v>
      </c>
    </row>
    <row r="502" spans="2:13" x14ac:dyDescent="0.25">
      <c r="B502" s="154"/>
      <c r="C502" s="154"/>
      <c r="D502" s="154"/>
      <c r="E502" s="154"/>
      <c r="F502" s="24">
        <f>F479*$E499+(K502*0.02)</f>
        <v>247.76144155765886</v>
      </c>
      <c r="G502" s="24">
        <f>G479*$E499+(K502*0.02)</f>
        <v>259.96461922300824</v>
      </c>
      <c r="H502" s="24">
        <f>H479*$E499+(K502*0.02)</f>
        <v>351.36641993647481</v>
      </c>
      <c r="I502" s="24">
        <f>I479*$E499+(0.02*K502)</f>
        <v>311.21796541747545</v>
      </c>
      <c r="J502" s="24">
        <f>J479*$E499+(K502*0.02)</f>
        <v>353.42514120557354</v>
      </c>
      <c r="K502" s="24">
        <f>(E499*0.90908)*K479</f>
        <v>184.89441253359641</v>
      </c>
      <c r="L502" s="31" t="s">
        <v>180</v>
      </c>
      <c r="M502" s="32">
        <f>SUM(F502:K502)</f>
        <v>1708.6299998737873</v>
      </c>
    </row>
    <row r="503" spans="2:13" x14ac:dyDescent="0.25">
      <c r="K503" s="38"/>
    </row>
    <row r="504" spans="2:13" x14ac:dyDescent="0.25">
      <c r="L504" s="33" t="s">
        <v>181</v>
      </c>
      <c r="M504" s="34">
        <f>L498-M502</f>
        <v>1.2621262612810824E-7</v>
      </c>
    </row>
    <row r="505" spans="2:13" x14ac:dyDescent="0.25">
      <c r="K505" s="38"/>
    </row>
    <row r="508" spans="2:13" x14ac:dyDescent="0.25">
      <c r="B508" s="1" t="s">
        <v>148</v>
      </c>
      <c r="C508" s="2" t="s">
        <v>149</v>
      </c>
      <c r="D508" s="2" t="s">
        <v>150</v>
      </c>
      <c r="E508" s="2"/>
      <c r="F508" s="43" t="s">
        <v>151</v>
      </c>
      <c r="G508" s="43"/>
      <c r="H508" s="43"/>
      <c r="I508" s="43"/>
      <c r="J508" s="43"/>
      <c r="K508" s="43"/>
    </row>
    <row r="509" spans="2:13" x14ac:dyDescent="0.25">
      <c r="B509" s="3" t="s">
        <v>9</v>
      </c>
      <c r="C509" s="4"/>
      <c r="D509" s="4" t="s">
        <v>152</v>
      </c>
      <c r="E509" s="4" t="s">
        <v>153</v>
      </c>
      <c r="F509" s="5" t="s">
        <v>154</v>
      </c>
      <c r="G509" s="5" t="s">
        <v>155</v>
      </c>
      <c r="H509" s="5" t="s">
        <v>110</v>
      </c>
      <c r="I509" s="5" t="s">
        <v>194</v>
      </c>
      <c r="J509" s="25" t="s">
        <v>157</v>
      </c>
      <c r="K509" s="25" t="s">
        <v>226</v>
      </c>
    </row>
    <row r="510" spans="2:13" ht="15.75" x14ac:dyDescent="0.25">
      <c r="B510" s="6">
        <v>2017</v>
      </c>
      <c r="C510" s="2"/>
      <c r="D510" s="2"/>
      <c r="E510" s="2"/>
      <c r="F510" s="2"/>
      <c r="G510" s="2"/>
      <c r="H510" s="2"/>
      <c r="I510" s="2"/>
      <c r="J510" s="2"/>
      <c r="K510" s="2"/>
    </row>
    <row r="511" spans="2:13" ht="15.75" x14ac:dyDescent="0.25">
      <c r="B511" s="7" t="s">
        <v>26</v>
      </c>
      <c r="C511" s="2"/>
      <c r="D511" s="8" t="s">
        <v>158</v>
      </c>
      <c r="E511" s="2"/>
      <c r="F511" s="9">
        <v>1080</v>
      </c>
      <c r="G511" s="9">
        <v>1134</v>
      </c>
      <c r="H511" s="9">
        <v>1538.46</v>
      </c>
      <c r="I511" s="9">
        <v>1360.8</v>
      </c>
      <c r="J511" s="9">
        <v>1547.57</v>
      </c>
      <c r="K511" s="9">
        <v>900</v>
      </c>
    </row>
    <row r="512" spans="2:13" ht="15.75" x14ac:dyDescent="0.25">
      <c r="B512" s="10"/>
      <c r="C512" s="4"/>
      <c r="D512" s="11"/>
      <c r="E512" s="4"/>
      <c r="F512" s="12"/>
      <c r="G512" s="12"/>
      <c r="H512" s="12"/>
      <c r="I512" s="12"/>
      <c r="J512" s="12"/>
      <c r="K512" s="12"/>
    </row>
    <row r="513" spans="2:11" x14ac:dyDescent="0.25">
      <c r="B513" s="153" t="s">
        <v>159</v>
      </c>
      <c r="C513" s="13" t="s">
        <v>160</v>
      </c>
      <c r="D513" s="14" t="s">
        <v>161</v>
      </c>
      <c r="E513" s="15">
        <v>400</v>
      </c>
      <c r="F513" s="16">
        <f t="shared" ref="F513:F530" si="86">$E513/6</f>
        <v>66.666666666666671</v>
      </c>
      <c r="G513" s="15">
        <f t="shared" ref="G513:G530" si="87">$E513/6</f>
        <v>66.666666666666671</v>
      </c>
      <c r="H513" s="16">
        <f t="shared" ref="H513:H530" si="88">$E513/6</f>
        <v>66.666666666666671</v>
      </c>
      <c r="I513" s="16">
        <f t="shared" ref="I513:I530" si="89">$E513/6</f>
        <v>66.666666666666671</v>
      </c>
      <c r="J513" s="16">
        <f t="shared" ref="J513:J530" si="90">$E513/6</f>
        <v>66.666666666666671</v>
      </c>
      <c r="K513" s="16">
        <f t="shared" ref="K513:K530" si="91">$E513/6</f>
        <v>66.666666666666671</v>
      </c>
    </row>
    <row r="514" spans="2:11" x14ac:dyDescent="0.25">
      <c r="B514" s="153"/>
      <c r="C514" s="13" t="s">
        <v>160</v>
      </c>
      <c r="D514" s="14" t="s">
        <v>20</v>
      </c>
      <c r="E514" s="15">
        <v>86.76</v>
      </c>
      <c r="F514" s="16">
        <f t="shared" si="86"/>
        <v>14.46</v>
      </c>
      <c r="G514" s="15">
        <f t="shared" si="87"/>
        <v>14.46</v>
      </c>
      <c r="H514" s="16">
        <f t="shared" si="88"/>
        <v>14.46</v>
      </c>
      <c r="I514" s="16">
        <f t="shared" si="89"/>
        <v>14.46</v>
      </c>
      <c r="J514" s="16">
        <f t="shared" si="90"/>
        <v>14.46</v>
      </c>
      <c r="K514" s="16">
        <f t="shared" si="91"/>
        <v>14.46</v>
      </c>
    </row>
    <row r="515" spans="2:11" x14ac:dyDescent="0.25">
      <c r="B515" s="153"/>
      <c r="C515" s="13" t="s">
        <v>160</v>
      </c>
      <c r="D515" s="14" t="s">
        <v>21</v>
      </c>
      <c r="E515" s="15">
        <v>145.53</v>
      </c>
      <c r="F515" s="16">
        <f t="shared" si="86"/>
        <v>24.254999999999999</v>
      </c>
      <c r="G515" s="15">
        <f t="shared" si="87"/>
        <v>24.254999999999999</v>
      </c>
      <c r="H515" s="16">
        <f t="shared" si="88"/>
        <v>24.254999999999999</v>
      </c>
      <c r="I515" s="16">
        <f t="shared" si="89"/>
        <v>24.254999999999999</v>
      </c>
      <c r="J515" s="16">
        <f t="shared" si="90"/>
        <v>24.254999999999999</v>
      </c>
      <c r="K515" s="16">
        <f t="shared" si="91"/>
        <v>24.254999999999999</v>
      </c>
    </row>
    <row r="516" spans="2:11" x14ac:dyDescent="0.25">
      <c r="B516" s="153"/>
      <c r="C516" s="13" t="s">
        <v>160</v>
      </c>
      <c r="D516" s="14" t="s">
        <v>162</v>
      </c>
      <c r="E516" s="15">
        <v>113.53</v>
      </c>
      <c r="F516" s="16">
        <f t="shared" si="86"/>
        <v>18.921666666666667</v>
      </c>
      <c r="G516" s="15">
        <f t="shared" si="87"/>
        <v>18.921666666666667</v>
      </c>
      <c r="H516" s="16">
        <f t="shared" si="88"/>
        <v>18.921666666666667</v>
      </c>
      <c r="I516" s="16">
        <f t="shared" si="89"/>
        <v>18.921666666666667</v>
      </c>
      <c r="J516" s="16">
        <f t="shared" si="90"/>
        <v>18.921666666666667</v>
      </c>
      <c r="K516" s="16">
        <f t="shared" si="91"/>
        <v>18.921666666666667</v>
      </c>
    </row>
    <row r="517" spans="2:11" x14ac:dyDescent="0.25">
      <c r="B517" s="153"/>
      <c r="C517" s="13" t="s">
        <v>163</v>
      </c>
      <c r="D517" s="14"/>
      <c r="E517" s="15">
        <v>0</v>
      </c>
      <c r="F517" s="16">
        <f t="shared" si="86"/>
        <v>0</v>
      </c>
      <c r="G517" s="15">
        <f t="shared" si="87"/>
        <v>0</v>
      </c>
      <c r="H517" s="16">
        <f t="shared" si="88"/>
        <v>0</v>
      </c>
      <c r="I517" s="16">
        <f t="shared" si="89"/>
        <v>0</v>
      </c>
      <c r="J517" s="16">
        <f t="shared" si="90"/>
        <v>0</v>
      </c>
      <c r="K517" s="16">
        <f t="shared" si="91"/>
        <v>0</v>
      </c>
    </row>
    <row r="518" spans="2:11" x14ac:dyDescent="0.25">
      <c r="B518" s="153"/>
      <c r="C518" s="13" t="s">
        <v>163</v>
      </c>
      <c r="D518" s="14" t="s">
        <v>164</v>
      </c>
      <c r="E518" s="15">
        <v>100.9</v>
      </c>
      <c r="F518" s="16">
        <f t="shared" si="86"/>
        <v>16.816666666666666</v>
      </c>
      <c r="G518" s="15">
        <f t="shared" si="87"/>
        <v>16.816666666666666</v>
      </c>
      <c r="H518" s="16">
        <f t="shared" si="88"/>
        <v>16.816666666666666</v>
      </c>
      <c r="I518" s="16">
        <f t="shared" si="89"/>
        <v>16.816666666666666</v>
      </c>
      <c r="J518" s="16">
        <f t="shared" si="90"/>
        <v>16.816666666666666</v>
      </c>
      <c r="K518" s="16">
        <f t="shared" si="91"/>
        <v>16.816666666666666</v>
      </c>
    </row>
    <row r="519" spans="2:11" x14ac:dyDescent="0.25">
      <c r="B519" s="153"/>
      <c r="C519" s="13" t="s">
        <v>160</v>
      </c>
      <c r="D519" s="14" t="s">
        <v>165</v>
      </c>
      <c r="E519" s="15">
        <v>600</v>
      </c>
      <c r="F519" s="16">
        <f t="shared" si="86"/>
        <v>100</v>
      </c>
      <c r="G519" s="15">
        <f t="shared" si="87"/>
        <v>100</v>
      </c>
      <c r="H519" s="16">
        <f t="shared" si="88"/>
        <v>100</v>
      </c>
      <c r="I519" s="16">
        <f t="shared" si="89"/>
        <v>100</v>
      </c>
      <c r="J519" s="16">
        <f t="shared" si="90"/>
        <v>100</v>
      </c>
      <c r="K519" s="16">
        <f t="shared" si="91"/>
        <v>100</v>
      </c>
    </row>
    <row r="520" spans="2:11" x14ac:dyDescent="0.25">
      <c r="B520" s="153"/>
      <c r="C520" s="13" t="s">
        <v>166</v>
      </c>
      <c r="D520" s="14" t="s">
        <v>167</v>
      </c>
      <c r="E520" s="15">
        <v>0</v>
      </c>
      <c r="F520" s="16">
        <f t="shared" si="86"/>
        <v>0</v>
      </c>
      <c r="G520" s="15">
        <f t="shared" si="87"/>
        <v>0</v>
      </c>
      <c r="H520" s="16">
        <f t="shared" si="88"/>
        <v>0</v>
      </c>
      <c r="I520" s="16">
        <f t="shared" si="89"/>
        <v>0</v>
      </c>
      <c r="J520" s="16">
        <f t="shared" si="90"/>
        <v>0</v>
      </c>
      <c r="K520" s="16">
        <f t="shared" si="91"/>
        <v>0</v>
      </c>
    </row>
    <row r="521" spans="2:11" x14ac:dyDescent="0.25">
      <c r="B521" s="153"/>
      <c r="C521" s="13" t="s">
        <v>163</v>
      </c>
      <c r="D521" s="14" t="s">
        <v>232</v>
      </c>
      <c r="E521" s="15">
        <v>60</v>
      </c>
      <c r="F521" s="16">
        <f t="shared" si="86"/>
        <v>10</v>
      </c>
      <c r="G521" s="15">
        <f t="shared" si="87"/>
        <v>10</v>
      </c>
      <c r="H521" s="16">
        <f t="shared" si="88"/>
        <v>10</v>
      </c>
      <c r="I521" s="16">
        <f t="shared" si="89"/>
        <v>10</v>
      </c>
      <c r="J521" s="16">
        <f t="shared" si="90"/>
        <v>10</v>
      </c>
      <c r="K521" s="16">
        <f t="shared" si="91"/>
        <v>10</v>
      </c>
    </row>
    <row r="522" spans="2:11" x14ac:dyDescent="0.25">
      <c r="B522" s="153"/>
      <c r="C522" s="13" t="s">
        <v>168</v>
      </c>
      <c r="D522" s="14" t="s">
        <v>169</v>
      </c>
      <c r="E522" s="15"/>
      <c r="F522" s="16">
        <f t="shared" si="86"/>
        <v>0</v>
      </c>
      <c r="G522" s="15">
        <f t="shared" si="87"/>
        <v>0</v>
      </c>
      <c r="H522" s="16">
        <f t="shared" si="88"/>
        <v>0</v>
      </c>
      <c r="I522" s="16">
        <f t="shared" si="89"/>
        <v>0</v>
      </c>
      <c r="J522" s="16">
        <f t="shared" si="90"/>
        <v>0</v>
      </c>
      <c r="K522" s="16">
        <f t="shared" si="91"/>
        <v>0</v>
      </c>
    </row>
    <row r="523" spans="2:11" x14ac:dyDescent="0.25">
      <c r="B523" s="153"/>
      <c r="C523" s="13" t="s">
        <v>163</v>
      </c>
      <c r="D523" s="14" t="s">
        <v>233</v>
      </c>
      <c r="E523" s="15">
        <v>54.06</v>
      </c>
      <c r="F523" s="16">
        <f t="shared" si="86"/>
        <v>9.01</v>
      </c>
      <c r="G523" s="15">
        <f t="shared" si="87"/>
        <v>9.01</v>
      </c>
      <c r="H523" s="16">
        <f t="shared" si="88"/>
        <v>9.01</v>
      </c>
      <c r="I523" s="16">
        <f t="shared" si="89"/>
        <v>9.01</v>
      </c>
      <c r="J523" s="16">
        <f t="shared" si="90"/>
        <v>9.01</v>
      </c>
      <c r="K523" s="16">
        <f t="shared" si="91"/>
        <v>9.01</v>
      </c>
    </row>
    <row r="524" spans="2:11" x14ac:dyDescent="0.25">
      <c r="B524" s="153"/>
      <c r="C524" s="13" t="s">
        <v>170</v>
      </c>
      <c r="D524" s="14"/>
      <c r="E524" s="15"/>
      <c r="F524" s="16">
        <f t="shared" si="86"/>
        <v>0</v>
      </c>
      <c r="G524" s="15">
        <f t="shared" si="87"/>
        <v>0</v>
      </c>
      <c r="H524" s="16">
        <f t="shared" si="88"/>
        <v>0</v>
      </c>
      <c r="I524" s="16">
        <f t="shared" si="89"/>
        <v>0</v>
      </c>
      <c r="J524" s="16">
        <f t="shared" si="90"/>
        <v>0</v>
      </c>
      <c r="K524" s="16">
        <f t="shared" si="91"/>
        <v>0</v>
      </c>
    </row>
    <row r="525" spans="2:11" x14ac:dyDescent="0.25">
      <c r="B525" s="153"/>
      <c r="C525" s="13" t="s">
        <v>170</v>
      </c>
      <c r="D525" s="14"/>
      <c r="E525" s="15"/>
      <c r="F525" s="16">
        <f t="shared" si="86"/>
        <v>0</v>
      </c>
      <c r="G525" s="15">
        <f t="shared" si="87"/>
        <v>0</v>
      </c>
      <c r="H525" s="16">
        <f t="shared" si="88"/>
        <v>0</v>
      </c>
      <c r="I525" s="16">
        <f t="shared" si="89"/>
        <v>0</v>
      </c>
      <c r="J525" s="16">
        <f t="shared" si="90"/>
        <v>0</v>
      </c>
      <c r="K525" s="16">
        <f t="shared" si="91"/>
        <v>0</v>
      </c>
    </row>
    <row r="526" spans="2:11" x14ac:dyDescent="0.25">
      <c r="B526" s="153"/>
      <c r="C526" s="13" t="s">
        <v>163</v>
      </c>
      <c r="D526" s="14" t="s">
        <v>223</v>
      </c>
      <c r="E526" s="15"/>
      <c r="F526" s="16">
        <f t="shared" si="86"/>
        <v>0</v>
      </c>
      <c r="G526" s="15">
        <f t="shared" si="87"/>
        <v>0</v>
      </c>
      <c r="H526" s="16">
        <f t="shared" si="88"/>
        <v>0</v>
      </c>
      <c r="I526" s="16">
        <f t="shared" si="89"/>
        <v>0</v>
      </c>
      <c r="J526" s="16">
        <f t="shared" si="90"/>
        <v>0</v>
      </c>
      <c r="K526" s="16">
        <f t="shared" si="91"/>
        <v>0</v>
      </c>
    </row>
    <row r="527" spans="2:11" x14ac:dyDescent="0.25">
      <c r="B527" s="153"/>
      <c r="C527" s="17" t="s">
        <v>163</v>
      </c>
      <c r="D527" s="14" t="s">
        <v>229</v>
      </c>
      <c r="E527" s="15">
        <v>200</v>
      </c>
      <c r="F527" s="16">
        <f t="shared" si="86"/>
        <v>33.333333333333336</v>
      </c>
      <c r="G527" s="15">
        <f t="shared" si="87"/>
        <v>33.333333333333336</v>
      </c>
      <c r="H527" s="16">
        <f t="shared" si="88"/>
        <v>33.333333333333336</v>
      </c>
      <c r="I527" s="16">
        <f t="shared" si="89"/>
        <v>33.333333333333336</v>
      </c>
      <c r="J527" s="16">
        <f t="shared" si="90"/>
        <v>33.333333333333336</v>
      </c>
      <c r="K527" s="16">
        <f t="shared" si="91"/>
        <v>33.333333333333336</v>
      </c>
    </row>
    <row r="528" spans="2:11" x14ac:dyDescent="0.25">
      <c r="B528" s="153"/>
      <c r="C528" s="17"/>
      <c r="D528" s="18"/>
      <c r="E528" s="15"/>
      <c r="F528" s="16">
        <f t="shared" si="86"/>
        <v>0</v>
      </c>
      <c r="G528" s="15">
        <f t="shared" si="87"/>
        <v>0</v>
      </c>
      <c r="H528" s="16">
        <f t="shared" si="88"/>
        <v>0</v>
      </c>
      <c r="I528" s="16">
        <f t="shared" si="89"/>
        <v>0</v>
      </c>
      <c r="J528" s="16">
        <f t="shared" si="90"/>
        <v>0</v>
      </c>
      <c r="K528" s="16">
        <f t="shared" si="91"/>
        <v>0</v>
      </c>
    </row>
    <row r="529" spans="2:13" x14ac:dyDescent="0.25">
      <c r="B529" s="153"/>
      <c r="C529" s="2" t="s">
        <v>160</v>
      </c>
      <c r="D529" s="4" t="s">
        <v>174</v>
      </c>
      <c r="E529" s="19">
        <v>300</v>
      </c>
      <c r="F529" s="16">
        <f t="shared" si="86"/>
        <v>50</v>
      </c>
      <c r="G529" s="15">
        <f t="shared" si="87"/>
        <v>50</v>
      </c>
      <c r="H529" s="16">
        <f t="shared" si="88"/>
        <v>50</v>
      </c>
      <c r="I529" s="16">
        <f t="shared" si="89"/>
        <v>50</v>
      </c>
      <c r="J529" s="16">
        <f t="shared" si="90"/>
        <v>50</v>
      </c>
      <c r="K529" s="16">
        <f t="shared" si="91"/>
        <v>50</v>
      </c>
      <c r="L529" s="26" t="s">
        <v>175</v>
      </c>
    </row>
    <row r="530" spans="2:13" x14ac:dyDescent="0.25">
      <c r="B530" s="153"/>
      <c r="C530" s="2"/>
      <c r="D530" s="4" t="s">
        <v>26</v>
      </c>
      <c r="E530" s="19">
        <v>0</v>
      </c>
      <c r="F530" s="16">
        <f t="shared" si="86"/>
        <v>0</v>
      </c>
      <c r="G530" s="15">
        <f t="shared" si="87"/>
        <v>0</v>
      </c>
      <c r="H530" s="16">
        <f t="shared" si="88"/>
        <v>0</v>
      </c>
      <c r="I530" s="16">
        <f t="shared" si="89"/>
        <v>0</v>
      </c>
      <c r="J530" s="16">
        <f t="shared" si="90"/>
        <v>0</v>
      </c>
      <c r="K530" s="16">
        <f t="shared" si="91"/>
        <v>0</v>
      </c>
      <c r="L530" s="27">
        <f>SUM(E513:E530)</f>
        <v>2060.7799999999997</v>
      </c>
    </row>
    <row r="531" spans="2:13" x14ac:dyDescent="0.25">
      <c r="B531" s="153"/>
      <c r="C531" s="20" t="s">
        <v>176</v>
      </c>
      <c r="D531" s="4" t="s">
        <v>26</v>
      </c>
      <c r="E531" s="155">
        <f>SUM(F531:K531)/6.23756</f>
        <v>0.27256041248119983</v>
      </c>
      <c r="F531" s="21">
        <f t="shared" ref="F531:K531" si="92">$L533*1/F511</f>
        <v>0.31802160493827158</v>
      </c>
      <c r="G531" s="21">
        <f t="shared" si="92"/>
        <v>0.30287771898883009</v>
      </c>
      <c r="H531" s="21">
        <f t="shared" si="92"/>
        <v>0.22325138991805657</v>
      </c>
      <c r="I531" s="21">
        <f t="shared" si="92"/>
        <v>0.25239809915735839</v>
      </c>
      <c r="J531" s="21">
        <f t="shared" si="92"/>
        <v>0.22193718754778996</v>
      </c>
      <c r="K531" s="21">
        <f t="shared" si="92"/>
        <v>0.38162592592592592</v>
      </c>
    </row>
    <row r="532" spans="2:13" x14ac:dyDescent="0.25">
      <c r="B532" s="153"/>
      <c r="C532" s="20" t="s">
        <v>177</v>
      </c>
      <c r="D532" s="4"/>
      <c r="E532" s="155"/>
      <c r="F532" s="22">
        <f t="shared" ref="F532:K532" si="93">$E531</f>
        <v>0.27256041248119983</v>
      </c>
      <c r="G532" s="22">
        <f t="shared" si="93"/>
        <v>0.27256041248119983</v>
      </c>
      <c r="H532" s="22">
        <f t="shared" si="93"/>
        <v>0.27256041248119983</v>
      </c>
      <c r="I532" s="22">
        <f t="shared" si="93"/>
        <v>0.27256041248119983</v>
      </c>
      <c r="J532" s="22">
        <f t="shared" si="93"/>
        <v>0.27256041248119983</v>
      </c>
      <c r="K532" s="22">
        <f t="shared" si="93"/>
        <v>0.27256041248119983</v>
      </c>
      <c r="L532" s="22"/>
    </row>
    <row r="533" spans="2:13" x14ac:dyDescent="0.25">
      <c r="B533" s="154" t="s">
        <v>178</v>
      </c>
      <c r="C533" s="154"/>
      <c r="D533" s="154"/>
      <c r="E533" s="154"/>
      <c r="F533" s="23" t="s">
        <v>154</v>
      </c>
      <c r="G533" s="23" t="s">
        <v>155</v>
      </c>
      <c r="H533" s="23" t="s">
        <v>110</v>
      </c>
      <c r="I533" s="23" t="s">
        <v>194</v>
      </c>
      <c r="J533" s="28" t="s">
        <v>157</v>
      </c>
      <c r="K533" s="28" t="s">
        <v>230</v>
      </c>
      <c r="L533" s="29">
        <f>L530/6</f>
        <v>343.46333333333331</v>
      </c>
      <c r="M533" s="30" t="s">
        <v>179</v>
      </c>
    </row>
    <row r="534" spans="2:13" x14ac:dyDescent="0.25">
      <c r="B534" s="154"/>
      <c r="C534" s="154"/>
      <c r="D534" s="154"/>
      <c r="E534" s="154"/>
      <c r="F534" s="24">
        <f>F511*$E531+(K534*0.02)</f>
        <v>298.82527143570718</v>
      </c>
      <c r="G534" s="24">
        <f>G511*$E531+(K534*0.02)</f>
        <v>313.54353370969199</v>
      </c>
      <c r="H534" s="24">
        <f>H511*$E531+(K534*0.02)</f>
        <v>423.78331814183804</v>
      </c>
      <c r="I534" s="24">
        <f>I511*$E531+(0.02*K534)</f>
        <v>375.36023526042806</v>
      </c>
      <c r="J534" s="24">
        <f>J511*$E531+(K534*0.02)</f>
        <v>426.26634349954173</v>
      </c>
      <c r="K534" s="24">
        <f>(E531*0.90908)*K511</f>
        <v>223.00129780056821</v>
      </c>
      <c r="L534" s="31" t="s">
        <v>180</v>
      </c>
      <c r="M534" s="32">
        <f>SUM(F534:K534)</f>
        <v>2060.7799998477753</v>
      </c>
    </row>
    <row r="535" spans="2:13" x14ac:dyDescent="0.25">
      <c r="K535" s="38"/>
    </row>
    <row r="536" spans="2:13" x14ac:dyDescent="0.25">
      <c r="B536" s="41"/>
      <c r="C536" s="41"/>
      <c r="D536" s="41"/>
      <c r="E536" s="41"/>
      <c r="F536" s="41"/>
      <c r="G536" s="41"/>
      <c r="H536" s="41"/>
      <c r="I536" s="41"/>
      <c r="J536" s="41"/>
      <c r="L536" s="33" t="s">
        <v>181</v>
      </c>
      <c r="M536" s="34">
        <f>L530-M534</f>
        <v>1.5222440197248943E-7</v>
      </c>
    </row>
    <row r="538" spans="2:13" x14ac:dyDescent="0.25">
      <c r="B538" s="1" t="s">
        <v>148</v>
      </c>
      <c r="C538" s="2" t="s">
        <v>149</v>
      </c>
      <c r="D538" s="2" t="s">
        <v>150</v>
      </c>
      <c r="E538" s="2"/>
      <c r="F538" s="43" t="s">
        <v>151</v>
      </c>
      <c r="G538" s="43"/>
      <c r="H538" s="43"/>
      <c r="I538" s="43"/>
      <c r="J538" s="43"/>
      <c r="K538" s="43"/>
      <c r="M538" s="41"/>
    </row>
    <row r="539" spans="2:13" x14ac:dyDescent="0.25">
      <c r="B539" s="3" t="s">
        <v>3</v>
      </c>
      <c r="C539" s="4"/>
      <c r="D539" s="4" t="s">
        <v>152</v>
      </c>
      <c r="E539" s="4" t="s">
        <v>153</v>
      </c>
      <c r="F539" s="5" t="s">
        <v>155</v>
      </c>
      <c r="G539" s="5" t="s">
        <v>157</v>
      </c>
      <c r="H539" s="5" t="s">
        <v>110</v>
      </c>
      <c r="I539" s="5" t="s">
        <v>230</v>
      </c>
      <c r="J539" s="25" t="s">
        <v>156</v>
      </c>
      <c r="K539" s="25" t="s">
        <v>234</v>
      </c>
    </row>
    <row r="540" spans="2:13" ht="15.75" x14ac:dyDescent="0.25">
      <c r="B540" s="6">
        <v>2022</v>
      </c>
      <c r="C540" s="2"/>
      <c r="D540" s="2"/>
      <c r="E540" s="2"/>
      <c r="F540" s="2"/>
      <c r="G540" s="2"/>
      <c r="H540" s="2"/>
      <c r="I540" s="44">
        <v>1022.56</v>
      </c>
      <c r="J540" s="44">
        <v>1009</v>
      </c>
      <c r="K540" s="2"/>
    </row>
    <row r="541" spans="2:13" ht="15.75" x14ac:dyDescent="0.25">
      <c r="B541" s="7" t="s">
        <v>26</v>
      </c>
      <c r="C541" s="2"/>
      <c r="D541" s="8" t="s">
        <v>158</v>
      </c>
      <c r="E541" s="2"/>
      <c r="F541" s="9">
        <v>1580</v>
      </c>
      <c r="G541" s="9">
        <v>1578.18</v>
      </c>
      <c r="H541" s="9">
        <v>906</v>
      </c>
      <c r="I541" s="9">
        <v>1128.3800000000001</v>
      </c>
      <c r="J541" s="9">
        <v>965</v>
      </c>
      <c r="K541" s="9">
        <v>906</v>
      </c>
    </row>
    <row r="542" spans="2:13" ht="15.75" x14ac:dyDescent="0.25">
      <c r="B542" s="10"/>
      <c r="C542" s="4"/>
      <c r="D542" s="11"/>
      <c r="E542" s="4"/>
      <c r="F542" s="12"/>
      <c r="G542" s="12"/>
      <c r="H542" s="12"/>
      <c r="I542" s="12"/>
      <c r="J542" s="12"/>
      <c r="K542" s="12"/>
      <c r="M542" t="s">
        <v>235</v>
      </c>
    </row>
    <row r="543" spans="2:13" x14ac:dyDescent="0.25">
      <c r="B543" s="153" t="s">
        <v>159</v>
      </c>
      <c r="C543" s="13" t="s">
        <v>160</v>
      </c>
      <c r="D543" s="14" t="s">
        <v>161</v>
      </c>
      <c r="E543" s="15">
        <v>1229.5999999999999</v>
      </c>
      <c r="F543" s="16">
        <f t="shared" ref="F543:K546" si="94">$E543/6</f>
        <v>204.93333333333331</v>
      </c>
      <c r="G543" s="15">
        <f t="shared" si="94"/>
        <v>204.93333333333331</v>
      </c>
      <c r="H543" s="16">
        <f t="shared" si="94"/>
        <v>204.93333333333331</v>
      </c>
      <c r="I543" s="16">
        <f t="shared" si="94"/>
        <v>204.93333333333331</v>
      </c>
      <c r="J543" s="16">
        <f t="shared" si="94"/>
        <v>204.93333333333331</v>
      </c>
      <c r="K543" s="16">
        <f t="shared" si="94"/>
        <v>204.93333333333331</v>
      </c>
      <c r="L543" s="45" t="s">
        <v>236</v>
      </c>
      <c r="M543" t="s">
        <v>237</v>
      </c>
    </row>
    <row r="544" spans="2:13" x14ac:dyDescent="0.25">
      <c r="B544" s="153"/>
      <c r="C544" s="13" t="s">
        <v>160</v>
      </c>
      <c r="D544" s="14" t="s">
        <v>20</v>
      </c>
      <c r="E544" s="15">
        <v>100</v>
      </c>
      <c r="F544" s="16">
        <f t="shared" si="94"/>
        <v>16.666666666666668</v>
      </c>
      <c r="G544" s="15">
        <f t="shared" si="94"/>
        <v>16.666666666666668</v>
      </c>
      <c r="H544" s="16">
        <f t="shared" si="94"/>
        <v>16.666666666666668</v>
      </c>
      <c r="I544" s="16">
        <f t="shared" si="94"/>
        <v>16.666666666666668</v>
      </c>
      <c r="J544" s="16">
        <f t="shared" si="94"/>
        <v>16.666666666666668</v>
      </c>
      <c r="K544" s="16">
        <f t="shared" si="94"/>
        <v>16.666666666666668</v>
      </c>
      <c r="L544" s="45" t="s">
        <v>238</v>
      </c>
      <c r="M544" t="s">
        <v>239</v>
      </c>
    </row>
    <row r="545" spans="2:16" x14ac:dyDescent="0.25">
      <c r="B545" s="153"/>
      <c r="C545" s="13" t="s">
        <v>160</v>
      </c>
      <c r="D545" s="14" t="s">
        <v>21</v>
      </c>
      <c r="E545" s="15">
        <v>150</v>
      </c>
      <c r="F545" s="16">
        <f t="shared" si="94"/>
        <v>25</v>
      </c>
      <c r="G545" s="15">
        <f t="shared" si="94"/>
        <v>25</v>
      </c>
      <c r="H545" s="16">
        <f t="shared" si="94"/>
        <v>25</v>
      </c>
      <c r="I545" s="16">
        <f t="shared" si="94"/>
        <v>25</v>
      </c>
      <c r="J545" s="16">
        <f t="shared" si="94"/>
        <v>25</v>
      </c>
      <c r="K545" s="16">
        <f t="shared" si="94"/>
        <v>25</v>
      </c>
      <c r="L545" s="45" t="s">
        <v>238</v>
      </c>
      <c r="M545" t="s">
        <v>240</v>
      </c>
    </row>
    <row r="546" spans="2:16" x14ac:dyDescent="0.25">
      <c r="B546" s="153"/>
      <c r="C546" s="13" t="s">
        <v>160</v>
      </c>
      <c r="D546" s="14" t="s">
        <v>22</v>
      </c>
      <c r="E546" s="15">
        <v>120</v>
      </c>
      <c r="F546" s="16">
        <f t="shared" si="94"/>
        <v>20</v>
      </c>
      <c r="G546" s="16">
        <f t="shared" si="94"/>
        <v>20</v>
      </c>
      <c r="H546" s="16">
        <f t="shared" si="94"/>
        <v>20</v>
      </c>
      <c r="I546" s="16">
        <f t="shared" si="94"/>
        <v>20</v>
      </c>
      <c r="J546" s="16">
        <f t="shared" si="94"/>
        <v>20</v>
      </c>
      <c r="K546" s="16">
        <f t="shared" si="94"/>
        <v>20</v>
      </c>
      <c r="L546" s="45" t="s">
        <v>238</v>
      </c>
      <c r="M546" t="s">
        <v>241</v>
      </c>
    </row>
    <row r="547" spans="2:16" x14ac:dyDescent="0.25">
      <c r="B547" s="153"/>
      <c r="C547" s="13" t="s">
        <v>163</v>
      </c>
      <c r="D547" s="14"/>
      <c r="E547" s="15"/>
      <c r="F547" s="16"/>
      <c r="G547" s="15"/>
      <c r="H547" s="16"/>
      <c r="I547" s="16"/>
      <c r="J547" s="16"/>
      <c r="K547" s="16"/>
    </row>
    <row r="548" spans="2:16" x14ac:dyDescent="0.25">
      <c r="B548" s="153"/>
      <c r="C548" s="13" t="s">
        <v>160</v>
      </c>
      <c r="D548" s="14" t="s">
        <v>165</v>
      </c>
      <c r="E548" s="15">
        <v>300</v>
      </c>
      <c r="F548" s="16">
        <f t="shared" ref="F548:F558" si="95">$E548/6</f>
        <v>50</v>
      </c>
      <c r="G548" s="15">
        <f t="shared" ref="G548:G558" si="96">$E548/6</f>
        <v>50</v>
      </c>
      <c r="H548" s="16">
        <f t="shared" ref="H548:H558" si="97">$E548/6</f>
        <v>50</v>
      </c>
      <c r="I548" s="16">
        <f t="shared" ref="I548:I558" si="98">$E548/6</f>
        <v>50</v>
      </c>
      <c r="J548" s="16">
        <f t="shared" ref="J548:J558" si="99">$E548/6</f>
        <v>50</v>
      </c>
      <c r="K548" s="16">
        <f t="shared" ref="K548:K558" si="100">$E548/6</f>
        <v>50</v>
      </c>
    </row>
    <row r="549" spans="2:16" x14ac:dyDescent="0.25">
      <c r="B549" s="153"/>
      <c r="C549" s="13" t="s">
        <v>166</v>
      </c>
      <c r="D549" s="14" t="s">
        <v>167</v>
      </c>
      <c r="E549" s="15">
        <v>105</v>
      </c>
      <c r="F549" s="16">
        <f t="shared" si="95"/>
        <v>17.5</v>
      </c>
      <c r="G549" s="15">
        <f t="shared" si="96"/>
        <v>17.5</v>
      </c>
      <c r="H549" s="16">
        <f t="shared" si="97"/>
        <v>17.5</v>
      </c>
      <c r="I549" s="16">
        <f t="shared" si="98"/>
        <v>17.5</v>
      </c>
      <c r="J549" s="16">
        <f t="shared" si="99"/>
        <v>17.5</v>
      </c>
      <c r="K549" s="16">
        <f t="shared" si="100"/>
        <v>17.5</v>
      </c>
    </row>
    <row r="550" spans="2:16" x14ac:dyDescent="0.25">
      <c r="B550" s="153"/>
      <c r="C550" s="13" t="s">
        <v>163</v>
      </c>
      <c r="D550" s="14"/>
      <c r="E550" s="15"/>
      <c r="F550" s="16">
        <f t="shared" si="95"/>
        <v>0</v>
      </c>
      <c r="G550" s="15">
        <f t="shared" si="96"/>
        <v>0</v>
      </c>
      <c r="H550" s="16">
        <f t="shared" si="97"/>
        <v>0</v>
      </c>
      <c r="I550" s="16">
        <f t="shared" si="98"/>
        <v>0</v>
      </c>
      <c r="J550" s="16">
        <f t="shared" si="99"/>
        <v>0</v>
      </c>
      <c r="K550" s="16">
        <f t="shared" si="100"/>
        <v>0</v>
      </c>
      <c r="M550">
        <v>0.90908</v>
      </c>
    </row>
    <row r="551" spans="2:16" x14ac:dyDescent="0.25">
      <c r="B551" s="153"/>
      <c r="C551" s="13" t="s">
        <v>242</v>
      </c>
      <c r="D551" s="14" t="s">
        <v>243</v>
      </c>
      <c r="E551" s="15">
        <f>6*13</f>
        <v>78</v>
      </c>
      <c r="F551" s="16">
        <f t="shared" si="95"/>
        <v>13</v>
      </c>
      <c r="G551" s="15">
        <f t="shared" si="96"/>
        <v>13</v>
      </c>
      <c r="H551" s="16">
        <f t="shared" si="97"/>
        <v>13</v>
      </c>
      <c r="I551" s="16">
        <f t="shared" si="98"/>
        <v>13</v>
      </c>
      <c r="J551" s="16">
        <f t="shared" si="99"/>
        <v>13</v>
      </c>
      <c r="K551" s="16">
        <f t="shared" si="100"/>
        <v>13</v>
      </c>
    </row>
    <row r="552" spans="2:16" x14ac:dyDescent="0.25">
      <c r="B552" s="153"/>
      <c r="C552" s="13" t="s">
        <v>163</v>
      </c>
      <c r="D552" s="14"/>
      <c r="E552" s="15"/>
      <c r="F552" s="16">
        <f t="shared" si="95"/>
        <v>0</v>
      </c>
      <c r="G552" s="15">
        <f t="shared" si="96"/>
        <v>0</v>
      </c>
      <c r="H552" s="16">
        <f t="shared" si="97"/>
        <v>0</v>
      </c>
      <c r="I552" s="16">
        <f t="shared" si="98"/>
        <v>0</v>
      </c>
      <c r="J552" s="16">
        <f t="shared" si="99"/>
        <v>0</v>
      </c>
      <c r="K552" s="16">
        <f t="shared" si="100"/>
        <v>0</v>
      </c>
    </row>
    <row r="553" spans="2:16" x14ac:dyDescent="0.25">
      <c r="B553" s="153"/>
      <c r="C553" s="13" t="s">
        <v>170</v>
      </c>
      <c r="D553" s="14" t="s">
        <v>244</v>
      </c>
      <c r="E553" s="15">
        <v>47.91</v>
      </c>
      <c r="F553" s="16">
        <f t="shared" si="95"/>
        <v>7.9849999999999994</v>
      </c>
      <c r="G553" s="15">
        <f t="shared" si="96"/>
        <v>7.9849999999999994</v>
      </c>
      <c r="H553" s="16">
        <f t="shared" si="97"/>
        <v>7.9849999999999994</v>
      </c>
      <c r="I553" s="16">
        <f t="shared" si="98"/>
        <v>7.9849999999999994</v>
      </c>
      <c r="J553" s="16">
        <f t="shared" si="99"/>
        <v>7.9849999999999994</v>
      </c>
      <c r="K553" s="16">
        <f t="shared" si="100"/>
        <v>7.9849999999999994</v>
      </c>
    </row>
    <row r="554" spans="2:16" x14ac:dyDescent="0.25">
      <c r="B554" s="153"/>
      <c r="C554" s="13" t="s">
        <v>170</v>
      </c>
      <c r="D554" s="14"/>
      <c r="E554" s="15"/>
      <c r="F554" s="16">
        <f t="shared" si="95"/>
        <v>0</v>
      </c>
      <c r="G554" s="15">
        <f t="shared" si="96"/>
        <v>0</v>
      </c>
      <c r="H554" s="16">
        <f t="shared" si="97"/>
        <v>0</v>
      </c>
      <c r="I554" s="16">
        <f t="shared" si="98"/>
        <v>0</v>
      </c>
      <c r="J554" s="16">
        <f t="shared" si="99"/>
        <v>0</v>
      </c>
      <c r="K554" s="16">
        <f t="shared" si="100"/>
        <v>0</v>
      </c>
    </row>
    <row r="555" spans="2:16" x14ac:dyDescent="0.25">
      <c r="B555" s="153"/>
      <c r="C555" s="13" t="s">
        <v>163</v>
      </c>
      <c r="D555" s="14"/>
      <c r="E555" s="15"/>
      <c r="F555" s="16">
        <f t="shared" si="95"/>
        <v>0</v>
      </c>
      <c r="G555" s="15">
        <f t="shared" si="96"/>
        <v>0</v>
      </c>
      <c r="H555" s="16">
        <f t="shared" si="97"/>
        <v>0</v>
      </c>
      <c r="I555" s="16">
        <f t="shared" si="98"/>
        <v>0</v>
      </c>
      <c r="J555" s="16">
        <f t="shared" si="99"/>
        <v>0</v>
      </c>
      <c r="K555" s="16">
        <f t="shared" si="100"/>
        <v>0</v>
      </c>
    </row>
    <row r="556" spans="2:16" x14ac:dyDescent="0.25">
      <c r="B556" s="153"/>
      <c r="C556" s="17"/>
      <c r="D556" s="18"/>
      <c r="E556" s="15"/>
      <c r="F556" s="16">
        <f t="shared" si="95"/>
        <v>0</v>
      </c>
      <c r="G556" s="15">
        <f t="shared" si="96"/>
        <v>0</v>
      </c>
      <c r="H556" s="16">
        <f t="shared" si="97"/>
        <v>0</v>
      </c>
      <c r="I556" s="16">
        <f t="shared" si="98"/>
        <v>0</v>
      </c>
      <c r="J556" s="16">
        <f t="shared" si="99"/>
        <v>0</v>
      </c>
      <c r="K556" s="16">
        <f t="shared" si="100"/>
        <v>0</v>
      </c>
    </row>
    <row r="557" spans="2:16" x14ac:dyDescent="0.25">
      <c r="B557" s="153"/>
      <c r="C557" s="2" t="s">
        <v>160</v>
      </c>
      <c r="D557" s="4"/>
      <c r="E557" s="19"/>
      <c r="F557" s="16">
        <f t="shared" si="95"/>
        <v>0</v>
      </c>
      <c r="G557" s="15">
        <f t="shared" si="96"/>
        <v>0</v>
      </c>
      <c r="H557" s="16">
        <f t="shared" si="97"/>
        <v>0</v>
      </c>
      <c r="I557" s="16">
        <f t="shared" si="98"/>
        <v>0</v>
      </c>
      <c r="J557" s="16">
        <f t="shared" si="99"/>
        <v>0</v>
      </c>
      <c r="K557" s="16">
        <f t="shared" si="100"/>
        <v>0</v>
      </c>
      <c r="L557" s="26" t="s">
        <v>175</v>
      </c>
    </row>
    <row r="558" spans="2:16" x14ac:dyDescent="0.25">
      <c r="B558" s="153"/>
      <c r="C558" s="2"/>
      <c r="D558" s="4" t="s">
        <v>26</v>
      </c>
      <c r="E558" s="19">
        <v>0</v>
      </c>
      <c r="F558" s="16">
        <f t="shared" si="95"/>
        <v>0</v>
      </c>
      <c r="G558" s="15">
        <f t="shared" si="96"/>
        <v>0</v>
      </c>
      <c r="H558" s="16">
        <f t="shared" si="97"/>
        <v>0</v>
      </c>
      <c r="I558" s="16">
        <f t="shared" si="98"/>
        <v>0</v>
      </c>
      <c r="J558" s="16">
        <f t="shared" si="99"/>
        <v>0</v>
      </c>
      <c r="K558" s="16">
        <f t="shared" si="100"/>
        <v>0</v>
      </c>
      <c r="L558" s="27">
        <f>SUM(E543:E558)</f>
        <v>2130.5099999999998</v>
      </c>
    </row>
    <row r="559" spans="2:16" x14ac:dyDescent="0.25">
      <c r="B559" s="153"/>
      <c r="C559" s="20" t="s">
        <v>176</v>
      </c>
      <c r="D559" s="4" t="s">
        <v>26</v>
      </c>
      <c r="E559" s="155">
        <f>SUM(F559:K559)/6.35315</f>
        <v>0.30161972249779384</v>
      </c>
      <c r="F559" s="21">
        <f t="shared" ref="F559:K559" si="101">$L561*1/F541</f>
        <v>0.22473734177215188</v>
      </c>
      <c r="G559" s="21">
        <f t="shared" si="101"/>
        <v>0.22499651497294348</v>
      </c>
      <c r="H559" s="21">
        <f t="shared" si="101"/>
        <v>0.39192604856512137</v>
      </c>
      <c r="I559" s="21">
        <f t="shared" si="101"/>
        <v>0.31468565554157285</v>
      </c>
      <c r="J559" s="21">
        <f t="shared" si="101"/>
        <v>0.36796373056994819</v>
      </c>
      <c r="K559" s="21">
        <f t="shared" si="101"/>
        <v>0.39192604856512137</v>
      </c>
      <c r="N559" s="39">
        <f>SUM(F559:K559)</f>
        <v>1.916235339986859</v>
      </c>
      <c r="P559">
        <f>N559/6</f>
        <v>0.3193725566644765</v>
      </c>
    </row>
    <row r="560" spans="2:16" x14ac:dyDescent="0.25">
      <c r="B560" s="153"/>
      <c r="C560" s="20" t="s">
        <v>177</v>
      </c>
      <c r="D560" s="4"/>
      <c r="E560" s="155"/>
      <c r="F560" s="22">
        <f t="shared" ref="F560:K560" si="102">$E559</f>
        <v>0.30161972249779384</v>
      </c>
      <c r="G560" s="22">
        <f t="shared" si="102"/>
        <v>0.30161972249779384</v>
      </c>
      <c r="H560" s="22">
        <f t="shared" si="102"/>
        <v>0.30161972249779384</v>
      </c>
      <c r="I560" s="22">
        <f t="shared" si="102"/>
        <v>0.30161972249779384</v>
      </c>
      <c r="J560" s="22">
        <f t="shared" si="102"/>
        <v>0.30161972249779384</v>
      </c>
      <c r="K560" s="22">
        <f t="shared" si="102"/>
        <v>0.30161972249779384</v>
      </c>
      <c r="L560" s="22"/>
      <c r="N560" s="39">
        <f>SUM(F560:K560)</f>
        <v>1.8097183349867632</v>
      </c>
      <c r="P560">
        <f>N560/6</f>
        <v>0.30161972249779384</v>
      </c>
    </row>
    <row r="561" spans="2:15" x14ac:dyDescent="0.25">
      <c r="B561" s="154" t="s">
        <v>178</v>
      </c>
      <c r="C561" s="154"/>
      <c r="D561" s="154"/>
      <c r="E561" s="154"/>
      <c r="F561" s="23" t="str">
        <f>F539</f>
        <v>Aninha</v>
      </c>
      <c r="G561" s="23" t="str">
        <f>G539</f>
        <v>Eudes</v>
      </c>
      <c r="H561" s="23" t="s">
        <v>110</v>
      </c>
      <c r="I561" s="23" t="str">
        <f>I539</f>
        <v>Taíse</v>
      </c>
      <c r="J561" s="28" t="str">
        <f>J539</f>
        <v>Dayanne</v>
      </c>
      <c r="K561" s="28" t="str">
        <f>K539</f>
        <v>Natalia</v>
      </c>
      <c r="L561" s="29">
        <f>L558/6</f>
        <v>355.08499999999998</v>
      </c>
      <c r="M561" s="30" t="s">
        <v>179</v>
      </c>
    </row>
    <row r="562" spans="2:15" x14ac:dyDescent="0.25">
      <c r="B562" s="154"/>
      <c r="C562" s="154"/>
      <c r="D562" s="154"/>
      <c r="E562" s="154"/>
      <c r="F562" s="24">
        <f>F541*$E559</f>
        <v>476.55916154651425</v>
      </c>
      <c r="G562" s="24">
        <f>G541*$E559</f>
        <v>476.01021365156828</v>
      </c>
      <c r="H562" s="24">
        <f>H541*$E559</f>
        <v>273.26746858300123</v>
      </c>
      <c r="I562" s="24">
        <f>I541*$E559</f>
        <v>340.34166247206065</v>
      </c>
      <c r="J562" s="24">
        <f>J541*$E559</f>
        <v>291.06303221037103</v>
      </c>
      <c r="K562" s="24">
        <f>E559*K541</f>
        <v>273.26746858300123</v>
      </c>
      <c r="L562" s="31" t="s">
        <v>180</v>
      </c>
      <c r="M562" s="32">
        <f>SUM(F562:K562)</f>
        <v>2130.5090070465167</v>
      </c>
      <c r="O562" s="39">
        <f>N559-N560</f>
        <v>0.10651700500009587</v>
      </c>
    </row>
    <row r="563" spans="2:15" x14ac:dyDescent="0.25">
      <c r="K563" s="38"/>
    </row>
    <row r="564" spans="2:15" x14ac:dyDescent="0.25">
      <c r="L564" s="33" t="s">
        <v>181</v>
      </c>
      <c r="M564" s="34">
        <f>L558-M562</f>
        <v>9.929534830916964E-4</v>
      </c>
    </row>
    <row r="567" spans="2:15" x14ac:dyDescent="0.25">
      <c r="B567" s="1" t="s">
        <v>148</v>
      </c>
      <c r="C567" s="2" t="s">
        <v>149</v>
      </c>
      <c r="D567" s="2" t="s">
        <v>150</v>
      </c>
      <c r="E567" s="2"/>
      <c r="F567" s="43" t="s">
        <v>151</v>
      </c>
      <c r="G567" s="43"/>
      <c r="H567" s="43"/>
      <c r="I567" s="43"/>
      <c r="J567" s="43"/>
      <c r="L567" s="41"/>
    </row>
    <row r="568" spans="2:15" x14ac:dyDescent="0.25">
      <c r="B568" s="3" t="s">
        <v>5</v>
      </c>
      <c r="C568" s="4"/>
      <c r="D568" s="4" t="s">
        <v>152</v>
      </c>
      <c r="E568" s="4" t="s">
        <v>153</v>
      </c>
      <c r="F568" s="5" t="s">
        <v>155</v>
      </c>
      <c r="G568" s="5" t="s">
        <v>157</v>
      </c>
      <c r="H568" s="5" t="s">
        <v>230</v>
      </c>
      <c r="I568" s="25" t="s">
        <v>156</v>
      </c>
      <c r="J568" s="25" t="s">
        <v>234</v>
      </c>
    </row>
    <row r="569" spans="2:15" ht="15.75" x14ac:dyDescent="0.25">
      <c r="B569" s="6">
        <v>2022</v>
      </c>
      <c r="C569" s="2"/>
      <c r="D569" s="2"/>
      <c r="E569" s="2"/>
      <c r="F569" s="2"/>
      <c r="G569" s="2"/>
      <c r="H569" s="44">
        <v>1022.56</v>
      </c>
      <c r="I569" s="44">
        <v>1009</v>
      </c>
      <c r="J569" s="2"/>
    </row>
    <row r="570" spans="2:15" ht="15.75" x14ac:dyDescent="0.25">
      <c r="B570" s="7" t="s">
        <v>26</v>
      </c>
      <c r="C570" s="2"/>
      <c r="D570" s="8" t="s">
        <v>158</v>
      </c>
      <c r="E570" s="2"/>
      <c r="F570" s="9">
        <v>1580</v>
      </c>
      <c r="G570" s="9">
        <v>1578.18</v>
      </c>
      <c r="H570" s="9">
        <v>1580</v>
      </c>
      <c r="I570" s="9">
        <v>1263.18</v>
      </c>
      <c r="J570" s="9">
        <v>906</v>
      </c>
    </row>
    <row r="571" spans="2:15" ht="15.75" x14ac:dyDescent="0.25">
      <c r="B571" s="10"/>
      <c r="C571" s="4"/>
      <c r="D571" s="11"/>
      <c r="E571" s="4"/>
      <c r="F571" s="12"/>
      <c r="G571" s="12"/>
      <c r="H571" s="12"/>
      <c r="I571" s="12"/>
      <c r="J571" s="12"/>
      <c r="L571" t="s">
        <v>235</v>
      </c>
    </row>
    <row r="572" spans="2:15" x14ac:dyDescent="0.25">
      <c r="B572" s="153" t="s">
        <v>159</v>
      </c>
      <c r="C572" s="13" t="s">
        <v>160</v>
      </c>
      <c r="D572" s="14" t="s">
        <v>161</v>
      </c>
      <c r="E572" s="15">
        <v>1229.5999999999999</v>
      </c>
      <c r="F572" s="16">
        <f t="shared" ref="F572:F587" si="103">$E572/5</f>
        <v>245.92</v>
      </c>
      <c r="G572" s="16">
        <f t="shared" ref="G572:G587" si="104">$E572/5</f>
        <v>245.92</v>
      </c>
      <c r="H572" s="16">
        <f t="shared" ref="H572:H587" si="105">$E572/5</f>
        <v>245.92</v>
      </c>
      <c r="I572" s="16">
        <f t="shared" ref="I572:I587" si="106">$E572/5</f>
        <v>245.92</v>
      </c>
      <c r="J572" s="16">
        <f t="shared" ref="J572:J587" si="107">$E572/5</f>
        <v>245.92</v>
      </c>
      <c r="K572" s="45" t="s">
        <v>236</v>
      </c>
      <c r="L572" t="s">
        <v>237</v>
      </c>
    </row>
    <row r="573" spans="2:15" x14ac:dyDescent="0.25">
      <c r="B573" s="153"/>
      <c r="C573" s="13" t="s">
        <v>160</v>
      </c>
      <c r="D573" s="14" t="s">
        <v>20</v>
      </c>
      <c r="E573" s="15">
        <v>100</v>
      </c>
      <c r="F573" s="16">
        <f t="shared" si="103"/>
        <v>20</v>
      </c>
      <c r="G573" s="16">
        <f t="shared" si="104"/>
        <v>20</v>
      </c>
      <c r="H573" s="16">
        <f t="shared" si="105"/>
        <v>20</v>
      </c>
      <c r="I573" s="16">
        <f t="shared" si="106"/>
        <v>20</v>
      </c>
      <c r="J573" s="16">
        <f t="shared" si="107"/>
        <v>20</v>
      </c>
      <c r="K573" s="45" t="s">
        <v>238</v>
      </c>
      <c r="L573" t="s">
        <v>239</v>
      </c>
    </row>
    <row r="574" spans="2:15" x14ac:dyDescent="0.25">
      <c r="B574" s="153"/>
      <c r="C574" s="13" t="s">
        <v>160</v>
      </c>
      <c r="D574" s="14" t="s">
        <v>21</v>
      </c>
      <c r="E574" s="15">
        <v>150</v>
      </c>
      <c r="F574" s="16">
        <f t="shared" si="103"/>
        <v>30</v>
      </c>
      <c r="G574" s="16">
        <f t="shared" si="104"/>
        <v>30</v>
      </c>
      <c r="H574" s="16">
        <f t="shared" si="105"/>
        <v>30</v>
      </c>
      <c r="I574" s="16">
        <f t="shared" si="106"/>
        <v>30</v>
      </c>
      <c r="J574" s="16">
        <f t="shared" si="107"/>
        <v>30</v>
      </c>
      <c r="K574" s="45" t="s">
        <v>238</v>
      </c>
      <c r="L574" t="s">
        <v>240</v>
      </c>
    </row>
    <row r="575" spans="2:15" x14ac:dyDescent="0.25">
      <c r="B575" s="153"/>
      <c r="C575" s="13" t="s">
        <v>160</v>
      </c>
      <c r="D575" s="14" t="s">
        <v>22</v>
      </c>
      <c r="E575" s="15">
        <v>120</v>
      </c>
      <c r="F575" s="16">
        <f t="shared" si="103"/>
        <v>24</v>
      </c>
      <c r="G575" s="16">
        <f t="shared" si="104"/>
        <v>24</v>
      </c>
      <c r="H575" s="16">
        <f t="shared" si="105"/>
        <v>24</v>
      </c>
      <c r="I575" s="16">
        <f t="shared" si="106"/>
        <v>24</v>
      </c>
      <c r="J575" s="16">
        <f t="shared" si="107"/>
        <v>24</v>
      </c>
      <c r="K575" s="45" t="s">
        <v>238</v>
      </c>
      <c r="L575" t="s">
        <v>241</v>
      </c>
    </row>
    <row r="576" spans="2:15" x14ac:dyDescent="0.25">
      <c r="B576" s="153"/>
      <c r="C576" s="13" t="s">
        <v>163</v>
      </c>
      <c r="D576" s="14"/>
      <c r="E576" s="15"/>
      <c r="F576" s="16">
        <f t="shared" si="103"/>
        <v>0</v>
      </c>
      <c r="G576" s="16">
        <f t="shared" si="104"/>
        <v>0</v>
      </c>
      <c r="H576" s="16">
        <f t="shared" si="105"/>
        <v>0</v>
      </c>
      <c r="I576" s="16">
        <f t="shared" si="106"/>
        <v>0</v>
      </c>
      <c r="J576" s="16">
        <f t="shared" si="107"/>
        <v>0</v>
      </c>
    </row>
    <row r="577" spans="2:12" x14ac:dyDescent="0.25">
      <c r="B577" s="153"/>
      <c r="C577" s="13" t="s">
        <v>160</v>
      </c>
      <c r="D577" s="14" t="s">
        <v>165</v>
      </c>
      <c r="E577" s="15">
        <v>300</v>
      </c>
      <c r="F577" s="16">
        <f t="shared" si="103"/>
        <v>60</v>
      </c>
      <c r="G577" s="16">
        <f t="shared" si="104"/>
        <v>60</v>
      </c>
      <c r="H577" s="16">
        <f t="shared" si="105"/>
        <v>60</v>
      </c>
      <c r="I577" s="16">
        <f t="shared" si="106"/>
        <v>60</v>
      </c>
      <c r="J577" s="16">
        <f t="shared" si="107"/>
        <v>60</v>
      </c>
    </row>
    <row r="578" spans="2:12" x14ac:dyDescent="0.25">
      <c r="B578" s="153"/>
      <c r="C578" s="13" t="s">
        <v>166</v>
      </c>
      <c r="D578" s="14" t="s">
        <v>167</v>
      </c>
      <c r="E578" s="15">
        <v>120</v>
      </c>
      <c r="F578" s="16">
        <f t="shared" si="103"/>
        <v>24</v>
      </c>
      <c r="G578" s="16">
        <f t="shared" si="104"/>
        <v>24</v>
      </c>
      <c r="H578" s="16">
        <f t="shared" si="105"/>
        <v>24</v>
      </c>
      <c r="I578" s="16">
        <f t="shared" si="106"/>
        <v>24</v>
      </c>
      <c r="J578" s="16">
        <f t="shared" si="107"/>
        <v>24</v>
      </c>
    </row>
    <row r="579" spans="2:12" x14ac:dyDescent="0.25">
      <c r="B579" s="153"/>
      <c r="C579" s="13" t="s">
        <v>163</v>
      </c>
      <c r="D579" s="14"/>
      <c r="E579" s="15"/>
      <c r="F579" s="16">
        <f t="shared" si="103"/>
        <v>0</v>
      </c>
      <c r="G579" s="16">
        <f t="shared" si="104"/>
        <v>0</v>
      </c>
      <c r="H579" s="16">
        <f t="shared" si="105"/>
        <v>0</v>
      </c>
      <c r="I579" s="16">
        <f t="shared" si="106"/>
        <v>0</v>
      </c>
      <c r="J579" s="16">
        <f t="shared" si="107"/>
        <v>0</v>
      </c>
      <c r="L579">
        <v>0.90908</v>
      </c>
    </row>
    <row r="580" spans="2:12" x14ac:dyDescent="0.25">
      <c r="B580" s="153"/>
      <c r="C580" s="13" t="s">
        <v>242</v>
      </c>
      <c r="D580" s="14" t="s">
        <v>243</v>
      </c>
      <c r="E580" s="15">
        <f>6*13</f>
        <v>78</v>
      </c>
      <c r="F580" s="16">
        <f t="shared" si="103"/>
        <v>15.6</v>
      </c>
      <c r="G580" s="16">
        <f t="shared" si="104"/>
        <v>15.6</v>
      </c>
      <c r="H580" s="16">
        <f t="shared" si="105"/>
        <v>15.6</v>
      </c>
      <c r="I580" s="16">
        <f t="shared" si="106"/>
        <v>15.6</v>
      </c>
      <c r="J580" s="16">
        <f t="shared" si="107"/>
        <v>15.6</v>
      </c>
    </row>
    <row r="581" spans="2:12" x14ac:dyDescent="0.25">
      <c r="B581" s="153"/>
      <c r="C581" s="13" t="s">
        <v>163</v>
      </c>
      <c r="D581" s="14"/>
      <c r="E581" s="15"/>
      <c r="F581" s="16">
        <f t="shared" si="103"/>
        <v>0</v>
      </c>
      <c r="G581" s="16">
        <f t="shared" si="104"/>
        <v>0</v>
      </c>
      <c r="H581" s="16">
        <f t="shared" si="105"/>
        <v>0</v>
      </c>
      <c r="I581" s="16">
        <f t="shared" si="106"/>
        <v>0</v>
      </c>
      <c r="J581" s="16">
        <f t="shared" si="107"/>
        <v>0</v>
      </c>
    </row>
    <row r="582" spans="2:12" x14ac:dyDescent="0.25">
      <c r="B582" s="153"/>
      <c r="C582" s="13" t="s">
        <v>170</v>
      </c>
      <c r="D582" s="14" t="s">
        <v>244</v>
      </c>
      <c r="E582" s="15">
        <v>47.91</v>
      </c>
      <c r="F582" s="16">
        <f t="shared" si="103"/>
        <v>9.581999999999999</v>
      </c>
      <c r="G582" s="16">
        <f t="shared" si="104"/>
        <v>9.581999999999999</v>
      </c>
      <c r="H582" s="16">
        <f t="shared" si="105"/>
        <v>9.581999999999999</v>
      </c>
      <c r="I582" s="16">
        <f t="shared" si="106"/>
        <v>9.581999999999999</v>
      </c>
      <c r="J582" s="16">
        <f t="shared" si="107"/>
        <v>9.581999999999999</v>
      </c>
    </row>
    <row r="583" spans="2:12" x14ac:dyDescent="0.25">
      <c r="B583" s="153"/>
      <c r="C583" s="13" t="s">
        <v>170</v>
      </c>
      <c r="D583" s="14"/>
      <c r="E583" s="15"/>
      <c r="F583" s="16">
        <f t="shared" si="103"/>
        <v>0</v>
      </c>
      <c r="G583" s="16">
        <f t="shared" si="104"/>
        <v>0</v>
      </c>
      <c r="H583" s="16">
        <f t="shared" si="105"/>
        <v>0</v>
      </c>
      <c r="I583" s="16">
        <f t="shared" si="106"/>
        <v>0</v>
      </c>
      <c r="J583" s="16">
        <f t="shared" si="107"/>
        <v>0</v>
      </c>
    </row>
    <row r="584" spans="2:12" x14ac:dyDescent="0.25">
      <c r="B584" s="153"/>
      <c r="C584" s="13" t="s">
        <v>163</v>
      </c>
      <c r="D584" s="14"/>
      <c r="E584" s="15"/>
      <c r="F584" s="16">
        <f t="shared" si="103"/>
        <v>0</v>
      </c>
      <c r="G584" s="16">
        <f t="shared" si="104"/>
        <v>0</v>
      </c>
      <c r="H584" s="16">
        <f t="shared" si="105"/>
        <v>0</v>
      </c>
      <c r="I584" s="16">
        <f t="shared" si="106"/>
        <v>0</v>
      </c>
      <c r="J584" s="16">
        <f t="shared" si="107"/>
        <v>0</v>
      </c>
    </row>
    <row r="585" spans="2:12" ht="15" customHeight="1" x14ac:dyDescent="0.25">
      <c r="B585" s="153"/>
      <c r="C585" s="17"/>
      <c r="D585" s="18"/>
      <c r="E585" s="15"/>
      <c r="F585" s="16">
        <f t="shared" si="103"/>
        <v>0</v>
      </c>
      <c r="G585" s="16">
        <f t="shared" si="104"/>
        <v>0</v>
      </c>
      <c r="H585" s="16">
        <f t="shared" si="105"/>
        <v>0</v>
      </c>
      <c r="I585" s="16">
        <f t="shared" si="106"/>
        <v>0</v>
      </c>
      <c r="J585" s="16">
        <f t="shared" si="107"/>
        <v>0</v>
      </c>
    </row>
    <row r="586" spans="2:12" x14ac:dyDescent="0.25">
      <c r="B586" s="153"/>
      <c r="C586" s="2" t="s">
        <v>160</v>
      </c>
      <c r="D586" s="4"/>
      <c r="E586" s="19"/>
      <c r="F586" s="16">
        <f t="shared" si="103"/>
        <v>0</v>
      </c>
      <c r="G586" s="16">
        <f t="shared" si="104"/>
        <v>0</v>
      </c>
      <c r="H586" s="16">
        <f t="shared" si="105"/>
        <v>0</v>
      </c>
      <c r="I586" s="16">
        <f t="shared" si="106"/>
        <v>0</v>
      </c>
      <c r="J586" s="16">
        <f t="shared" si="107"/>
        <v>0</v>
      </c>
      <c r="K586" s="26" t="s">
        <v>175</v>
      </c>
    </row>
    <row r="587" spans="2:12" x14ac:dyDescent="0.25">
      <c r="B587" s="153"/>
      <c r="C587" s="2"/>
      <c r="D587" s="4" t="s">
        <v>26</v>
      </c>
      <c r="E587" s="19">
        <v>0</v>
      </c>
      <c r="F587" s="16">
        <f t="shared" si="103"/>
        <v>0</v>
      </c>
      <c r="G587" s="16">
        <f t="shared" si="104"/>
        <v>0</v>
      </c>
      <c r="H587" s="16">
        <f t="shared" si="105"/>
        <v>0</v>
      </c>
      <c r="I587" s="16">
        <f t="shared" si="106"/>
        <v>0</v>
      </c>
      <c r="J587" s="16">
        <f t="shared" si="107"/>
        <v>0</v>
      </c>
      <c r="K587" s="27">
        <f>SUM(E572:E587)</f>
        <v>2145.5099999999998</v>
      </c>
    </row>
    <row r="588" spans="2:12" x14ac:dyDescent="0.25">
      <c r="B588" s="153"/>
      <c r="C588" s="20" t="s">
        <v>176</v>
      </c>
      <c r="D588" s="4" t="s">
        <v>26</v>
      </c>
      <c r="E588" s="155">
        <f>SUM(F588:J588)/5.2425</f>
        <v>0.31061252307750448</v>
      </c>
      <c r="F588" s="21">
        <f>$K590*1/F570</f>
        <v>0.27158354430379744</v>
      </c>
      <c r="G588" s="21">
        <f>$K590*1/G570</f>
        <v>0.27189674181652279</v>
      </c>
      <c r="H588" s="21">
        <f>$K590*1/H570</f>
        <v>0.27158354430379744</v>
      </c>
      <c r="I588" s="21">
        <f>$K590*1/I570</f>
        <v>0.33969980525340804</v>
      </c>
      <c r="J588" s="21">
        <f>$K590*1/J570</f>
        <v>0.47362251655629134</v>
      </c>
    </row>
    <row r="589" spans="2:12" x14ac:dyDescent="0.25">
      <c r="B589" s="153"/>
      <c r="C589" s="20" t="s">
        <v>177</v>
      </c>
      <c r="D589" s="4"/>
      <c r="E589" s="155"/>
      <c r="F589" s="22">
        <f>$E588</f>
        <v>0.31061252307750448</v>
      </c>
      <c r="G589" s="22">
        <f>$E588</f>
        <v>0.31061252307750448</v>
      </c>
      <c r="H589" s="22">
        <f>$E588</f>
        <v>0.31061252307750448</v>
      </c>
      <c r="I589" s="22">
        <f>$E588</f>
        <v>0.31061252307750448</v>
      </c>
      <c r="J589" s="22">
        <f>$E588</f>
        <v>0.31061252307750448</v>
      </c>
      <c r="K589" s="22"/>
    </row>
    <row r="590" spans="2:12" x14ac:dyDescent="0.25">
      <c r="B590" s="154" t="s">
        <v>178</v>
      </c>
      <c r="C590" s="154"/>
      <c r="D590" s="154"/>
      <c r="E590" s="154"/>
      <c r="F590" s="23" t="str">
        <f>F568</f>
        <v>Aninha</v>
      </c>
      <c r="G590" s="23" t="str">
        <f>G568</f>
        <v>Eudes</v>
      </c>
      <c r="H590" s="23" t="str">
        <f>H568</f>
        <v>Taíse</v>
      </c>
      <c r="I590" s="28" t="str">
        <f>I568</f>
        <v>Dayanne</v>
      </c>
      <c r="J590" s="28" t="str">
        <f>J568</f>
        <v>Natalia</v>
      </c>
      <c r="K590" s="29">
        <f>K587/5</f>
        <v>429.10199999999998</v>
      </c>
      <c r="L590" s="30" t="s">
        <v>179</v>
      </c>
    </row>
    <row r="591" spans="2:12" x14ac:dyDescent="0.25">
      <c r="B591" s="154"/>
      <c r="C591" s="154"/>
      <c r="D591" s="154"/>
      <c r="E591" s="154"/>
      <c r="F591" s="24">
        <f>F570*$E588</f>
        <v>490.76778646245708</v>
      </c>
      <c r="G591" s="24">
        <f>G570*$E588</f>
        <v>490.20247167045602</v>
      </c>
      <c r="H591" s="24">
        <f>H570*$E588</f>
        <v>490.76778646245708</v>
      </c>
      <c r="I591" s="24">
        <f>I570*$E588</f>
        <v>392.3595269010421</v>
      </c>
      <c r="J591" s="24">
        <f>E588*J570</f>
        <v>281.41494590821907</v>
      </c>
      <c r="K591" s="31" t="s">
        <v>180</v>
      </c>
      <c r="L591" s="32">
        <f>SUM(F591:J591)</f>
        <v>2145.5125174046311</v>
      </c>
    </row>
    <row r="592" spans="2:12" x14ac:dyDescent="0.25">
      <c r="J592" s="38"/>
    </row>
    <row r="593" spans="2:12" x14ac:dyDescent="0.25">
      <c r="K593" s="33" t="s">
        <v>181</v>
      </c>
      <c r="L593" s="34">
        <f>K587-L591</f>
        <v>-2.5174046313622966E-3</v>
      </c>
    </row>
    <row r="595" spans="2:12" x14ac:dyDescent="0.25">
      <c r="B595" s="1" t="s">
        <v>148</v>
      </c>
      <c r="C595" s="2"/>
      <c r="D595" s="2" t="s">
        <v>150</v>
      </c>
      <c r="E595" s="46"/>
      <c r="F595" s="152" t="s">
        <v>151</v>
      </c>
      <c r="G595" s="152"/>
      <c r="H595" s="152"/>
    </row>
    <row r="596" spans="2:12" x14ac:dyDescent="0.25">
      <c r="B596" s="3" t="s">
        <v>3</v>
      </c>
      <c r="C596" s="4" t="s">
        <v>245</v>
      </c>
      <c r="D596" s="4" t="s">
        <v>152</v>
      </c>
      <c r="E596" s="4" t="s">
        <v>153</v>
      </c>
      <c r="F596" s="5" t="s">
        <v>110</v>
      </c>
      <c r="G596" s="5" t="s">
        <v>157</v>
      </c>
      <c r="H596" s="14"/>
    </row>
    <row r="597" spans="2:12" ht="15.75" x14ac:dyDescent="0.25">
      <c r="B597" s="6">
        <v>2023</v>
      </c>
      <c r="C597" s="2"/>
      <c r="D597" s="2"/>
      <c r="E597" s="2"/>
      <c r="F597" s="2"/>
      <c r="G597" s="2"/>
      <c r="H597" s="2"/>
    </row>
    <row r="598" spans="2:12" ht="10.5" customHeight="1" x14ac:dyDescent="0.25">
      <c r="B598" s="10"/>
      <c r="C598" s="4"/>
      <c r="D598" s="11"/>
      <c r="E598" s="4"/>
      <c r="F598" s="12"/>
      <c r="G598" s="12"/>
      <c r="H598" s="12"/>
    </row>
    <row r="599" spans="2:12" ht="15" customHeight="1" x14ac:dyDescent="0.25">
      <c r="B599" s="153" t="s">
        <v>159</v>
      </c>
      <c r="C599" s="13" t="s">
        <v>160</v>
      </c>
      <c r="D599" s="14" t="s">
        <v>161</v>
      </c>
      <c r="E599" s="15">
        <v>927</v>
      </c>
      <c r="F599" s="16">
        <f t="shared" ref="F599:F609" si="108">$E599/2</f>
        <v>463.5</v>
      </c>
      <c r="G599" s="16">
        <f t="shared" ref="G599:G609" si="109">$E599/2</f>
        <v>463.5</v>
      </c>
      <c r="H599" s="2"/>
    </row>
    <row r="600" spans="2:12" x14ac:dyDescent="0.25">
      <c r="B600" s="153"/>
      <c r="C600" s="13" t="s">
        <v>160</v>
      </c>
      <c r="D600" s="14" t="s">
        <v>20</v>
      </c>
      <c r="E600" s="15">
        <v>100</v>
      </c>
      <c r="F600" s="16">
        <f t="shared" si="108"/>
        <v>50</v>
      </c>
      <c r="G600" s="16">
        <f t="shared" si="109"/>
        <v>50</v>
      </c>
      <c r="H600" s="2"/>
    </row>
    <row r="601" spans="2:12" x14ac:dyDescent="0.25">
      <c r="B601" s="153"/>
      <c r="C601" s="13" t="s">
        <v>160</v>
      </c>
      <c r="D601" s="14" t="s">
        <v>21</v>
      </c>
      <c r="E601" s="15">
        <v>0</v>
      </c>
      <c r="F601" s="16">
        <f t="shared" si="108"/>
        <v>0</v>
      </c>
      <c r="G601" s="16">
        <f t="shared" si="109"/>
        <v>0</v>
      </c>
      <c r="H601" s="2"/>
    </row>
    <row r="602" spans="2:12" x14ac:dyDescent="0.25">
      <c r="B602" s="153"/>
      <c r="C602" s="13" t="s">
        <v>160</v>
      </c>
      <c r="D602" s="14" t="s">
        <v>22</v>
      </c>
      <c r="E602" s="15">
        <v>120</v>
      </c>
      <c r="F602" s="16">
        <f t="shared" si="108"/>
        <v>60</v>
      </c>
      <c r="G602" s="16">
        <f t="shared" si="109"/>
        <v>60</v>
      </c>
      <c r="H602" s="2"/>
    </row>
    <row r="603" spans="2:12" x14ac:dyDescent="0.25">
      <c r="B603" s="153"/>
      <c r="C603" s="13" t="s">
        <v>163</v>
      </c>
      <c r="D603" s="14"/>
      <c r="E603" s="15"/>
      <c r="F603" s="16">
        <f t="shared" si="108"/>
        <v>0</v>
      </c>
      <c r="G603" s="16">
        <f t="shared" si="109"/>
        <v>0</v>
      </c>
      <c r="H603" s="2"/>
    </row>
    <row r="604" spans="2:12" x14ac:dyDescent="0.25">
      <c r="B604" s="153"/>
      <c r="C604" s="13" t="s">
        <v>160</v>
      </c>
      <c r="D604" s="14" t="s">
        <v>165</v>
      </c>
      <c r="E604" s="15">
        <v>200</v>
      </c>
      <c r="F604" s="16">
        <f t="shared" si="108"/>
        <v>100</v>
      </c>
      <c r="G604" s="16">
        <f t="shared" si="109"/>
        <v>100</v>
      </c>
      <c r="H604" s="2"/>
    </row>
    <row r="605" spans="2:12" x14ac:dyDescent="0.25">
      <c r="B605" s="153"/>
      <c r="C605" s="13" t="s">
        <v>166</v>
      </c>
      <c r="D605" s="14" t="s">
        <v>167</v>
      </c>
      <c r="E605" s="15"/>
      <c r="F605" s="16">
        <f t="shared" si="108"/>
        <v>0</v>
      </c>
      <c r="G605" s="16">
        <f t="shared" si="109"/>
        <v>0</v>
      </c>
      <c r="H605" s="2"/>
    </row>
    <row r="606" spans="2:12" x14ac:dyDescent="0.25">
      <c r="B606" s="153"/>
      <c r="C606" s="13" t="s">
        <v>163</v>
      </c>
      <c r="D606" s="14"/>
      <c r="E606" s="15"/>
      <c r="F606" s="16">
        <f t="shared" si="108"/>
        <v>0</v>
      </c>
      <c r="G606" s="16">
        <f t="shared" si="109"/>
        <v>0</v>
      </c>
      <c r="H606" s="2"/>
    </row>
    <row r="607" spans="2:12" x14ac:dyDescent="0.25">
      <c r="B607" s="153"/>
      <c r="C607" s="13" t="s">
        <v>242</v>
      </c>
      <c r="D607" s="14" t="s">
        <v>243</v>
      </c>
      <c r="E607" s="15">
        <v>0</v>
      </c>
      <c r="F607" s="16">
        <f t="shared" si="108"/>
        <v>0</v>
      </c>
      <c r="G607" s="16">
        <f t="shared" si="109"/>
        <v>0</v>
      </c>
      <c r="H607" s="2"/>
    </row>
    <row r="608" spans="2:12" x14ac:dyDescent="0.25">
      <c r="B608" s="153"/>
      <c r="C608" s="13" t="s">
        <v>163</v>
      </c>
      <c r="D608" s="14"/>
      <c r="E608" s="15"/>
      <c r="F608" s="16">
        <f t="shared" si="108"/>
        <v>0</v>
      </c>
      <c r="G608" s="16">
        <f t="shared" si="109"/>
        <v>0</v>
      </c>
      <c r="H608" s="2"/>
    </row>
    <row r="609" spans="2:8" x14ac:dyDescent="0.25">
      <c r="B609" s="153"/>
      <c r="C609" s="13" t="s">
        <v>170</v>
      </c>
      <c r="D609" s="14" t="s">
        <v>244</v>
      </c>
      <c r="E609" s="15">
        <v>0</v>
      </c>
      <c r="F609" s="16">
        <f t="shared" si="108"/>
        <v>0</v>
      </c>
      <c r="G609" s="16">
        <f t="shared" si="109"/>
        <v>0</v>
      </c>
      <c r="H609" s="2"/>
    </row>
    <row r="610" spans="2:8" x14ac:dyDescent="0.25">
      <c r="B610" s="153"/>
      <c r="C610" s="13" t="s">
        <v>170</v>
      </c>
      <c r="D610" s="14"/>
      <c r="E610" s="15"/>
      <c r="F610" s="16"/>
      <c r="G610" s="16"/>
      <c r="H610" s="2"/>
    </row>
    <row r="611" spans="2:8" x14ac:dyDescent="0.25">
      <c r="B611" s="153"/>
      <c r="C611" s="13" t="s">
        <v>163</v>
      </c>
      <c r="D611" s="14"/>
      <c r="E611" s="15"/>
      <c r="F611" s="16"/>
      <c r="G611" s="16"/>
      <c r="H611" s="2"/>
    </row>
    <row r="612" spans="2:8" x14ac:dyDescent="0.25">
      <c r="B612" s="153"/>
      <c r="C612" s="17"/>
      <c r="D612" s="18"/>
      <c r="E612" s="15"/>
      <c r="F612" s="16"/>
      <c r="G612" s="16"/>
      <c r="H612" s="2"/>
    </row>
    <row r="613" spans="2:8" x14ac:dyDescent="0.25">
      <c r="B613" s="153"/>
      <c r="C613" s="2" t="s">
        <v>160</v>
      </c>
      <c r="D613" s="4"/>
      <c r="E613" s="19"/>
      <c r="F613" s="16"/>
      <c r="G613" s="16"/>
      <c r="H613" s="2"/>
    </row>
    <row r="614" spans="2:8" x14ac:dyDescent="0.25">
      <c r="B614" s="153"/>
      <c r="C614" s="2"/>
      <c r="D614" s="4" t="s">
        <v>26</v>
      </c>
      <c r="E614" s="19"/>
      <c r="F614" s="16"/>
      <c r="G614" s="16"/>
      <c r="H614" s="2"/>
    </row>
    <row r="615" spans="2:8" x14ac:dyDescent="0.25">
      <c r="B615" s="154" t="s">
        <v>178</v>
      </c>
      <c r="C615" s="154"/>
      <c r="D615" s="154"/>
      <c r="E615" s="154"/>
      <c r="F615" s="23" t="str">
        <f>F596</f>
        <v>Cristiano</v>
      </c>
      <c r="G615" s="23" t="str">
        <f>G596</f>
        <v>Eudes</v>
      </c>
      <c r="H615" s="26" t="s">
        <v>175</v>
      </c>
    </row>
    <row r="616" spans="2:8" x14ac:dyDescent="0.25">
      <c r="B616" s="154"/>
      <c r="C616" s="154"/>
      <c r="D616" s="154"/>
      <c r="E616" s="154"/>
      <c r="F616" s="24">
        <f>H616/2</f>
        <v>673.5</v>
      </c>
      <c r="G616" s="24">
        <f>H616/2</f>
        <v>673.5</v>
      </c>
      <c r="H616" s="24">
        <f>SUM(E599:E614)</f>
        <v>1347</v>
      </c>
    </row>
    <row r="619" spans="2:8" x14ac:dyDescent="0.25">
      <c r="B619" s="1" t="s">
        <v>148</v>
      </c>
      <c r="C619" s="2"/>
      <c r="D619" s="2" t="s">
        <v>150</v>
      </c>
      <c r="E619" s="46"/>
      <c r="F619" s="152" t="s">
        <v>151</v>
      </c>
      <c r="G619" s="152"/>
      <c r="H619" s="152"/>
    </row>
    <row r="620" spans="2:8" x14ac:dyDescent="0.25">
      <c r="B620" s="3" t="s">
        <v>4</v>
      </c>
      <c r="C620" s="4" t="s">
        <v>245</v>
      </c>
      <c r="D620" s="4" t="s">
        <v>152</v>
      </c>
      <c r="E620" s="4" t="s">
        <v>153</v>
      </c>
      <c r="F620" s="5" t="s">
        <v>110</v>
      </c>
      <c r="G620" s="5" t="s">
        <v>157</v>
      </c>
      <c r="H620" s="14"/>
    </row>
    <row r="621" spans="2:8" ht="15.75" x14ac:dyDescent="0.25">
      <c r="B621" s="6">
        <v>2023</v>
      </c>
      <c r="C621" s="2"/>
      <c r="D621" s="2"/>
      <c r="E621" s="2"/>
      <c r="F621" s="2"/>
      <c r="G621" s="2"/>
      <c r="H621" s="2"/>
    </row>
    <row r="622" spans="2:8" ht="15.75" x14ac:dyDescent="0.25">
      <c r="B622" s="10"/>
      <c r="C622" s="4"/>
      <c r="D622" s="11"/>
      <c r="E622" s="4"/>
      <c r="F622" s="12"/>
      <c r="G622" s="12"/>
      <c r="H622" s="12"/>
    </row>
    <row r="623" spans="2:8" x14ac:dyDescent="0.25">
      <c r="B623" s="153" t="s">
        <v>159</v>
      </c>
      <c r="C623" s="13" t="s">
        <v>160</v>
      </c>
      <c r="D623" s="14" t="s">
        <v>161</v>
      </c>
      <c r="E623" s="15">
        <v>926.9</v>
      </c>
      <c r="F623" s="16">
        <f t="shared" ref="F623:F633" si="110">$E623/2</f>
        <v>463.45</v>
      </c>
      <c r="G623" s="16">
        <f t="shared" ref="G623:G633" si="111">$E623/2</f>
        <v>463.45</v>
      </c>
      <c r="H623" s="2"/>
    </row>
    <row r="624" spans="2:8" x14ac:dyDescent="0.25">
      <c r="B624" s="153"/>
      <c r="C624" s="13" t="s">
        <v>160</v>
      </c>
      <c r="D624" s="14" t="s">
        <v>20</v>
      </c>
      <c r="E624" s="15">
        <v>70</v>
      </c>
      <c r="F624" s="16">
        <f t="shared" si="110"/>
        <v>35</v>
      </c>
      <c r="G624" s="16">
        <f t="shared" si="111"/>
        <v>35</v>
      </c>
      <c r="H624" s="2"/>
    </row>
    <row r="625" spans="2:8" x14ac:dyDescent="0.25">
      <c r="B625" s="153"/>
      <c r="C625" s="13" t="s">
        <v>160</v>
      </c>
      <c r="D625" s="14" t="s">
        <v>21</v>
      </c>
      <c r="E625" s="15">
        <v>100</v>
      </c>
      <c r="F625" s="16">
        <f t="shared" si="110"/>
        <v>50</v>
      </c>
      <c r="G625" s="16">
        <f t="shared" si="111"/>
        <v>50</v>
      </c>
      <c r="H625" s="2"/>
    </row>
    <row r="626" spans="2:8" x14ac:dyDescent="0.25">
      <c r="B626" s="153"/>
      <c r="C626" s="13" t="s">
        <v>160</v>
      </c>
      <c r="D626" s="14" t="s">
        <v>22</v>
      </c>
      <c r="E626" s="15">
        <v>118</v>
      </c>
      <c r="F626" s="16">
        <f t="shared" si="110"/>
        <v>59</v>
      </c>
      <c r="G626" s="16">
        <f t="shared" si="111"/>
        <v>59</v>
      </c>
      <c r="H626" s="2"/>
    </row>
    <row r="627" spans="2:8" x14ac:dyDescent="0.25">
      <c r="B627" s="153"/>
      <c r="C627" s="13" t="s">
        <v>163</v>
      </c>
      <c r="D627" s="14"/>
      <c r="E627" s="15"/>
      <c r="F627" s="16">
        <f t="shared" si="110"/>
        <v>0</v>
      </c>
      <c r="G627" s="16">
        <f t="shared" si="111"/>
        <v>0</v>
      </c>
      <c r="H627" s="2"/>
    </row>
    <row r="628" spans="2:8" x14ac:dyDescent="0.25">
      <c r="B628" s="153"/>
      <c r="C628" s="13" t="s">
        <v>160</v>
      </c>
      <c r="D628" s="14" t="s">
        <v>165</v>
      </c>
      <c r="E628" s="15">
        <v>558.57000000000005</v>
      </c>
      <c r="F628" s="16">
        <f t="shared" si="110"/>
        <v>279.28500000000003</v>
      </c>
      <c r="G628" s="16">
        <f t="shared" si="111"/>
        <v>279.28500000000003</v>
      </c>
      <c r="H628" s="2"/>
    </row>
    <row r="629" spans="2:8" x14ac:dyDescent="0.25">
      <c r="B629" s="153"/>
      <c r="C629" s="13" t="s">
        <v>166</v>
      </c>
      <c r="D629" s="14" t="s">
        <v>167</v>
      </c>
      <c r="E629" s="15"/>
      <c r="F629" s="16">
        <f t="shared" si="110"/>
        <v>0</v>
      </c>
      <c r="G629" s="16">
        <f t="shared" si="111"/>
        <v>0</v>
      </c>
      <c r="H629" s="2"/>
    </row>
    <row r="630" spans="2:8" x14ac:dyDescent="0.25">
      <c r="B630" s="153"/>
      <c r="C630" s="13" t="s">
        <v>163</v>
      </c>
      <c r="D630" s="14"/>
      <c r="E630" s="15"/>
      <c r="F630" s="16">
        <f t="shared" si="110"/>
        <v>0</v>
      </c>
      <c r="G630" s="16">
        <f t="shared" si="111"/>
        <v>0</v>
      </c>
      <c r="H630" s="2"/>
    </row>
    <row r="631" spans="2:8" x14ac:dyDescent="0.25">
      <c r="B631" s="153"/>
      <c r="C631" s="13" t="s">
        <v>242</v>
      </c>
      <c r="D631" s="14" t="s">
        <v>243</v>
      </c>
      <c r="E631" s="15">
        <v>0</v>
      </c>
      <c r="F631" s="16">
        <f t="shared" si="110"/>
        <v>0</v>
      </c>
      <c r="G631" s="16">
        <f t="shared" si="111"/>
        <v>0</v>
      </c>
      <c r="H631" s="2"/>
    </row>
    <row r="632" spans="2:8" x14ac:dyDescent="0.25">
      <c r="B632" s="153"/>
      <c r="C632" s="13" t="s">
        <v>163</v>
      </c>
      <c r="D632" s="14"/>
      <c r="E632" s="15"/>
      <c r="F632" s="16">
        <f t="shared" si="110"/>
        <v>0</v>
      </c>
      <c r="G632" s="16">
        <f t="shared" si="111"/>
        <v>0</v>
      </c>
      <c r="H632" s="2"/>
    </row>
    <row r="633" spans="2:8" x14ac:dyDescent="0.25">
      <c r="B633" s="153"/>
      <c r="C633" s="13" t="s">
        <v>170</v>
      </c>
      <c r="D633" s="14" t="s">
        <v>244</v>
      </c>
      <c r="E633" s="15">
        <v>0</v>
      </c>
      <c r="F633" s="16">
        <f t="shared" si="110"/>
        <v>0</v>
      </c>
      <c r="G633" s="16">
        <f t="shared" si="111"/>
        <v>0</v>
      </c>
      <c r="H633" s="2"/>
    </row>
    <row r="634" spans="2:8" x14ac:dyDescent="0.25">
      <c r="B634" s="153"/>
      <c r="C634" s="13" t="s">
        <v>170</v>
      </c>
      <c r="D634" s="14"/>
      <c r="E634" s="15"/>
      <c r="F634" s="16"/>
      <c r="G634" s="16"/>
      <c r="H634" s="2"/>
    </row>
    <row r="635" spans="2:8" x14ac:dyDescent="0.25">
      <c r="B635" s="153"/>
      <c r="C635" s="13" t="s">
        <v>163</v>
      </c>
      <c r="D635" s="14"/>
      <c r="E635" s="15"/>
      <c r="F635" s="16"/>
      <c r="G635" s="16"/>
      <c r="H635" s="2"/>
    </row>
    <row r="636" spans="2:8" x14ac:dyDescent="0.25">
      <c r="B636" s="153"/>
      <c r="C636" s="17"/>
      <c r="D636" s="18"/>
      <c r="E636" s="15"/>
      <c r="F636" s="16"/>
      <c r="G636" s="16"/>
      <c r="H636" s="2"/>
    </row>
    <row r="637" spans="2:8" x14ac:dyDescent="0.25">
      <c r="B637" s="153"/>
      <c r="C637" s="2" t="s">
        <v>160</v>
      </c>
      <c r="D637" s="4"/>
      <c r="E637" s="19"/>
      <c r="F637" s="16"/>
      <c r="G637" s="16"/>
      <c r="H637" s="2"/>
    </row>
    <row r="638" spans="2:8" x14ac:dyDescent="0.25">
      <c r="B638" s="153"/>
      <c r="C638" s="2"/>
      <c r="D638" s="4" t="s">
        <v>26</v>
      </c>
      <c r="E638" s="19"/>
      <c r="F638" s="16"/>
      <c r="G638" s="16"/>
      <c r="H638" s="2"/>
    </row>
    <row r="639" spans="2:8" x14ac:dyDescent="0.25">
      <c r="B639" s="154" t="s">
        <v>178</v>
      </c>
      <c r="C639" s="154"/>
      <c r="D639" s="154"/>
      <c r="E639" s="154"/>
      <c r="F639" s="23" t="str">
        <f>F620</f>
        <v>Cristiano</v>
      </c>
      <c r="G639" s="23" t="str">
        <f>G620</f>
        <v>Eudes</v>
      </c>
      <c r="H639" s="26" t="s">
        <v>175</v>
      </c>
    </row>
    <row r="640" spans="2:8" x14ac:dyDescent="0.25">
      <c r="B640" s="154"/>
      <c r="C640" s="154"/>
      <c r="D640" s="154"/>
      <c r="E640" s="154"/>
      <c r="F640" s="24">
        <f>H640/2</f>
        <v>886.73500000000013</v>
      </c>
      <c r="G640" s="24">
        <f>H640/2</f>
        <v>886.73500000000013</v>
      </c>
      <c r="H640" s="24">
        <f>SUM(E623:E638)</f>
        <v>1773.4700000000003</v>
      </c>
    </row>
    <row r="643" spans="2:8" x14ac:dyDescent="0.25">
      <c r="B643" s="1" t="s">
        <v>148</v>
      </c>
      <c r="C643" s="2"/>
      <c r="D643" s="2" t="s">
        <v>150</v>
      </c>
      <c r="E643" s="46"/>
      <c r="F643" s="152" t="s">
        <v>151</v>
      </c>
      <c r="G643" s="152"/>
      <c r="H643" s="152"/>
    </row>
    <row r="644" spans="2:8" x14ac:dyDescent="0.25">
      <c r="B644" s="3" t="s">
        <v>5</v>
      </c>
      <c r="C644" s="4" t="s">
        <v>245</v>
      </c>
      <c r="D644" s="4" t="s">
        <v>152</v>
      </c>
      <c r="E644" s="4" t="s">
        <v>153</v>
      </c>
      <c r="F644" s="5" t="s">
        <v>110</v>
      </c>
      <c r="G644" s="5" t="s">
        <v>157</v>
      </c>
      <c r="H644" s="14"/>
    </row>
    <row r="645" spans="2:8" ht="15.75" x14ac:dyDescent="0.25">
      <c r="B645" s="6">
        <v>2023</v>
      </c>
      <c r="C645" s="2"/>
      <c r="D645" s="2"/>
      <c r="E645" s="2"/>
      <c r="F645" s="2"/>
      <c r="G645" s="2"/>
      <c r="H645" s="2"/>
    </row>
    <row r="646" spans="2:8" ht="15.75" x14ac:dyDescent="0.25">
      <c r="B646" s="10"/>
      <c r="C646" s="4"/>
      <c r="D646" s="11"/>
      <c r="E646" s="4"/>
      <c r="F646" s="12"/>
      <c r="G646" s="12"/>
      <c r="H646" s="12"/>
    </row>
    <row r="647" spans="2:8" x14ac:dyDescent="0.25">
      <c r="B647" s="153" t="s">
        <v>159</v>
      </c>
      <c r="C647" s="13" t="s">
        <v>160</v>
      </c>
      <c r="D647" s="14" t="s">
        <v>161</v>
      </c>
      <c r="E647" s="15">
        <v>926.9</v>
      </c>
      <c r="F647" s="16">
        <f t="shared" ref="F647:G657" si="112">$E647/2</f>
        <v>463.45</v>
      </c>
      <c r="G647" s="16">
        <f t="shared" si="112"/>
        <v>463.45</v>
      </c>
      <c r="H647" s="2"/>
    </row>
    <row r="648" spans="2:8" x14ac:dyDescent="0.25">
      <c r="B648" s="153"/>
      <c r="C648" s="13" t="s">
        <v>160</v>
      </c>
      <c r="D648" s="14" t="s">
        <v>20</v>
      </c>
      <c r="E648" s="15">
        <v>85</v>
      </c>
      <c r="F648" s="16">
        <f t="shared" si="112"/>
        <v>42.5</v>
      </c>
      <c r="G648" s="16">
        <f t="shared" si="112"/>
        <v>42.5</v>
      </c>
      <c r="H648" s="2"/>
    </row>
    <row r="649" spans="2:8" x14ac:dyDescent="0.25">
      <c r="B649" s="153"/>
      <c r="C649" s="13" t="s">
        <v>160</v>
      </c>
      <c r="D649" s="14" t="s">
        <v>21</v>
      </c>
      <c r="E649" s="15"/>
      <c r="F649" s="16">
        <f t="shared" si="112"/>
        <v>0</v>
      </c>
      <c r="G649" s="16">
        <f t="shared" si="112"/>
        <v>0</v>
      </c>
      <c r="H649" s="2"/>
    </row>
    <row r="650" spans="2:8" x14ac:dyDescent="0.25">
      <c r="B650" s="153"/>
      <c r="C650" s="13" t="s">
        <v>160</v>
      </c>
      <c r="D650" s="14" t="s">
        <v>22</v>
      </c>
      <c r="E650" s="15">
        <v>118</v>
      </c>
      <c r="F650" s="16">
        <f t="shared" si="112"/>
        <v>59</v>
      </c>
      <c r="G650" s="16">
        <f t="shared" si="112"/>
        <v>59</v>
      </c>
      <c r="H650" s="2"/>
    </row>
    <row r="651" spans="2:8" x14ac:dyDescent="0.25">
      <c r="B651" s="153"/>
      <c r="C651" s="13" t="s">
        <v>163</v>
      </c>
      <c r="D651" s="14"/>
      <c r="E651" s="15"/>
      <c r="F651" s="16">
        <f t="shared" si="112"/>
        <v>0</v>
      </c>
      <c r="G651" s="16">
        <f t="shared" si="112"/>
        <v>0</v>
      </c>
      <c r="H651" s="2"/>
    </row>
    <row r="652" spans="2:8" x14ac:dyDescent="0.25">
      <c r="B652" s="153"/>
      <c r="C652" s="13" t="s">
        <v>160</v>
      </c>
      <c r="D652" s="14" t="s">
        <v>165</v>
      </c>
      <c r="E652" s="15"/>
      <c r="F652" s="16">
        <f t="shared" si="112"/>
        <v>0</v>
      </c>
      <c r="G652" s="16">
        <f t="shared" si="112"/>
        <v>0</v>
      </c>
      <c r="H652" s="2"/>
    </row>
    <row r="653" spans="2:8" x14ac:dyDescent="0.25">
      <c r="B653" s="153"/>
      <c r="C653" s="13" t="s">
        <v>166</v>
      </c>
      <c r="D653" s="14" t="s">
        <v>167</v>
      </c>
      <c r="E653" s="15"/>
      <c r="F653" s="16">
        <f t="shared" si="112"/>
        <v>0</v>
      </c>
      <c r="G653" s="16">
        <f t="shared" si="112"/>
        <v>0</v>
      </c>
      <c r="H653" s="2"/>
    </row>
    <row r="654" spans="2:8" x14ac:dyDescent="0.25">
      <c r="B654" s="153"/>
      <c r="C654" s="13" t="s">
        <v>163</v>
      </c>
      <c r="D654" s="14"/>
      <c r="E654" s="15"/>
      <c r="F654" s="16">
        <f t="shared" si="112"/>
        <v>0</v>
      </c>
      <c r="G654" s="16">
        <f t="shared" si="112"/>
        <v>0</v>
      </c>
      <c r="H654" s="2"/>
    </row>
    <row r="655" spans="2:8" x14ac:dyDescent="0.25">
      <c r="B655" s="153"/>
      <c r="C655" s="13" t="s">
        <v>242</v>
      </c>
      <c r="D655" s="14" t="s">
        <v>243</v>
      </c>
      <c r="E655" s="15">
        <v>0</v>
      </c>
      <c r="F655" s="16">
        <f t="shared" si="112"/>
        <v>0</v>
      </c>
      <c r="G655" s="16">
        <f t="shared" si="112"/>
        <v>0</v>
      </c>
      <c r="H655" s="2"/>
    </row>
    <row r="656" spans="2:8" x14ac:dyDescent="0.25">
      <c r="B656" s="153"/>
      <c r="C656" s="13" t="s">
        <v>163</v>
      </c>
      <c r="D656" s="14"/>
      <c r="E656" s="15"/>
      <c r="F656" s="16">
        <f t="shared" si="112"/>
        <v>0</v>
      </c>
      <c r="G656" s="16">
        <f t="shared" si="112"/>
        <v>0</v>
      </c>
      <c r="H656" s="2"/>
    </row>
    <row r="657" spans="2:8" x14ac:dyDescent="0.25">
      <c r="B657" s="153"/>
      <c r="C657" s="13" t="s">
        <v>170</v>
      </c>
      <c r="D657" s="14" t="s">
        <v>244</v>
      </c>
      <c r="E657" s="15">
        <v>0</v>
      </c>
      <c r="F657" s="16">
        <f t="shared" si="112"/>
        <v>0</v>
      </c>
      <c r="G657" s="16">
        <f t="shared" si="112"/>
        <v>0</v>
      </c>
      <c r="H657" s="2"/>
    </row>
    <row r="658" spans="2:8" x14ac:dyDescent="0.25">
      <c r="B658" s="153"/>
      <c r="C658" s="13" t="s">
        <v>170</v>
      </c>
      <c r="D658" s="14"/>
      <c r="E658" s="15"/>
      <c r="F658" s="16"/>
      <c r="G658" s="16"/>
      <c r="H658" s="2"/>
    </row>
    <row r="659" spans="2:8" x14ac:dyDescent="0.25">
      <c r="B659" s="153"/>
      <c r="C659" s="13" t="s">
        <v>163</v>
      </c>
      <c r="D659" s="14"/>
      <c r="E659" s="15"/>
      <c r="F659" s="16"/>
      <c r="G659" s="16"/>
      <c r="H659" s="2"/>
    </row>
    <row r="660" spans="2:8" x14ac:dyDescent="0.25">
      <c r="B660" s="153"/>
      <c r="C660" s="17"/>
      <c r="D660" s="18"/>
      <c r="E660" s="15"/>
      <c r="F660" s="16"/>
      <c r="G660" s="16"/>
      <c r="H660" s="2"/>
    </row>
    <row r="661" spans="2:8" x14ac:dyDescent="0.25">
      <c r="B661" s="153"/>
      <c r="C661" s="2" t="s">
        <v>160</v>
      </c>
      <c r="D661" s="4"/>
      <c r="E661" s="19"/>
      <c r="F661" s="16"/>
      <c r="G661" s="16"/>
      <c r="H661" s="2"/>
    </row>
    <row r="662" spans="2:8" x14ac:dyDescent="0.25">
      <c r="B662" s="153"/>
      <c r="C662" s="2"/>
      <c r="D662" s="4" t="s">
        <v>26</v>
      </c>
      <c r="E662" s="19"/>
      <c r="F662" s="16"/>
      <c r="G662" s="16"/>
      <c r="H662" s="2"/>
    </row>
    <row r="663" spans="2:8" x14ac:dyDescent="0.25">
      <c r="B663" s="154" t="s">
        <v>178</v>
      </c>
      <c r="C663" s="154"/>
      <c r="D663" s="154"/>
      <c r="E663" s="154"/>
      <c r="F663" s="23" t="str">
        <f>F644</f>
        <v>Cristiano</v>
      </c>
      <c r="G663" s="23" t="str">
        <f>G644</f>
        <v>Eudes</v>
      </c>
      <c r="H663" s="26" t="s">
        <v>175</v>
      </c>
    </row>
    <row r="664" spans="2:8" x14ac:dyDescent="0.25">
      <c r="B664" s="154"/>
      <c r="C664" s="154"/>
      <c r="D664" s="154"/>
      <c r="E664" s="154"/>
      <c r="F664" s="24">
        <f>H664/2</f>
        <v>564.95000000000005</v>
      </c>
      <c r="G664" s="24">
        <f>H664/2</f>
        <v>564.95000000000005</v>
      </c>
      <c r="H664" s="24">
        <f>SUM(E647:E662)</f>
        <v>1129.9000000000001</v>
      </c>
    </row>
  </sheetData>
  <mergeCells count="80">
    <mergeCell ref="F2:J2"/>
    <mergeCell ref="F35:J35"/>
    <mergeCell ref="F67:J67"/>
    <mergeCell ref="F98:J98"/>
    <mergeCell ref="F129:J129"/>
    <mergeCell ref="F161:J161"/>
    <mergeCell ref="F192:J192"/>
    <mergeCell ref="F223:J223"/>
    <mergeCell ref="F254:J254"/>
    <mergeCell ref="F287:J287"/>
    <mergeCell ref="F318:J318"/>
    <mergeCell ref="F349:J349"/>
    <mergeCell ref="F380:J380"/>
    <mergeCell ref="F412:J412"/>
    <mergeCell ref="F595:H595"/>
    <mergeCell ref="B354:B373"/>
    <mergeCell ref="B385:B404"/>
    <mergeCell ref="B417:B436"/>
    <mergeCell ref="B450:B469"/>
    <mergeCell ref="B343:E344"/>
    <mergeCell ref="B374:E375"/>
    <mergeCell ref="B7:B26"/>
    <mergeCell ref="B40:B59"/>
    <mergeCell ref="B72:B91"/>
    <mergeCell ref="B103:B122"/>
    <mergeCell ref="B134:B153"/>
    <mergeCell ref="B572:B589"/>
    <mergeCell ref="B599:B614"/>
    <mergeCell ref="B561:E562"/>
    <mergeCell ref="B590:E591"/>
    <mergeCell ref="F619:H619"/>
    <mergeCell ref="B615:E616"/>
    <mergeCell ref="B623:B638"/>
    <mergeCell ref="E25:E26"/>
    <mergeCell ref="E58:E59"/>
    <mergeCell ref="E90:E91"/>
    <mergeCell ref="E121:E122"/>
    <mergeCell ref="E152:E153"/>
    <mergeCell ref="E184:E185"/>
    <mergeCell ref="E215:E216"/>
    <mergeCell ref="E246:E247"/>
    <mergeCell ref="E277:E278"/>
    <mergeCell ref="E310:E311"/>
    <mergeCell ref="E341:E342"/>
    <mergeCell ref="E372:E373"/>
    <mergeCell ref="E403:E404"/>
    <mergeCell ref="B186:E187"/>
    <mergeCell ref="B217:E218"/>
    <mergeCell ref="B513:B532"/>
    <mergeCell ref="B543:B560"/>
    <mergeCell ref="B312:E313"/>
    <mergeCell ref="B27:E28"/>
    <mergeCell ref="B60:E61"/>
    <mergeCell ref="B92:E93"/>
    <mergeCell ref="B123:E124"/>
    <mergeCell ref="B154:E155"/>
    <mergeCell ref="B166:B185"/>
    <mergeCell ref="B197:B216"/>
    <mergeCell ref="B228:B247"/>
    <mergeCell ref="B259:B278"/>
    <mergeCell ref="B292:B311"/>
    <mergeCell ref="B248:E249"/>
    <mergeCell ref="B279:E280"/>
    <mergeCell ref="B323:B342"/>
    <mergeCell ref="F643:H643"/>
    <mergeCell ref="B647:B662"/>
    <mergeCell ref="B663:E664"/>
    <mergeCell ref="B639:E640"/>
    <mergeCell ref="B405:E406"/>
    <mergeCell ref="B437:E438"/>
    <mergeCell ref="B470:E471"/>
    <mergeCell ref="B501:E502"/>
    <mergeCell ref="B533:E534"/>
    <mergeCell ref="E499:E500"/>
    <mergeCell ref="E531:E532"/>
    <mergeCell ref="E559:E560"/>
    <mergeCell ref="E588:E589"/>
    <mergeCell ref="E435:E436"/>
    <mergeCell ref="E468:E469"/>
    <mergeCell ref="B481:B500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Planning</vt:lpstr>
      <vt:lpstr>Wages</vt:lpstr>
      <vt:lpstr>Cronograma</vt:lpstr>
      <vt:lpstr>PROJETO</vt:lpstr>
      <vt:lpstr>Treino</vt:lpstr>
      <vt:lpstr>Despesas Geral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</dc:creator>
  <cp:lastModifiedBy>Cicero Cristiano Rodrigues da Mota</cp:lastModifiedBy>
  <cp:revision>1</cp:revision>
  <cp:lastPrinted>2022-09-19T10:41:00Z</cp:lastPrinted>
  <dcterms:created xsi:type="dcterms:W3CDTF">2015-10-12T11:52:00Z</dcterms:created>
  <dcterms:modified xsi:type="dcterms:W3CDTF">2023-11-08T00:01:02Z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E25645D006614BE091199AC159783DCE_12</vt:lpwstr>
  </property>
  <property fmtid="{D5CDD505-2E9C-101B-9397-08002B2CF9AE}" pid="3" name="KSOProductBuildVer">
    <vt:lpwstr>1046-12.2.0.13266</vt:lpwstr>
  </property>
</Properties>
</file>