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hidePivotFieldList="1" autoCompressPictures="0"/>
  <bookViews>
    <workbookView xWindow="0" yWindow="-1080" windowWidth="25600" windowHeight="14240" tabRatio="795" firstSheet="4" activeTab="14"/>
  </bookViews>
  <sheets>
    <sheet name="ActivisionMonthlyReturns.csv" sheetId="1" state="hidden" r:id="rId1"/>
    <sheet name="NetEase Monthly Returns" sheetId="4" state="hidden" r:id="rId2"/>
    <sheet name="EA Monthly Returns" sheetId="2" state="hidden" r:id="rId3"/>
    <sheet name="TakeTwo Monthly Returns" sheetId="3" state="hidden" r:id="rId4"/>
    <sheet name="All Returns" sheetId="5" r:id="rId5"/>
    <sheet name="Histogram of Frequencies" sheetId="6" r:id="rId6"/>
    <sheet name="Factor Analysis" sheetId="8" r:id="rId7"/>
    <sheet name="Risk Analysis - ATVI|NTES" sheetId="10" state="hidden" r:id="rId8"/>
    <sheet name="RA - ATVI|EA" sheetId="11" state="hidden" r:id="rId9"/>
    <sheet name="RA - ATVI|TTWO" sheetId="12" state="hidden" r:id="rId10"/>
    <sheet name="RA - NTES|EA" sheetId="13" state="hidden" r:id="rId11"/>
    <sheet name="RA - NTES|TTWO" sheetId="14" state="hidden" r:id="rId12"/>
    <sheet name="RA - EA | TTWO" sheetId="15" r:id="rId13"/>
    <sheet name="Regression" sheetId="20" r:id="rId14"/>
    <sheet name="Sheet5" sheetId="21" r:id="rId15"/>
  </sheets>
  <definedNames>
    <definedName name="atvi">'All Returns'!$B$1:$B$62</definedName>
    <definedName name="ATVIavg">'Factor Analysis'!$V$4</definedName>
    <definedName name="ea">'All Returns'!$D$1:$D$62</definedName>
    <definedName name="EAavg">'Factor Analysis'!$X$4</definedName>
    <definedName name="Market">'All Returns'!$F$1:$F$62</definedName>
    <definedName name="ntes">'All Returns'!$C$1:$C$62</definedName>
    <definedName name="NTESavg">'Factor Analysis'!$W$4</definedName>
    <definedName name="tbills">'All Returns'!$G$1:$G$62</definedName>
    <definedName name="ttwo">'All Returns'!$E$1:$E$62</definedName>
    <definedName name="TTWOavg">'Factor Analysis'!$Y$4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7" i="21" l="1"/>
  <c r="AR6" i="21"/>
  <c r="AB4" i="21"/>
  <c r="AP2" i="21"/>
  <c r="AP6" i="21"/>
  <c r="AG3" i="21"/>
  <c r="AP5" i="21"/>
  <c r="AC4" i="21"/>
  <c r="AH3" i="21"/>
  <c r="AQ5" i="21"/>
  <c r="AR5" i="21"/>
  <c r="AH4" i="21"/>
  <c r="AG4" i="21"/>
  <c r="AI4" i="21"/>
  <c r="AI3" i="21"/>
  <c r="P4" i="21"/>
  <c r="S5" i="21"/>
  <c r="P5" i="21"/>
  <c r="S6" i="21"/>
  <c r="P6" i="21"/>
  <c r="S7" i="21"/>
  <c r="P7" i="21"/>
  <c r="S8" i="21"/>
  <c r="P8" i="21"/>
  <c r="S9" i="21"/>
  <c r="P9" i="21"/>
  <c r="S10" i="21"/>
  <c r="P10" i="21"/>
  <c r="S11" i="21"/>
  <c r="P11" i="21"/>
  <c r="S12" i="21"/>
  <c r="P12" i="21"/>
  <c r="S13" i="21"/>
  <c r="P13" i="21"/>
  <c r="S14" i="21"/>
  <c r="P14" i="21"/>
  <c r="S15" i="21"/>
  <c r="P15" i="21"/>
  <c r="S16" i="21"/>
  <c r="P16" i="21"/>
  <c r="S17" i="21"/>
  <c r="P17" i="21"/>
  <c r="S18" i="21"/>
  <c r="P18" i="21"/>
  <c r="S19" i="21"/>
  <c r="P19" i="21"/>
  <c r="S20" i="21"/>
  <c r="P20" i="21"/>
  <c r="S21" i="21"/>
  <c r="P21" i="21"/>
  <c r="S22" i="21"/>
  <c r="P22" i="21"/>
  <c r="S23" i="21"/>
  <c r="P23" i="21"/>
  <c r="S24" i="21"/>
  <c r="P24" i="21"/>
  <c r="S25" i="21"/>
  <c r="P25" i="21"/>
  <c r="S26" i="21"/>
  <c r="P26" i="21"/>
  <c r="S27" i="21"/>
  <c r="P27" i="21"/>
  <c r="S28" i="21"/>
  <c r="P28" i="21"/>
  <c r="S29" i="21"/>
  <c r="P29" i="21"/>
  <c r="S30" i="21"/>
  <c r="P30" i="21"/>
  <c r="S31" i="21"/>
  <c r="P31" i="21"/>
  <c r="S32" i="21"/>
  <c r="P32" i="21"/>
  <c r="S33" i="21"/>
  <c r="P33" i="21"/>
  <c r="S34" i="21"/>
  <c r="P34" i="21"/>
  <c r="S35" i="21"/>
  <c r="P35" i="21"/>
  <c r="S36" i="21"/>
  <c r="P36" i="21"/>
  <c r="S37" i="21"/>
  <c r="P37" i="21"/>
  <c r="S38" i="21"/>
  <c r="P38" i="21"/>
  <c r="S39" i="21"/>
  <c r="P39" i="21"/>
  <c r="S40" i="21"/>
  <c r="P40" i="21"/>
  <c r="S41" i="21"/>
  <c r="P41" i="21"/>
  <c r="S42" i="21"/>
  <c r="P42" i="21"/>
  <c r="S43" i="21"/>
  <c r="P43" i="21"/>
  <c r="S44" i="21"/>
  <c r="P44" i="21"/>
  <c r="S45" i="21"/>
  <c r="P45" i="21"/>
  <c r="S46" i="21"/>
  <c r="P46" i="21"/>
  <c r="S47" i="21"/>
  <c r="P47" i="21"/>
  <c r="S48" i="21"/>
  <c r="P48" i="21"/>
  <c r="S49" i="21"/>
  <c r="P49" i="21"/>
  <c r="S50" i="21"/>
  <c r="P50" i="21"/>
  <c r="S51" i="21"/>
  <c r="P51" i="21"/>
  <c r="S52" i="21"/>
  <c r="P52" i="21"/>
  <c r="S53" i="21"/>
  <c r="P53" i="21"/>
  <c r="S54" i="21"/>
  <c r="P54" i="21"/>
  <c r="S55" i="21"/>
  <c r="P55" i="21"/>
  <c r="S56" i="21"/>
  <c r="P56" i="21"/>
  <c r="S57" i="21"/>
  <c r="P57" i="21"/>
  <c r="S58" i="21"/>
  <c r="P58" i="21"/>
  <c r="S59" i="21"/>
  <c r="P59" i="21"/>
  <c r="S60" i="21"/>
  <c r="P60" i="21"/>
  <c r="S61" i="21"/>
  <c r="P61" i="21"/>
  <c r="S62" i="21"/>
  <c r="P62" i="21"/>
  <c r="S63" i="21"/>
  <c r="P63" i="21"/>
  <c r="S64" i="21"/>
  <c r="P64" i="21"/>
  <c r="S65" i="21"/>
  <c r="AB6" i="21"/>
  <c r="Q64" i="21"/>
  <c r="Q63" i="21"/>
  <c r="Q62" i="21"/>
  <c r="Q61" i="21"/>
  <c r="Q60" i="21"/>
  <c r="Q59" i="21"/>
  <c r="Q58" i="21"/>
  <c r="Q57" i="21"/>
  <c r="Q56" i="21"/>
  <c r="Q55" i="21"/>
  <c r="Q54" i="21"/>
  <c r="Q53" i="21"/>
  <c r="Q52" i="21"/>
  <c r="Q51" i="21"/>
  <c r="Q50" i="21"/>
  <c r="Q49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Q36" i="21"/>
  <c r="Q35" i="21"/>
  <c r="Q34" i="21"/>
  <c r="Q33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Q14" i="21"/>
  <c r="Q13" i="21"/>
  <c r="Q12" i="21"/>
  <c r="Q11" i="21"/>
  <c r="Q10" i="21"/>
  <c r="Q9" i="21"/>
  <c r="Q8" i="21"/>
  <c r="Q7" i="21"/>
  <c r="Q6" i="21"/>
  <c r="Q5" i="21"/>
  <c r="Q4" i="21"/>
  <c r="T5" i="21"/>
  <c r="T6" i="21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7" i="21"/>
  <c r="T38" i="21"/>
  <c r="T39" i="21"/>
  <c r="T40" i="21"/>
  <c r="T41" i="21"/>
  <c r="T42" i="21"/>
  <c r="T43" i="21"/>
  <c r="T44" i="21"/>
  <c r="T45" i="21"/>
  <c r="T46" i="21"/>
  <c r="T47" i="21"/>
  <c r="T48" i="21"/>
  <c r="T49" i="21"/>
  <c r="T50" i="21"/>
  <c r="T51" i="21"/>
  <c r="T52" i="21"/>
  <c r="T53" i="21"/>
  <c r="T54" i="21"/>
  <c r="T55" i="21"/>
  <c r="T56" i="21"/>
  <c r="T57" i="21"/>
  <c r="T58" i="21"/>
  <c r="T59" i="21"/>
  <c r="T60" i="21"/>
  <c r="T61" i="21"/>
  <c r="T62" i="21"/>
  <c r="T63" i="21"/>
  <c r="T64" i="21"/>
  <c r="T65" i="21"/>
  <c r="AC6" i="21"/>
  <c r="AD6" i="21"/>
  <c r="AB5" i="21"/>
  <c r="AC5" i="21"/>
  <c r="AD5" i="21"/>
  <c r="AD4" i="21"/>
  <c r="AD3" i="21"/>
  <c r="AC3" i="21"/>
  <c r="AB3" i="21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4" i="21"/>
  <c r="M5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4" i="21"/>
  <c r="J3" i="5"/>
  <c r="F3" i="5"/>
  <c r="I3" i="5"/>
  <c r="K3" i="5"/>
  <c r="J4" i="5"/>
  <c r="F4" i="5"/>
  <c r="I4" i="5"/>
  <c r="K4" i="5"/>
  <c r="J5" i="5"/>
  <c r="F5" i="5"/>
  <c r="I5" i="5"/>
  <c r="K5" i="5"/>
  <c r="J6" i="5"/>
  <c r="F6" i="5"/>
  <c r="I6" i="5"/>
  <c r="K6" i="5"/>
  <c r="J7" i="5"/>
  <c r="F7" i="5"/>
  <c r="I7" i="5"/>
  <c r="K7" i="5"/>
  <c r="J8" i="5"/>
  <c r="F8" i="5"/>
  <c r="I8" i="5"/>
  <c r="K8" i="5"/>
  <c r="J9" i="5"/>
  <c r="F9" i="5"/>
  <c r="I9" i="5"/>
  <c r="K9" i="5"/>
  <c r="J10" i="5"/>
  <c r="F10" i="5"/>
  <c r="I10" i="5"/>
  <c r="K10" i="5"/>
  <c r="J11" i="5"/>
  <c r="F11" i="5"/>
  <c r="I11" i="5"/>
  <c r="K11" i="5"/>
  <c r="J12" i="5"/>
  <c r="F12" i="5"/>
  <c r="I12" i="5"/>
  <c r="K12" i="5"/>
  <c r="J13" i="5"/>
  <c r="F13" i="5"/>
  <c r="I13" i="5"/>
  <c r="K13" i="5"/>
  <c r="J14" i="5"/>
  <c r="F14" i="5"/>
  <c r="I14" i="5"/>
  <c r="K14" i="5"/>
  <c r="J15" i="5"/>
  <c r="F15" i="5"/>
  <c r="I15" i="5"/>
  <c r="K15" i="5"/>
  <c r="J16" i="5"/>
  <c r="F16" i="5"/>
  <c r="I16" i="5"/>
  <c r="K16" i="5"/>
  <c r="J17" i="5"/>
  <c r="F17" i="5"/>
  <c r="I17" i="5"/>
  <c r="K17" i="5"/>
  <c r="J18" i="5"/>
  <c r="F18" i="5"/>
  <c r="I18" i="5"/>
  <c r="K18" i="5"/>
  <c r="J19" i="5"/>
  <c r="F19" i="5"/>
  <c r="I19" i="5"/>
  <c r="K19" i="5"/>
  <c r="J20" i="5"/>
  <c r="F20" i="5"/>
  <c r="I20" i="5"/>
  <c r="K20" i="5"/>
  <c r="J21" i="5"/>
  <c r="F21" i="5"/>
  <c r="I21" i="5"/>
  <c r="K21" i="5"/>
  <c r="J22" i="5"/>
  <c r="F22" i="5"/>
  <c r="I22" i="5"/>
  <c r="K22" i="5"/>
  <c r="J23" i="5"/>
  <c r="F23" i="5"/>
  <c r="I23" i="5"/>
  <c r="K23" i="5"/>
  <c r="J24" i="5"/>
  <c r="F24" i="5"/>
  <c r="I24" i="5"/>
  <c r="K24" i="5"/>
  <c r="J25" i="5"/>
  <c r="F25" i="5"/>
  <c r="I25" i="5"/>
  <c r="K25" i="5"/>
  <c r="J26" i="5"/>
  <c r="F26" i="5"/>
  <c r="I26" i="5"/>
  <c r="K26" i="5"/>
  <c r="J27" i="5"/>
  <c r="F27" i="5"/>
  <c r="I27" i="5"/>
  <c r="K27" i="5"/>
  <c r="J28" i="5"/>
  <c r="F28" i="5"/>
  <c r="I28" i="5"/>
  <c r="K28" i="5"/>
  <c r="J29" i="5"/>
  <c r="F29" i="5"/>
  <c r="I29" i="5"/>
  <c r="K29" i="5"/>
  <c r="J30" i="5"/>
  <c r="F30" i="5"/>
  <c r="I30" i="5"/>
  <c r="K30" i="5"/>
  <c r="J31" i="5"/>
  <c r="F31" i="5"/>
  <c r="I31" i="5"/>
  <c r="K31" i="5"/>
  <c r="J32" i="5"/>
  <c r="F32" i="5"/>
  <c r="I32" i="5"/>
  <c r="K32" i="5"/>
  <c r="J33" i="5"/>
  <c r="F33" i="5"/>
  <c r="I33" i="5"/>
  <c r="K33" i="5"/>
  <c r="J34" i="5"/>
  <c r="F34" i="5"/>
  <c r="I34" i="5"/>
  <c r="K34" i="5"/>
  <c r="J35" i="5"/>
  <c r="F35" i="5"/>
  <c r="I35" i="5"/>
  <c r="K35" i="5"/>
  <c r="J36" i="5"/>
  <c r="F36" i="5"/>
  <c r="I36" i="5"/>
  <c r="K36" i="5"/>
  <c r="J37" i="5"/>
  <c r="F37" i="5"/>
  <c r="I37" i="5"/>
  <c r="K37" i="5"/>
  <c r="J38" i="5"/>
  <c r="F38" i="5"/>
  <c r="I38" i="5"/>
  <c r="K38" i="5"/>
  <c r="J39" i="5"/>
  <c r="F39" i="5"/>
  <c r="I39" i="5"/>
  <c r="K39" i="5"/>
  <c r="J40" i="5"/>
  <c r="F40" i="5"/>
  <c r="I40" i="5"/>
  <c r="K40" i="5"/>
  <c r="J41" i="5"/>
  <c r="F41" i="5"/>
  <c r="I41" i="5"/>
  <c r="K41" i="5"/>
  <c r="J42" i="5"/>
  <c r="F42" i="5"/>
  <c r="I42" i="5"/>
  <c r="K42" i="5"/>
  <c r="J43" i="5"/>
  <c r="F43" i="5"/>
  <c r="I43" i="5"/>
  <c r="K43" i="5"/>
  <c r="J44" i="5"/>
  <c r="F44" i="5"/>
  <c r="I44" i="5"/>
  <c r="K44" i="5"/>
  <c r="J45" i="5"/>
  <c r="F45" i="5"/>
  <c r="I45" i="5"/>
  <c r="K45" i="5"/>
  <c r="J46" i="5"/>
  <c r="F46" i="5"/>
  <c r="I46" i="5"/>
  <c r="K46" i="5"/>
  <c r="J47" i="5"/>
  <c r="F47" i="5"/>
  <c r="I47" i="5"/>
  <c r="K47" i="5"/>
  <c r="J48" i="5"/>
  <c r="F48" i="5"/>
  <c r="I48" i="5"/>
  <c r="K48" i="5"/>
  <c r="J49" i="5"/>
  <c r="F49" i="5"/>
  <c r="I49" i="5"/>
  <c r="K49" i="5"/>
  <c r="J50" i="5"/>
  <c r="F50" i="5"/>
  <c r="I50" i="5"/>
  <c r="K50" i="5"/>
  <c r="J51" i="5"/>
  <c r="F51" i="5"/>
  <c r="I51" i="5"/>
  <c r="K51" i="5"/>
  <c r="J52" i="5"/>
  <c r="F52" i="5"/>
  <c r="I52" i="5"/>
  <c r="K52" i="5"/>
  <c r="J53" i="5"/>
  <c r="F53" i="5"/>
  <c r="I53" i="5"/>
  <c r="K53" i="5"/>
  <c r="J54" i="5"/>
  <c r="F54" i="5"/>
  <c r="I54" i="5"/>
  <c r="K54" i="5"/>
  <c r="J55" i="5"/>
  <c r="F55" i="5"/>
  <c r="I55" i="5"/>
  <c r="K55" i="5"/>
  <c r="J56" i="5"/>
  <c r="F56" i="5"/>
  <c r="I56" i="5"/>
  <c r="K56" i="5"/>
  <c r="J57" i="5"/>
  <c r="F57" i="5"/>
  <c r="I57" i="5"/>
  <c r="K57" i="5"/>
  <c r="J58" i="5"/>
  <c r="F58" i="5"/>
  <c r="I58" i="5"/>
  <c r="K58" i="5"/>
  <c r="J59" i="5"/>
  <c r="F59" i="5"/>
  <c r="I59" i="5"/>
  <c r="K59" i="5"/>
  <c r="J60" i="5"/>
  <c r="F60" i="5"/>
  <c r="I60" i="5"/>
  <c r="K60" i="5"/>
  <c r="J61" i="5"/>
  <c r="F61" i="5"/>
  <c r="I61" i="5"/>
  <c r="K61" i="5"/>
  <c r="J62" i="5"/>
  <c r="F62" i="5"/>
  <c r="I62" i="5"/>
  <c r="K62" i="5"/>
  <c r="J2" i="5"/>
  <c r="F2" i="5"/>
  <c r="I2" i="5"/>
  <c r="K2" i="5"/>
  <c r="Y5" i="21"/>
  <c r="Y6" i="21"/>
  <c r="Y7" i="21"/>
  <c r="Y4" i="21"/>
  <c r="G4" i="15"/>
  <c r="E4" i="15"/>
  <c r="X4" i="8"/>
  <c r="C4" i="15"/>
  <c r="Y4" i="8"/>
  <c r="D4" i="15"/>
  <c r="I14" i="15"/>
  <c r="F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7" i="15"/>
  <c r="H7" i="15"/>
  <c r="I6" i="15"/>
  <c r="H6" i="15"/>
  <c r="I5" i="15"/>
  <c r="H5" i="15"/>
  <c r="I4" i="15"/>
  <c r="H4" i="15"/>
  <c r="G4" i="14"/>
  <c r="F4" i="14"/>
  <c r="D4" i="14"/>
  <c r="W4" i="8"/>
  <c r="C4" i="14"/>
  <c r="I14" i="14"/>
  <c r="E4" i="14"/>
  <c r="H14" i="14"/>
  <c r="I13" i="14"/>
  <c r="H13" i="14"/>
  <c r="I12" i="14"/>
  <c r="H12" i="14"/>
  <c r="I11" i="14"/>
  <c r="H11" i="14"/>
  <c r="I10" i="14"/>
  <c r="H10" i="14"/>
  <c r="I9" i="14"/>
  <c r="H9" i="14"/>
  <c r="I8" i="14"/>
  <c r="H8" i="14"/>
  <c r="I7" i="14"/>
  <c r="H7" i="14"/>
  <c r="I6" i="14"/>
  <c r="H6" i="14"/>
  <c r="I5" i="14"/>
  <c r="H5" i="14"/>
  <c r="I4" i="14"/>
  <c r="H4" i="14"/>
  <c r="C4" i="13"/>
  <c r="D4" i="13"/>
  <c r="I5" i="13"/>
  <c r="I6" i="13"/>
  <c r="I7" i="13"/>
  <c r="I8" i="13"/>
  <c r="I9" i="13"/>
  <c r="I10" i="13"/>
  <c r="I11" i="13"/>
  <c r="I12" i="13"/>
  <c r="I13" i="13"/>
  <c r="I14" i="13"/>
  <c r="I4" i="13"/>
  <c r="E4" i="13"/>
  <c r="F4" i="13"/>
  <c r="G4" i="13"/>
  <c r="H5" i="13"/>
  <c r="H6" i="13"/>
  <c r="H7" i="13"/>
  <c r="H8" i="13"/>
  <c r="H9" i="13"/>
  <c r="H10" i="13"/>
  <c r="H11" i="13"/>
  <c r="H12" i="13"/>
  <c r="H13" i="13"/>
  <c r="H14" i="13"/>
  <c r="H4" i="13"/>
  <c r="E4" i="12"/>
  <c r="F4" i="12"/>
  <c r="G4" i="12"/>
  <c r="H4" i="12"/>
  <c r="V4" i="8"/>
  <c r="C4" i="12"/>
  <c r="D4" i="12"/>
  <c r="I4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I8" i="12"/>
  <c r="H8" i="12"/>
  <c r="I7" i="12"/>
  <c r="H7" i="12"/>
  <c r="I6" i="12"/>
  <c r="H6" i="12"/>
  <c r="I5" i="12"/>
  <c r="H5" i="12"/>
  <c r="D4" i="11"/>
  <c r="G4" i="11"/>
  <c r="F4" i="11"/>
  <c r="C4" i="11"/>
  <c r="I14" i="11"/>
  <c r="E4" i="11"/>
  <c r="H14" i="11"/>
  <c r="I13" i="11"/>
  <c r="H13" i="11"/>
  <c r="I12" i="11"/>
  <c r="H12" i="11"/>
  <c r="I11" i="11"/>
  <c r="H11" i="11"/>
  <c r="I10" i="11"/>
  <c r="H10" i="11"/>
  <c r="I9" i="11"/>
  <c r="H9" i="11"/>
  <c r="I8" i="11"/>
  <c r="H8" i="11"/>
  <c r="I7" i="11"/>
  <c r="H7" i="11"/>
  <c r="I6" i="11"/>
  <c r="H6" i="11"/>
  <c r="I5" i="11"/>
  <c r="H5" i="11"/>
  <c r="I4" i="11"/>
  <c r="H4" i="11"/>
  <c r="C4" i="10"/>
  <c r="D4" i="10"/>
  <c r="I5" i="10"/>
  <c r="I6" i="10"/>
  <c r="I7" i="10"/>
  <c r="I8" i="10"/>
  <c r="I9" i="10"/>
  <c r="I10" i="10"/>
  <c r="I11" i="10"/>
  <c r="I12" i="10"/>
  <c r="I13" i="10"/>
  <c r="I14" i="10"/>
  <c r="I4" i="10"/>
  <c r="E4" i="10"/>
  <c r="F4" i="10"/>
  <c r="G4" i="10"/>
  <c r="H5" i="10"/>
  <c r="H6" i="10"/>
  <c r="H7" i="10"/>
  <c r="H8" i="10"/>
  <c r="H9" i="10"/>
  <c r="H10" i="10"/>
  <c r="H11" i="10"/>
  <c r="H12" i="10"/>
  <c r="H13" i="10"/>
  <c r="H14" i="10"/>
  <c r="H4" i="10"/>
  <c r="Y27" i="8"/>
  <c r="Y26" i="8"/>
  <c r="X26" i="8"/>
  <c r="Y25" i="8"/>
  <c r="X25" i="8"/>
  <c r="W25" i="8"/>
  <c r="Y28" i="8"/>
  <c r="X27" i="8"/>
  <c r="W26" i="8"/>
  <c r="V25" i="8"/>
  <c r="Y20" i="8"/>
  <c r="Y19" i="8"/>
  <c r="X19" i="8"/>
  <c r="Y18" i="8"/>
  <c r="X18" i="8"/>
  <c r="W18" i="8"/>
  <c r="Y17" i="8"/>
  <c r="X17" i="8"/>
  <c r="W17" i="8"/>
  <c r="V17" i="8"/>
  <c r="W10" i="8"/>
  <c r="X10" i="8"/>
  <c r="Y10" i="8"/>
  <c r="V10" i="8"/>
  <c r="W9" i="8"/>
  <c r="X9" i="8"/>
  <c r="Y9" i="8"/>
  <c r="V9" i="8"/>
  <c r="H4" i="8"/>
  <c r="I4" i="8"/>
  <c r="S4" i="8"/>
  <c r="H5" i="8"/>
  <c r="I5" i="8"/>
  <c r="S5" i="8"/>
  <c r="H6" i="8"/>
  <c r="I6" i="8"/>
  <c r="S6" i="8"/>
  <c r="H7" i="8"/>
  <c r="I7" i="8"/>
  <c r="S7" i="8"/>
  <c r="H8" i="8"/>
  <c r="I8" i="8"/>
  <c r="S8" i="8"/>
  <c r="H9" i="8"/>
  <c r="I9" i="8"/>
  <c r="S9" i="8"/>
  <c r="H10" i="8"/>
  <c r="I10" i="8"/>
  <c r="S10" i="8"/>
  <c r="H11" i="8"/>
  <c r="I11" i="8"/>
  <c r="S11" i="8"/>
  <c r="H12" i="8"/>
  <c r="I12" i="8"/>
  <c r="S12" i="8"/>
  <c r="H13" i="8"/>
  <c r="I13" i="8"/>
  <c r="S13" i="8"/>
  <c r="H14" i="8"/>
  <c r="I14" i="8"/>
  <c r="S14" i="8"/>
  <c r="H15" i="8"/>
  <c r="I15" i="8"/>
  <c r="S15" i="8"/>
  <c r="H16" i="8"/>
  <c r="I16" i="8"/>
  <c r="S16" i="8"/>
  <c r="H17" i="8"/>
  <c r="I17" i="8"/>
  <c r="S17" i="8"/>
  <c r="H18" i="8"/>
  <c r="I18" i="8"/>
  <c r="S18" i="8"/>
  <c r="H19" i="8"/>
  <c r="I19" i="8"/>
  <c r="S19" i="8"/>
  <c r="H20" i="8"/>
  <c r="I20" i="8"/>
  <c r="S20" i="8"/>
  <c r="H21" i="8"/>
  <c r="I21" i="8"/>
  <c r="S21" i="8"/>
  <c r="H22" i="8"/>
  <c r="I22" i="8"/>
  <c r="S22" i="8"/>
  <c r="H23" i="8"/>
  <c r="I23" i="8"/>
  <c r="S23" i="8"/>
  <c r="H24" i="8"/>
  <c r="I24" i="8"/>
  <c r="S24" i="8"/>
  <c r="H25" i="8"/>
  <c r="I25" i="8"/>
  <c r="S25" i="8"/>
  <c r="H26" i="8"/>
  <c r="I26" i="8"/>
  <c r="S26" i="8"/>
  <c r="H27" i="8"/>
  <c r="I27" i="8"/>
  <c r="S27" i="8"/>
  <c r="H28" i="8"/>
  <c r="I28" i="8"/>
  <c r="S28" i="8"/>
  <c r="H29" i="8"/>
  <c r="I29" i="8"/>
  <c r="S29" i="8"/>
  <c r="H30" i="8"/>
  <c r="I30" i="8"/>
  <c r="S30" i="8"/>
  <c r="H31" i="8"/>
  <c r="I31" i="8"/>
  <c r="S31" i="8"/>
  <c r="H32" i="8"/>
  <c r="I32" i="8"/>
  <c r="S32" i="8"/>
  <c r="H33" i="8"/>
  <c r="I33" i="8"/>
  <c r="S33" i="8"/>
  <c r="H34" i="8"/>
  <c r="I34" i="8"/>
  <c r="S34" i="8"/>
  <c r="H35" i="8"/>
  <c r="I35" i="8"/>
  <c r="S35" i="8"/>
  <c r="H36" i="8"/>
  <c r="I36" i="8"/>
  <c r="S36" i="8"/>
  <c r="H37" i="8"/>
  <c r="I37" i="8"/>
  <c r="S37" i="8"/>
  <c r="H38" i="8"/>
  <c r="I38" i="8"/>
  <c r="S38" i="8"/>
  <c r="H39" i="8"/>
  <c r="I39" i="8"/>
  <c r="S39" i="8"/>
  <c r="H40" i="8"/>
  <c r="I40" i="8"/>
  <c r="S40" i="8"/>
  <c r="H41" i="8"/>
  <c r="I41" i="8"/>
  <c r="S41" i="8"/>
  <c r="H42" i="8"/>
  <c r="I42" i="8"/>
  <c r="S42" i="8"/>
  <c r="H43" i="8"/>
  <c r="I43" i="8"/>
  <c r="S43" i="8"/>
  <c r="H44" i="8"/>
  <c r="I44" i="8"/>
  <c r="S44" i="8"/>
  <c r="H45" i="8"/>
  <c r="I45" i="8"/>
  <c r="S45" i="8"/>
  <c r="H46" i="8"/>
  <c r="I46" i="8"/>
  <c r="S46" i="8"/>
  <c r="H47" i="8"/>
  <c r="I47" i="8"/>
  <c r="S47" i="8"/>
  <c r="H48" i="8"/>
  <c r="I48" i="8"/>
  <c r="S48" i="8"/>
  <c r="H49" i="8"/>
  <c r="I49" i="8"/>
  <c r="S49" i="8"/>
  <c r="H50" i="8"/>
  <c r="I50" i="8"/>
  <c r="S50" i="8"/>
  <c r="H51" i="8"/>
  <c r="I51" i="8"/>
  <c r="S51" i="8"/>
  <c r="H52" i="8"/>
  <c r="I52" i="8"/>
  <c r="S52" i="8"/>
  <c r="H53" i="8"/>
  <c r="I53" i="8"/>
  <c r="S53" i="8"/>
  <c r="H54" i="8"/>
  <c r="I54" i="8"/>
  <c r="S54" i="8"/>
  <c r="H55" i="8"/>
  <c r="I55" i="8"/>
  <c r="S55" i="8"/>
  <c r="H56" i="8"/>
  <c r="I56" i="8"/>
  <c r="S56" i="8"/>
  <c r="H57" i="8"/>
  <c r="I57" i="8"/>
  <c r="S57" i="8"/>
  <c r="H58" i="8"/>
  <c r="I58" i="8"/>
  <c r="S58" i="8"/>
  <c r="H59" i="8"/>
  <c r="I59" i="8"/>
  <c r="S59" i="8"/>
  <c r="H60" i="8"/>
  <c r="I60" i="8"/>
  <c r="S60" i="8"/>
  <c r="H61" i="8"/>
  <c r="I61" i="8"/>
  <c r="S61" i="8"/>
  <c r="H62" i="8"/>
  <c r="I62" i="8"/>
  <c r="S62" i="8"/>
  <c r="H63" i="8"/>
  <c r="I63" i="8"/>
  <c r="S63" i="8"/>
  <c r="H64" i="8"/>
  <c r="I64" i="8"/>
  <c r="S64" i="8"/>
  <c r="G4" i="8"/>
  <c r="R4" i="8"/>
  <c r="G5" i="8"/>
  <c r="R5" i="8"/>
  <c r="G6" i="8"/>
  <c r="R6" i="8"/>
  <c r="G7" i="8"/>
  <c r="R7" i="8"/>
  <c r="G8" i="8"/>
  <c r="R8" i="8"/>
  <c r="G9" i="8"/>
  <c r="R9" i="8"/>
  <c r="G10" i="8"/>
  <c r="R10" i="8"/>
  <c r="G11" i="8"/>
  <c r="R11" i="8"/>
  <c r="G12" i="8"/>
  <c r="R12" i="8"/>
  <c r="G13" i="8"/>
  <c r="R13" i="8"/>
  <c r="G14" i="8"/>
  <c r="R14" i="8"/>
  <c r="G15" i="8"/>
  <c r="R15" i="8"/>
  <c r="G16" i="8"/>
  <c r="R16" i="8"/>
  <c r="G17" i="8"/>
  <c r="R17" i="8"/>
  <c r="G18" i="8"/>
  <c r="R18" i="8"/>
  <c r="G19" i="8"/>
  <c r="R19" i="8"/>
  <c r="G20" i="8"/>
  <c r="R20" i="8"/>
  <c r="G21" i="8"/>
  <c r="R21" i="8"/>
  <c r="G22" i="8"/>
  <c r="R22" i="8"/>
  <c r="G23" i="8"/>
  <c r="R23" i="8"/>
  <c r="G24" i="8"/>
  <c r="R24" i="8"/>
  <c r="G25" i="8"/>
  <c r="R25" i="8"/>
  <c r="G26" i="8"/>
  <c r="R26" i="8"/>
  <c r="G27" i="8"/>
  <c r="R27" i="8"/>
  <c r="G28" i="8"/>
  <c r="R28" i="8"/>
  <c r="G29" i="8"/>
  <c r="R29" i="8"/>
  <c r="G30" i="8"/>
  <c r="R30" i="8"/>
  <c r="G31" i="8"/>
  <c r="R31" i="8"/>
  <c r="G32" i="8"/>
  <c r="R32" i="8"/>
  <c r="G33" i="8"/>
  <c r="R33" i="8"/>
  <c r="G34" i="8"/>
  <c r="R34" i="8"/>
  <c r="G35" i="8"/>
  <c r="R35" i="8"/>
  <c r="G36" i="8"/>
  <c r="R36" i="8"/>
  <c r="G37" i="8"/>
  <c r="R37" i="8"/>
  <c r="G38" i="8"/>
  <c r="R38" i="8"/>
  <c r="G39" i="8"/>
  <c r="R39" i="8"/>
  <c r="G40" i="8"/>
  <c r="R40" i="8"/>
  <c r="G41" i="8"/>
  <c r="R41" i="8"/>
  <c r="G42" i="8"/>
  <c r="R42" i="8"/>
  <c r="G43" i="8"/>
  <c r="R43" i="8"/>
  <c r="G44" i="8"/>
  <c r="R44" i="8"/>
  <c r="G45" i="8"/>
  <c r="R45" i="8"/>
  <c r="G46" i="8"/>
  <c r="R46" i="8"/>
  <c r="G47" i="8"/>
  <c r="R47" i="8"/>
  <c r="G48" i="8"/>
  <c r="R48" i="8"/>
  <c r="G49" i="8"/>
  <c r="R49" i="8"/>
  <c r="G50" i="8"/>
  <c r="R50" i="8"/>
  <c r="G51" i="8"/>
  <c r="R51" i="8"/>
  <c r="G52" i="8"/>
  <c r="R52" i="8"/>
  <c r="G53" i="8"/>
  <c r="R53" i="8"/>
  <c r="G54" i="8"/>
  <c r="R54" i="8"/>
  <c r="G55" i="8"/>
  <c r="R55" i="8"/>
  <c r="G56" i="8"/>
  <c r="R56" i="8"/>
  <c r="G57" i="8"/>
  <c r="R57" i="8"/>
  <c r="G58" i="8"/>
  <c r="R58" i="8"/>
  <c r="G59" i="8"/>
  <c r="R59" i="8"/>
  <c r="G60" i="8"/>
  <c r="R60" i="8"/>
  <c r="G61" i="8"/>
  <c r="R61" i="8"/>
  <c r="G62" i="8"/>
  <c r="R62" i="8"/>
  <c r="G63" i="8"/>
  <c r="R63" i="8"/>
  <c r="G64" i="8"/>
  <c r="R64" i="8"/>
  <c r="F4" i="8"/>
  <c r="N4" i="8"/>
  <c r="F5" i="8"/>
  <c r="N5" i="8"/>
  <c r="F6" i="8"/>
  <c r="N6" i="8"/>
  <c r="F7" i="8"/>
  <c r="N7" i="8"/>
  <c r="F8" i="8"/>
  <c r="N8" i="8"/>
  <c r="F9" i="8"/>
  <c r="N9" i="8"/>
  <c r="F10" i="8"/>
  <c r="N10" i="8"/>
  <c r="F11" i="8"/>
  <c r="N11" i="8"/>
  <c r="F12" i="8"/>
  <c r="N12" i="8"/>
  <c r="F13" i="8"/>
  <c r="N13" i="8"/>
  <c r="F14" i="8"/>
  <c r="N14" i="8"/>
  <c r="F15" i="8"/>
  <c r="N15" i="8"/>
  <c r="F16" i="8"/>
  <c r="N16" i="8"/>
  <c r="F17" i="8"/>
  <c r="N17" i="8"/>
  <c r="F18" i="8"/>
  <c r="N18" i="8"/>
  <c r="F19" i="8"/>
  <c r="N19" i="8"/>
  <c r="F20" i="8"/>
  <c r="N20" i="8"/>
  <c r="F21" i="8"/>
  <c r="N21" i="8"/>
  <c r="F22" i="8"/>
  <c r="N22" i="8"/>
  <c r="F23" i="8"/>
  <c r="N23" i="8"/>
  <c r="F24" i="8"/>
  <c r="N24" i="8"/>
  <c r="F25" i="8"/>
  <c r="N25" i="8"/>
  <c r="F26" i="8"/>
  <c r="N26" i="8"/>
  <c r="F27" i="8"/>
  <c r="N27" i="8"/>
  <c r="F28" i="8"/>
  <c r="N28" i="8"/>
  <c r="F29" i="8"/>
  <c r="N29" i="8"/>
  <c r="F30" i="8"/>
  <c r="N30" i="8"/>
  <c r="F31" i="8"/>
  <c r="N31" i="8"/>
  <c r="F32" i="8"/>
  <c r="N32" i="8"/>
  <c r="F33" i="8"/>
  <c r="N33" i="8"/>
  <c r="F34" i="8"/>
  <c r="N34" i="8"/>
  <c r="F35" i="8"/>
  <c r="N35" i="8"/>
  <c r="F36" i="8"/>
  <c r="N36" i="8"/>
  <c r="F37" i="8"/>
  <c r="N37" i="8"/>
  <c r="F38" i="8"/>
  <c r="N38" i="8"/>
  <c r="F39" i="8"/>
  <c r="N39" i="8"/>
  <c r="F40" i="8"/>
  <c r="N40" i="8"/>
  <c r="F41" i="8"/>
  <c r="N41" i="8"/>
  <c r="F42" i="8"/>
  <c r="N42" i="8"/>
  <c r="F43" i="8"/>
  <c r="N43" i="8"/>
  <c r="F44" i="8"/>
  <c r="N44" i="8"/>
  <c r="F45" i="8"/>
  <c r="N45" i="8"/>
  <c r="F46" i="8"/>
  <c r="N46" i="8"/>
  <c r="F47" i="8"/>
  <c r="N47" i="8"/>
  <c r="F48" i="8"/>
  <c r="N48" i="8"/>
  <c r="F49" i="8"/>
  <c r="N49" i="8"/>
  <c r="F50" i="8"/>
  <c r="N50" i="8"/>
  <c r="F51" i="8"/>
  <c r="N51" i="8"/>
  <c r="F52" i="8"/>
  <c r="N52" i="8"/>
  <c r="F53" i="8"/>
  <c r="N53" i="8"/>
  <c r="F54" i="8"/>
  <c r="N54" i="8"/>
  <c r="F55" i="8"/>
  <c r="N55" i="8"/>
  <c r="F56" i="8"/>
  <c r="N56" i="8"/>
  <c r="F57" i="8"/>
  <c r="N57" i="8"/>
  <c r="F58" i="8"/>
  <c r="N58" i="8"/>
  <c r="F59" i="8"/>
  <c r="N59" i="8"/>
  <c r="F60" i="8"/>
  <c r="N60" i="8"/>
  <c r="F61" i="8"/>
  <c r="N61" i="8"/>
  <c r="F62" i="8"/>
  <c r="N62" i="8"/>
  <c r="F63" i="8"/>
  <c r="N63" i="8"/>
  <c r="F64" i="8"/>
  <c r="N64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4" i="8"/>
  <c r="J5" i="8"/>
  <c r="J6" i="8"/>
  <c r="J7" i="8"/>
  <c r="J8" i="8"/>
  <c r="C43" i="6"/>
  <c r="D43" i="6"/>
  <c r="E43" i="6"/>
  <c r="B43" i="6"/>
  <c r="D5" i="6" a="1"/>
  <c r="D5" i="6"/>
  <c r="D6" i="6"/>
  <c r="D7" i="6"/>
  <c r="D8" i="6"/>
  <c r="D9" i="6"/>
  <c r="D10" i="6"/>
  <c r="D11" i="6"/>
  <c r="E5" i="6" a="1"/>
  <c r="E5" i="6"/>
  <c r="E6" i="6"/>
  <c r="E7" i="6"/>
  <c r="E8" i="6"/>
  <c r="E9" i="6"/>
  <c r="E10" i="6"/>
  <c r="E11" i="6"/>
  <c r="F5" i="6" a="1"/>
  <c r="F5" i="6"/>
  <c r="F6" i="6"/>
  <c r="F7" i="6"/>
  <c r="F8" i="6"/>
  <c r="F9" i="6"/>
  <c r="F10" i="6"/>
  <c r="F11" i="6"/>
  <c r="C5" i="6" a="1"/>
  <c r="C5" i="6"/>
  <c r="C6" i="6"/>
  <c r="C7" i="6"/>
  <c r="C8" i="6"/>
  <c r="C9" i="6"/>
  <c r="C10" i="6"/>
  <c r="C11" i="6"/>
  <c r="F3" i="4"/>
  <c r="D3" i="3"/>
  <c r="D3" i="2"/>
  <c r="F3" i="1"/>
  <c r="AM3" i="21"/>
  <c r="AM4" i="21"/>
  <c r="AQ6" i="21"/>
</calcChain>
</file>

<file path=xl/sharedStrings.xml><?xml version="1.0" encoding="utf-8"?>
<sst xmlns="http://schemas.openxmlformats.org/spreadsheetml/2006/main" count="383" uniqueCount="127">
  <si>
    <t>Date</t>
  </si>
  <si>
    <t>Close</t>
  </si>
  <si>
    <t>Dividends</t>
  </si>
  <si>
    <t>Close + Dividends</t>
  </si>
  <si>
    <t>Last Month's Close</t>
  </si>
  <si>
    <t>Monthly Return Rate</t>
  </si>
  <si>
    <t>Last Month's Price</t>
  </si>
  <si>
    <t>ATVI</t>
  </si>
  <si>
    <t>NTES</t>
  </si>
  <si>
    <t>EA</t>
  </si>
  <si>
    <t>TTWO</t>
  </si>
  <si>
    <t>Market</t>
  </si>
  <si>
    <t>Tbills</t>
  </si>
  <si>
    <t>Total</t>
  </si>
  <si>
    <t>Returns</t>
  </si>
  <si>
    <t>&lt;-10%</t>
  </si>
  <si>
    <t>&gt;-10% and &lt;-5%</t>
  </si>
  <si>
    <t>&gt;10%</t>
  </si>
  <si>
    <t>&lt;-5% and &lt;0%</t>
  </si>
  <si>
    <t>&gt;5% and &lt;0%</t>
  </si>
  <si>
    <t>&gt;5% and &lt;10%</t>
  </si>
  <si>
    <t>Bins array</t>
  </si>
  <si>
    <t>Frequency Distribution for Returns from 7/14 to 7/19</t>
  </si>
  <si>
    <t>Histogram of Frequency Distributions</t>
  </si>
  <si>
    <t>Observations</t>
  </si>
  <si>
    <t>Std Dev P</t>
  </si>
  <si>
    <t>Ret - Avg ATVI</t>
  </si>
  <si>
    <t>Ret - Avg NTES</t>
  </si>
  <si>
    <t>Squared ATVI</t>
  </si>
  <si>
    <t>Squared NTES</t>
  </si>
  <si>
    <t>Variance</t>
  </si>
  <si>
    <t>Std Dev</t>
  </si>
  <si>
    <t>DEMEANED RETURNS</t>
  </si>
  <si>
    <t>Variance Calculations</t>
  </si>
  <si>
    <t>Covariance Calculations</t>
  </si>
  <si>
    <t>Ret - Avg EA</t>
  </si>
  <si>
    <t>Ret - Avg TTWO</t>
  </si>
  <si>
    <t>Returns Averages</t>
  </si>
  <si>
    <t>Averages</t>
  </si>
  <si>
    <t>Squared EA</t>
  </si>
  <si>
    <t>Squared TTWO</t>
  </si>
  <si>
    <t>Product ATVI+NTES</t>
  </si>
  <si>
    <t>Product ATVI+EA</t>
  </si>
  <si>
    <t>Product ATVI+TTWO</t>
  </si>
  <si>
    <t>Product NTES+EA</t>
  </si>
  <si>
    <t>Product NTES+TTWO</t>
  </si>
  <si>
    <t>Product EA+TTWO</t>
  </si>
  <si>
    <t>VARIANCE CALCULATIONS</t>
  </si>
  <si>
    <t>COVARIANCE CALCULATIONS</t>
  </si>
  <si>
    <t>MARKET MONTHLY RETURN RATES</t>
  </si>
  <si>
    <t>Portfolio Weights</t>
  </si>
  <si>
    <t>Standard Dev</t>
  </si>
  <si>
    <t>Correlation Matrix</t>
  </si>
  <si>
    <t>Stock Returns</t>
  </si>
  <si>
    <t>Stock Variance and Covariance</t>
  </si>
  <si>
    <t>ATVI | NTES</t>
  </si>
  <si>
    <t>Portfolio Risk</t>
  </si>
  <si>
    <t>Portfolio Return</t>
  </si>
  <si>
    <t>Average</t>
  </si>
  <si>
    <t>ATVI | EA</t>
  </si>
  <si>
    <t>TWO</t>
  </si>
  <si>
    <t>ATVI | TWO</t>
  </si>
  <si>
    <t>NTES | EA</t>
  </si>
  <si>
    <t>NTES | TTWO</t>
  </si>
  <si>
    <t>EA | TTWO</t>
  </si>
  <si>
    <t>p-value</t>
  </si>
  <si>
    <t>Intercept</t>
  </si>
  <si>
    <t>Standard Error</t>
  </si>
  <si>
    <t>ANOVA</t>
  </si>
  <si>
    <t>SS</t>
  </si>
  <si>
    <t>MS</t>
  </si>
  <si>
    <t>F</t>
  </si>
  <si>
    <t>Regression</t>
  </si>
  <si>
    <t>Residual</t>
  </si>
  <si>
    <t>Linear Regression</t>
  </si>
  <si>
    <t>Regression Statistics</t>
  </si>
  <si>
    <t>R</t>
  </si>
  <si>
    <t>R-Squared</t>
  </si>
  <si>
    <t>Adjusted R-Squared</t>
  </si>
  <si>
    <t>S</t>
  </si>
  <si>
    <t>MSE</t>
  </si>
  <si>
    <t>RMSE</t>
  </si>
  <si>
    <t>MAPE</t>
  </si>
  <si>
    <t>DW</t>
  </si>
  <si>
    <t>PRESS</t>
  </si>
  <si>
    <t>PRESS RMSE</t>
  </si>
  <si>
    <t>Predicted R-Squared</t>
  </si>
  <si>
    <t>N</t>
  </si>
  <si>
    <t>d.f.</t>
  </si>
  <si>
    <t>Coefficient</t>
  </si>
  <si>
    <t>LCL</t>
  </si>
  <si>
    <t>UCL</t>
  </si>
  <si>
    <t>t Stat</t>
  </si>
  <si>
    <t xml:space="preserve">ATVI = - 0.0072 + 1.03286 * Market </t>
  </si>
  <si>
    <t xml:space="preserve">NTES = - 0.00109 + 1.05701 * Market </t>
  </si>
  <si>
    <t xml:space="preserve">EA = - 0.00389 + 1.0315 * Market </t>
  </si>
  <si>
    <t xml:space="preserve">TTWO =  0.01219 + 0.87863 * Market </t>
  </si>
  <si>
    <t>Benchmark</t>
  </si>
  <si>
    <t>% Weight</t>
  </si>
  <si>
    <t>Acme</t>
  </si>
  <si>
    <t>Active</t>
  </si>
  <si>
    <t>Active Portfolio</t>
  </si>
  <si>
    <t>Monthly Returns</t>
  </si>
  <si>
    <t>61 Periods</t>
  </si>
  <si>
    <t>Benchmark and Acme</t>
  </si>
  <si>
    <t>Benchmark and Acme Excess</t>
  </si>
  <si>
    <t>Raw Monthly Returns</t>
  </si>
  <si>
    <t>Metric</t>
  </si>
  <si>
    <t>Average Arithmetic</t>
  </si>
  <si>
    <t>Total Arithmetic</t>
  </si>
  <si>
    <t>Total Geometric</t>
  </si>
  <si>
    <t>Average Geometric</t>
  </si>
  <si>
    <t>Bench</t>
  </si>
  <si>
    <t>Geometric Returns</t>
  </si>
  <si>
    <t>Cumulative Returns</t>
  </si>
  <si>
    <t>Risk Measures</t>
  </si>
  <si>
    <t>Std. Dev. Annually</t>
  </si>
  <si>
    <t>Difference</t>
  </si>
  <si>
    <t>Std. Dev. Monthly</t>
  </si>
  <si>
    <t>Regression Based Portfolio Measures</t>
  </si>
  <si>
    <t>Alpha</t>
  </si>
  <si>
    <t>Beta</t>
  </si>
  <si>
    <t>Risk Adjusted Return Measures</t>
  </si>
  <si>
    <t>Risk Free Rate</t>
  </si>
  <si>
    <t>Sharpe</t>
  </si>
  <si>
    <t>Treynor</t>
  </si>
  <si>
    <t>Jenson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</si>
</sst>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#,##0.#####"/>
    <numFmt numFmtId="166" formatCode="0.#####E+#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12"/>
      <color indexed="206"/>
      <name val="Calibri"/>
      <family val="2"/>
    </font>
    <font>
      <b/>
      <sz val="11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8DB4E2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80808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3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2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0" fontId="5" fillId="0" borderId="0" xfId="0" applyFont="1"/>
    <xf numFmtId="10" fontId="0" fillId="0" borderId="0" xfId="0" applyNumberFormat="1"/>
    <xf numFmtId="0" fontId="0" fillId="4" borderId="0" xfId="0" applyFill="1"/>
    <xf numFmtId="10" fontId="3" fillId="0" borderId="0" xfId="0" applyNumberFormat="1" applyFont="1"/>
    <xf numFmtId="0" fontId="0" fillId="5" borderId="0" xfId="0" applyFill="1"/>
    <xf numFmtId="10" fontId="0" fillId="5" borderId="0" xfId="0" applyNumberFormat="1" applyFill="1"/>
    <xf numFmtId="0" fontId="0" fillId="2" borderId="0" xfId="0" applyFill="1"/>
    <xf numFmtId="0" fontId="0" fillId="0" borderId="4" xfId="0" applyBorder="1"/>
    <xf numFmtId="0" fontId="3" fillId="0" borderId="4" xfId="0" applyFont="1" applyBorder="1"/>
    <xf numFmtId="10" fontId="0" fillId="0" borderId="4" xfId="0" applyNumberFormat="1" applyBorder="1"/>
    <xf numFmtId="0" fontId="0" fillId="6" borderId="0" xfId="0" applyFill="1"/>
    <xf numFmtId="0" fontId="6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164" fontId="0" fillId="0" borderId="0" xfId="0" applyNumberFormat="1"/>
    <xf numFmtId="0" fontId="0" fillId="7" borderId="0" xfId="0" applyFill="1"/>
    <xf numFmtId="0" fontId="0" fillId="8" borderId="0" xfId="0" applyFill="1"/>
    <xf numFmtId="10" fontId="0" fillId="0" borderId="3" xfId="0" applyNumberFormat="1" applyBorder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0" borderId="3" xfId="0" applyFont="1" applyBorder="1"/>
    <xf numFmtId="10" fontId="3" fillId="0" borderId="3" xfId="0" applyNumberFormat="1" applyFont="1" applyBorder="1"/>
    <xf numFmtId="164" fontId="3" fillId="0" borderId="0" xfId="0" applyNumberFormat="1" applyFont="1"/>
    <xf numFmtId="0" fontId="0" fillId="0" borderId="0" xfId="0" applyFont="1" applyFill="1" applyAlignment="1">
      <alignment vertical="center"/>
    </xf>
    <xf numFmtId="0" fontId="0" fillId="0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9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6" xfId="0" applyFont="1" applyFill="1" applyBorder="1" applyAlignment="1">
      <alignment vertical="center"/>
    </xf>
    <xf numFmtId="165" fontId="0" fillId="0" borderId="6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165" fontId="0" fillId="0" borderId="7" xfId="0" applyNumberFormat="1" applyFont="1" applyFill="1" applyBorder="1" applyAlignment="1">
      <alignment horizontal="right" vertical="center"/>
    </xf>
    <xf numFmtId="166" fontId="0" fillId="0" borderId="0" xfId="0" applyNumberFormat="1" applyFont="1" applyFill="1" applyAlignment="1">
      <alignment horizontal="right" vertical="center"/>
    </xf>
    <xf numFmtId="166" fontId="0" fillId="0" borderId="7" xfId="0" applyNumberFormat="1" applyFont="1" applyFill="1" applyBorder="1" applyAlignment="1">
      <alignment horizontal="right" vertical="center"/>
    </xf>
    <xf numFmtId="0" fontId="3" fillId="0" borderId="0" xfId="0" applyNumberFormat="1" applyFont="1"/>
    <xf numFmtId="0" fontId="9" fillId="0" borderId="0" xfId="0" applyFont="1" applyFill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Returns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 of Frequencies'!$C$4</c:f>
              <c:strCache>
                <c:ptCount val="1"/>
                <c:pt idx="0">
                  <c:v>ATVI</c:v>
                </c:pt>
              </c:strCache>
            </c:strRef>
          </c:tx>
          <c:invertIfNegative val="0"/>
          <c:cat>
            <c:strRef>
              <c:f>'Histogram of Frequencies'!$B$5:$B$10</c:f>
              <c:strCache>
                <c:ptCount val="6"/>
                <c:pt idx="0">
                  <c:v>&lt;-10%</c:v>
                </c:pt>
                <c:pt idx="1">
                  <c:v>&gt;-10% and &lt;-5%</c:v>
                </c:pt>
                <c:pt idx="2">
                  <c:v>&lt;-5% and &lt;0%</c:v>
                </c:pt>
                <c:pt idx="3">
                  <c:v>&gt;5% and &lt;0%</c:v>
                </c:pt>
                <c:pt idx="4">
                  <c:v>&gt;5% and &lt;10%</c:v>
                </c:pt>
                <c:pt idx="5">
                  <c:v>&gt;10%</c:v>
                </c:pt>
              </c:strCache>
            </c:strRef>
          </c:cat>
          <c:val>
            <c:numRef>
              <c:f>'Histogram of Frequencies'!$C$5:$C$10</c:f>
              <c:numCache>
                <c:formatCode>General</c:formatCode>
                <c:ptCount val="6"/>
                <c:pt idx="0">
                  <c:v>7.0</c:v>
                </c:pt>
                <c:pt idx="1">
                  <c:v>4.0</c:v>
                </c:pt>
                <c:pt idx="2">
                  <c:v>13.0</c:v>
                </c:pt>
                <c:pt idx="3">
                  <c:v>12.0</c:v>
                </c:pt>
                <c:pt idx="4">
                  <c:v>14.0</c:v>
                </c:pt>
                <c:pt idx="5">
                  <c:v>11.0</c:v>
                </c:pt>
              </c:numCache>
            </c:numRef>
          </c:val>
        </c:ser>
        <c:ser>
          <c:idx val="1"/>
          <c:order val="1"/>
          <c:tx>
            <c:strRef>
              <c:f>'Histogram of Frequencies'!$D$4</c:f>
              <c:strCache>
                <c:ptCount val="1"/>
                <c:pt idx="0">
                  <c:v>NTES</c:v>
                </c:pt>
              </c:strCache>
            </c:strRef>
          </c:tx>
          <c:invertIfNegative val="0"/>
          <c:cat>
            <c:strRef>
              <c:f>'Histogram of Frequencies'!$B$5:$B$10</c:f>
              <c:strCache>
                <c:ptCount val="6"/>
                <c:pt idx="0">
                  <c:v>&lt;-10%</c:v>
                </c:pt>
                <c:pt idx="1">
                  <c:v>&gt;-10% and &lt;-5%</c:v>
                </c:pt>
                <c:pt idx="2">
                  <c:v>&lt;-5% and &lt;0%</c:v>
                </c:pt>
                <c:pt idx="3">
                  <c:v>&gt;5% and &lt;0%</c:v>
                </c:pt>
                <c:pt idx="4">
                  <c:v>&gt;5% and &lt;10%</c:v>
                </c:pt>
                <c:pt idx="5">
                  <c:v>&gt;10%</c:v>
                </c:pt>
              </c:strCache>
            </c:strRef>
          </c:cat>
          <c:val>
            <c:numRef>
              <c:f>'Histogram of Frequencies'!$D$5:$D$10</c:f>
              <c:numCache>
                <c:formatCode>General</c:formatCode>
                <c:ptCount val="6"/>
                <c:pt idx="0">
                  <c:v>9.0</c:v>
                </c:pt>
                <c:pt idx="1">
                  <c:v>9.0</c:v>
                </c:pt>
                <c:pt idx="2">
                  <c:v>6.0</c:v>
                </c:pt>
                <c:pt idx="3">
                  <c:v>9.0</c:v>
                </c:pt>
                <c:pt idx="4">
                  <c:v>13.0</c:v>
                </c:pt>
                <c:pt idx="5">
                  <c:v>15.0</c:v>
                </c:pt>
              </c:numCache>
            </c:numRef>
          </c:val>
        </c:ser>
        <c:ser>
          <c:idx val="2"/>
          <c:order val="2"/>
          <c:tx>
            <c:strRef>
              <c:f>'Histogram of Frequencies'!$E$4</c:f>
              <c:strCache>
                <c:ptCount val="1"/>
                <c:pt idx="0">
                  <c:v>EA</c:v>
                </c:pt>
              </c:strCache>
            </c:strRef>
          </c:tx>
          <c:invertIfNegative val="0"/>
          <c:cat>
            <c:strRef>
              <c:f>'Histogram of Frequencies'!$B$5:$B$10</c:f>
              <c:strCache>
                <c:ptCount val="6"/>
                <c:pt idx="0">
                  <c:v>&lt;-10%</c:v>
                </c:pt>
                <c:pt idx="1">
                  <c:v>&gt;-10% and &lt;-5%</c:v>
                </c:pt>
                <c:pt idx="2">
                  <c:v>&lt;-5% and &lt;0%</c:v>
                </c:pt>
                <c:pt idx="3">
                  <c:v>&gt;5% and &lt;0%</c:v>
                </c:pt>
                <c:pt idx="4">
                  <c:v>&gt;5% and &lt;10%</c:v>
                </c:pt>
                <c:pt idx="5">
                  <c:v>&gt;10%</c:v>
                </c:pt>
              </c:strCache>
            </c:strRef>
          </c:cat>
          <c:val>
            <c:numRef>
              <c:f>'Histogram of Frequencies'!$E$5:$E$10</c:f>
              <c:numCache>
                <c:formatCode>General</c:formatCode>
                <c:ptCount val="6"/>
                <c:pt idx="0">
                  <c:v>3.0</c:v>
                </c:pt>
                <c:pt idx="1">
                  <c:v>13.0</c:v>
                </c:pt>
                <c:pt idx="2">
                  <c:v>10.0</c:v>
                </c:pt>
                <c:pt idx="3">
                  <c:v>12.0</c:v>
                </c:pt>
                <c:pt idx="4">
                  <c:v>14.0</c:v>
                </c:pt>
                <c:pt idx="5">
                  <c:v>9.0</c:v>
                </c:pt>
              </c:numCache>
            </c:numRef>
          </c:val>
        </c:ser>
        <c:ser>
          <c:idx val="3"/>
          <c:order val="3"/>
          <c:tx>
            <c:strRef>
              <c:f>'Histogram of Frequencies'!$F$4</c:f>
              <c:strCache>
                <c:ptCount val="1"/>
                <c:pt idx="0">
                  <c:v>TTWO</c:v>
                </c:pt>
              </c:strCache>
            </c:strRef>
          </c:tx>
          <c:invertIfNegative val="0"/>
          <c:cat>
            <c:strRef>
              <c:f>'Histogram of Frequencies'!$B$5:$B$10</c:f>
              <c:strCache>
                <c:ptCount val="6"/>
                <c:pt idx="0">
                  <c:v>&lt;-10%</c:v>
                </c:pt>
                <c:pt idx="1">
                  <c:v>&gt;-10% and &lt;-5%</c:v>
                </c:pt>
                <c:pt idx="2">
                  <c:v>&lt;-5% and &lt;0%</c:v>
                </c:pt>
                <c:pt idx="3">
                  <c:v>&gt;5% and &lt;0%</c:v>
                </c:pt>
                <c:pt idx="4">
                  <c:v>&gt;5% and &lt;10%</c:v>
                </c:pt>
                <c:pt idx="5">
                  <c:v>&gt;10%</c:v>
                </c:pt>
              </c:strCache>
            </c:strRef>
          </c:cat>
          <c:val>
            <c:numRef>
              <c:f>'Histogram of Frequencies'!$F$5:$F$10</c:f>
              <c:numCache>
                <c:formatCode>General</c:formatCode>
                <c:ptCount val="6"/>
                <c:pt idx="0">
                  <c:v>5.0</c:v>
                </c:pt>
                <c:pt idx="1">
                  <c:v>5.0</c:v>
                </c:pt>
                <c:pt idx="2">
                  <c:v>10.0</c:v>
                </c:pt>
                <c:pt idx="3">
                  <c:v>16.0</c:v>
                </c:pt>
                <c:pt idx="4">
                  <c:v>13.0</c:v>
                </c:pt>
                <c:pt idx="5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102824"/>
        <c:axId val="2092095912"/>
      </c:barChart>
      <c:catAx>
        <c:axId val="2092102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Returns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095912"/>
        <c:crosses val="autoZero"/>
        <c:auto val="1"/>
        <c:lblAlgn val="ctr"/>
        <c:lblOffset val="100"/>
        <c:noMultiLvlLbl val="0"/>
      </c:catAx>
      <c:valAx>
        <c:axId val="2092095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2102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Risk vs</a:t>
            </a:r>
            <a:r>
              <a:rPr lang="en-US" baseline="0"/>
              <a:t> Return Chart - ATVI / NTES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'Risk Analysis - ATVI|NTES'!$I$3</c:f>
              <c:strCache>
                <c:ptCount val="1"/>
                <c:pt idx="0">
                  <c:v>Average</c:v>
                </c:pt>
              </c:strCache>
            </c:strRef>
          </c:tx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ATVI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NTES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'Risk Analysis - ATVI|NTES'!$H$4:$H$14</c:f>
              <c:numCache>
                <c:formatCode>0.00%</c:formatCode>
                <c:ptCount val="11"/>
                <c:pt idx="0">
                  <c:v>0.0866880715800155</c:v>
                </c:pt>
                <c:pt idx="1">
                  <c:v>0.0824610280445847</c:v>
                </c:pt>
                <c:pt idx="2">
                  <c:v>0.0796686046310151</c:v>
                </c:pt>
                <c:pt idx="3">
                  <c:v>0.0784641192349185</c:v>
                </c:pt>
                <c:pt idx="4">
                  <c:v>0.0789203109252956</c:v>
                </c:pt>
                <c:pt idx="5">
                  <c:v>0.0810091289396107</c:v>
                </c:pt>
                <c:pt idx="6">
                  <c:v>0.0846097423015749</c:v>
                </c:pt>
                <c:pt idx="7">
                  <c:v>0.0895399577780706</c:v>
                </c:pt>
                <c:pt idx="8">
                  <c:v>0.0955942760380229</c:v>
                </c:pt>
                <c:pt idx="9">
                  <c:v>0.10257384271511</c:v>
                </c:pt>
                <c:pt idx="10">
                  <c:v>0.110303158763608</c:v>
                </c:pt>
              </c:numCache>
            </c:numRef>
          </c:xVal>
          <c:yVal>
            <c:numRef>
              <c:f>'Risk Analysis - ATVI|NTES'!$I$4:$I$14</c:f>
              <c:numCache>
                <c:formatCode>0.00%</c:formatCode>
                <c:ptCount val="11"/>
                <c:pt idx="0">
                  <c:v>0.0161359893420679</c:v>
                </c:pt>
                <c:pt idx="1">
                  <c:v>0.0168020719285802</c:v>
                </c:pt>
                <c:pt idx="2">
                  <c:v>0.0174681545150926</c:v>
                </c:pt>
                <c:pt idx="3">
                  <c:v>0.0181342371016049</c:v>
                </c:pt>
                <c:pt idx="4">
                  <c:v>0.0188003196881172</c:v>
                </c:pt>
                <c:pt idx="5">
                  <c:v>0.0194664022746295</c:v>
                </c:pt>
                <c:pt idx="6">
                  <c:v>0.0201324848611419</c:v>
                </c:pt>
                <c:pt idx="7">
                  <c:v>0.0207985674476542</c:v>
                </c:pt>
                <c:pt idx="8">
                  <c:v>0.0214646500341665</c:v>
                </c:pt>
                <c:pt idx="9">
                  <c:v>0.0221307326206789</c:v>
                </c:pt>
                <c:pt idx="10">
                  <c:v>0.0227968152071912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501624"/>
        <c:axId val="2093507112"/>
      </c:scatterChart>
      <c:valAx>
        <c:axId val="2093501624"/>
        <c:scaling>
          <c:orientation val="minMax"/>
          <c:min val="0.07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(Std Dev)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93507112"/>
        <c:crosses val="autoZero"/>
        <c:crossBetween val="midCat"/>
      </c:valAx>
      <c:valAx>
        <c:axId val="2093507112"/>
        <c:scaling>
          <c:orientation val="minMax"/>
          <c:min val="0.01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 (Avg)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93501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Risk</a:t>
            </a:r>
            <a:r>
              <a:rPr lang="en-US" baseline="0"/>
              <a:t> vs Return Chart - ATVI | EA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'RA - ATVI|EA'!$I$3</c:f>
              <c:strCache>
                <c:ptCount val="1"/>
                <c:pt idx="0">
                  <c:v>Average</c:v>
                </c:pt>
              </c:strCache>
            </c:strRef>
          </c:tx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ATVI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EA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'RA - ATVI|EA'!$H$4:$H$14</c:f>
              <c:numCache>
                <c:formatCode>0.00%</c:formatCode>
                <c:ptCount val="11"/>
                <c:pt idx="0">
                  <c:v>0.0866880715800155</c:v>
                </c:pt>
                <c:pt idx="1">
                  <c:v>0.0832084477659979</c:v>
                </c:pt>
                <c:pt idx="2">
                  <c:v>0.0804292413887872</c:v>
                </c:pt>
                <c:pt idx="3">
                  <c:v>0.0784249515556683</c:v>
                </c:pt>
                <c:pt idx="4">
                  <c:v>0.0772559140003284</c:v>
                </c:pt>
                <c:pt idx="5">
                  <c:v>0.0769602009802953</c:v>
                </c:pt>
                <c:pt idx="6">
                  <c:v>0.077547803883881</c:v>
                </c:pt>
                <c:pt idx="7">
                  <c:v>0.0789990145817173</c:v>
                </c:pt>
                <c:pt idx="8">
                  <c:v>0.0812675814081852</c:v>
                </c:pt>
                <c:pt idx="9">
                  <c:v>0.0842875336949286</c:v>
                </c:pt>
                <c:pt idx="10">
                  <c:v>0.0879815318700212</c:v>
                </c:pt>
              </c:numCache>
            </c:numRef>
          </c:xVal>
          <c:yVal>
            <c:numRef>
              <c:f>'RA - ATVI|EA'!$I$4:$I$14</c:f>
              <c:numCache>
                <c:formatCode>0.00%</c:formatCode>
                <c:ptCount val="11"/>
                <c:pt idx="0">
                  <c:v>0.0161359893420679</c:v>
                </c:pt>
                <c:pt idx="1">
                  <c:v>0.0164639614472054</c:v>
                </c:pt>
                <c:pt idx="2">
                  <c:v>0.0167919335523428</c:v>
                </c:pt>
                <c:pt idx="3">
                  <c:v>0.0171199056574803</c:v>
                </c:pt>
                <c:pt idx="4">
                  <c:v>0.0174478777626178</c:v>
                </c:pt>
                <c:pt idx="5">
                  <c:v>0.0177758498677553</c:v>
                </c:pt>
                <c:pt idx="6">
                  <c:v>0.0181038219728927</c:v>
                </c:pt>
                <c:pt idx="7">
                  <c:v>0.0184317940780302</c:v>
                </c:pt>
                <c:pt idx="8">
                  <c:v>0.0187597661831677</c:v>
                </c:pt>
                <c:pt idx="9">
                  <c:v>0.0190877382883051</c:v>
                </c:pt>
                <c:pt idx="10">
                  <c:v>0.0194157103934426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551496"/>
        <c:axId val="2093556984"/>
      </c:scatterChart>
      <c:valAx>
        <c:axId val="2093551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(Std. Dev)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93556984"/>
        <c:crosses val="autoZero"/>
        <c:crossBetween val="midCat"/>
      </c:valAx>
      <c:valAx>
        <c:axId val="2093556984"/>
        <c:scaling>
          <c:orientation val="minMax"/>
          <c:min val="0.01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</a:t>
                </a:r>
                <a:r>
                  <a:rPr lang="en-US" baseline="0"/>
                  <a:t> (Average)</a:t>
                </a:r>
                <a:endParaRPr lang="en-US"/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93551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Risk vs Returns Chart -</a:t>
            </a:r>
            <a:r>
              <a:rPr lang="en-US" baseline="0"/>
              <a:t> ATVI|TTWO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'RA - ATVI|TTWO'!$I$3</c:f>
              <c:strCache>
                <c:ptCount val="1"/>
                <c:pt idx="0">
                  <c:v>Average</c:v>
                </c:pt>
              </c:strCache>
            </c:strRef>
          </c:tx>
          <c:dLbls>
            <c:dLbl>
              <c:idx val="0"/>
              <c:layout>
                <c:manualLayout>
                  <c:x val="0.00343053173241852"/>
                  <c:y val="0.002858776443682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ATVI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TTWO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'RA - ATVI|TTWO'!$H$4:$H$14</c:f>
              <c:numCache>
                <c:formatCode>0.00%</c:formatCode>
                <c:ptCount val="11"/>
                <c:pt idx="0">
                  <c:v>0.0866880715800155</c:v>
                </c:pt>
                <c:pt idx="1">
                  <c:v>0.0824997956114289</c:v>
                </c:pt>
                <c:pt idx="2">
                  <c:v>0.0791043705949398</c:v>
                </c:pt>
                <c:pt idx="3">
                  <c:v>0.0766072925258685</c:v>
                </c:pt>
                <c:pt idx="4">
                  <c:v>0.0750982272673248</c:v>
                </c:pt>
                <c:pt idx="5">
                  <c:v>0.074637127884679</c:v>
                </c:pt>
                <c:pt idx="6">
                  <c:v>0.0752432630119232</c:v>
                </c:pt>
                <c:pt idx="7">
                  <c:v>0.0768913977510967</c:v>
                </c:pt>
                <c:pt idx="8">
                  <c:v>0.0795167662646164</c:v>
                </c:pt>
                <c:pt idx="9">
                  <c:v>0.0830267176026746</c:v>
                </c:pt>
                <c:pt idx="10">
                  <c:v>0.0873146391173628</c:v>
                </c:pt>
              </c:numCache>
            </c:numRef>
          </c:xVal>
          <c:yVal>
            <c:numRef>
              <c:f>'RA - ATVI|TTWO'!$I$4:$I$14</c:f>
              <c:numCache>
                <c:formatCode>0.00%</c:formatCode>
                <c:ptCount val="11"/>
                <c:pt idx="0">
                  <c:v>0.0161359893420679</c:v>
                </c:pt>
                <c:pt idx="1">
                  <c:v>0.0177268588148702</c:v>
                </c:pt>
                <c:pt idx="2">
                  <c:v>0.0193177282876725</c:v>
                </c:pt>
                <c:pt idx="3">
                  <c:v>0.0209085977604748</c:v>
                </c:pt>
                <c:pt idx="4">
                  <c:v>0.0224994672332771</c:v>
                </c:pt>
                <c:pt idx="5">
                  <c:v>0.0240903367060793</c:v>
                </c:pt>
                <c:pt idx="6">
                  <c:v>0.0256812061788816</c:v>
                </c:pt>
                <c:pt idx="7">
                  <c:v>0.0272720756516839</c:v>
                </c:pt>
                <c:pt idx="8">
                  <c:v>0.0288629451244862</c:v>
                </c:pt>
                <c:pt idx="9">
                  <c:v>0.0304538145972885</c:v>
                </c:pt>
                <c:pt idx="10">
                  <c:v>0.0320446840700908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601736"/>
        <c:axId val="2093607480"/>
      </c:scatterChart>
      <c:valAx>
        <c:axId val="2093601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</a:t>
                </a:r>
                <a:r>
                  <a:rPr lang="en-US" baseline="0"/>
                  <a:t> (Std. Dev)</a:t>
                </a:r>
                <a:endParaRPr lang="en-US"/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93607480"/>
        <c:crosses val="autoZero"/>
        <c:crossBetween val="midCat"/>
      </c:valAx>
      <c:valAx>
        <c:axId val="2093607480"/>
        <c:scaling>
          <c:orientation val="minMax"/>
          <c:min val="0.01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 (Average)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93601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Risk vs Return - NTES |</a:t>
            </a:r>
            <a:r>
              <a:rPr lang="en-US" baseline="0"/>
              <a:t> EA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'RA - NTES|EA'!$I$3</c:f>
              <c:strCache>
                <c:ptCount val="1"/>
                <c:pt idx="0">
                  <c:v>Average</c:v>
                </c:pt>
              </c:strCache>
            </c:strRef>
          </c:tx>
          <c:dLbls>
            <c:dLbl>
              <c:idx val="0"/>
              <c:layout>
                <c:manualLayout>
                  <c:x val="0.00990371432177167"/>
                  <c:y val="-0.0055022798903919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NTES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EA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'RA - NTES|EA'!$H$4:$H$14</c:f>
              <c:numCache>
                <c:formatCode>0.00%</c:formatCode>
                <c:ptCount val="11"/>
                <c:pt idx="0">
                  <c:v>0.110303158763608</c:v>
                </c:pt>
                <c:pt idx="1">
                  <c:v>0.102142142387504</c:v>
                </c:pt>
                <c:pt idx="2">
                  <c:v>0.0947954293406667</c:v>
                </c:pt>
                <c:pt idx="3">
                  <c:v>0.088466125439889</c:v>
                </c:pt>
                <c:pt idx="4">
                  <c:v>0.0833862280649731</c:v>
                </c:pt>
                <c:pt idx="5">
                  <c:v>0.0797947145214138</c:v>
                </c:pt>
                <c:pt idx="6">
                  <c:v>0.0778977256041334</c:v>
                </c:pt>
                <c:pt idx="7">
                  <c:v>0.0778192816539223</c:v>
                </c:pt>
                <c:pt idx="8">
                  <c:v>0.0795647616351662</c:v>
                </c:pt>
                <c:pt idx="9">
                  <c:v>0.0830192010626568</c:v>
                </c:pt>
                <c:pt idx="10">
                  <c:v>0.0879815318700212</c:v>
                </c:pt>
              </c:numCache>
            </c:numRef>
          </c:xVal>
          <c:yVal>
            <c:numRef>
              <c:f>'RA - NTES|EA'!$I$4:$I$14</c:f>
              <c:numCache>
                <c:formatCode>0.00%</c:formatCode>
                <c:ptCount val="11"/>
                <c:pt idx="0">
                  <c:v>0.0227968152071912</c:v>
                </c:pt>
                <c:pt idx="1">
                  <c:v>0.0224587047258163</c:v>
                </c:pt>
                <c:pt idx="2">
                  <c:v>0.0221205942444415</c:v>
                </c:pt>
                <c:pt idx="3">
                  <c:v>0.0217824837630666</c:v>
                </c:pt>
                <c:pt idx="4">
                  <c:v>0.0214443732816918</c:v>
                </c:pt>
                <c:pt idx="5">
                  <c:v>0.0211062628003169</c:v>
                </c:pt>
                <c:pt idx="6">
                  <c:v>0.020768152318942</c:v>
                </c:pt>
                <c:pt idx="7">
                  <c:v>0.0204300418375672</c:v>
                </c:pt>
                <c:pt idx="8">
                  <c:v>0.0200919313561923</c:v>
                </c:pt>
                <c:pt idx="9">
                  <c:v>0.0197538208748175</c:v>
                </c:pt>
                <c:pt idx="10">
                  <c:v>0.0194157103934426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649992"/>
        <c:axId val="2093655736"/>
      </c:scatterChart>
      <c:valAx>
        <c:axId val="2093649992"/>
        <c:scaling>
          <c:orientation val="minMax"/>
          <c:min val="0.07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(Std.</a:t>
                </a:r>
                <a:r>
                  <a:rPr lang="en-US" baseline="0"/>
                  <a:t> Dev)</a:t>
                </a:r>
                <a:endParaRPr lang="en-US"/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93655736"/>
        <c:crosses val="autoZero"/>
        <c:crossBetween val="midCat"/>
      </c:valAx>
      <c:valAx>
        <c:axId val="20936557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93649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Risk</a:t>
            </a:r>
            <a:r>
              <a:rPr lang="en-US" baseline="0"/>
              <a:t> vs Return - NTES | TTWO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'RA - NTES|TTWO'!$I$3</c:f>
              <c:strCache>
                <c:ptCount val="1"/>
                <c:pt idx="0">
                  <c:v>Average</c:v>
                </c:pt>
              </c:strCache>
            </c:strRef>
          </c:tx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NTES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0.00171232876712329"/>
                  <c:y val="-0.022831050228310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TTWO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'RA - NTES|TTWO'!$H$4:$H$14</c:f>
              <c:numCache>
                <c:formatCode>0.00%</c:formatCode>
                <c:ptCount val="11"/>
                <c:pt idx="0">
                  <c:v>0.110303158763608</c:v>
                </c:pt>
                <c:pt idx="1">
                  <c:v>0.100368965631107</c:v>
                </c:pt>
                <c:pt idx="2">
                  <c:v>0.0913520493179589</c:v>
                </c:pt>
                <c:pt idx="3">
                  <c:v>0.0835499239462689</c:v>
                </c:pt>
                <c:pt idx="4">
                  <c:v>0.0773311573194651</c:v>
                </c:pt>
                <c:pt idx="5">
                  <c:v>0.073100965912992</c:v>
                </c:pt>
                <c:pt idx="6">
                  <c:v>0.0712146036046047</c:v>
                </c:pt>
                <c:pt idx="7">
                  <c:v>0.0718568962578648</c:v>
                </c:pt>
                <c:pt idx="8">
                  <c:v>0.0749628743923959</c:v>
                </c:pt>
                <c:pt idx="9">
                  <c:v>0.080246973516954</c:v>
                </c:pt>
                <c:pt idx="10">
                  <c:v>0.0873146391173628</c:v>
                </c:pt>
              </c:numCache>
            </c:numRef>
          </c:xVal>
          <c:yVal>
            <c:numRef>
              <c:f>'RA - NTES|TTWO'!$I$4:$I$14</c:f>
              <c:numCache>
                <c:formatCode>0.00%</c:formatCode>
                <c:ptCount val="11"/>
                <c:pt idx="0">
                  <c:v>0.0227968152071912</c:v>
                </c:pt>
                <c:pt idx="1">
                  <c:v>0.0237216020934811</c:v>
                </c:pt>
                <c:pt idx="2">
                  <c:v>0.0246463889797711</c:v>
                </c:pt>
                <c:pt idx="3">
                  <c:v>0.0255711758660611</c:v>
                </c:pt>
                <c:pt idx="4">
                  <c:v>0.026495962752351</c:v>
                </c:pt>
                <c:pt idx="5">
                  <c:v>0.027420749638641</c:v>
                </c:pt>
                <c:pt idx="6">
                  <c:v>0.0283455365249309</c:v>
                </c:pt>
                <c:pt idx="7">
                  <c:v>0.0292703234112209</c:v>
                </c:pt>
                <c:pt idx="8">
                  <c:v>0.0301951102975109</c:v>
                </c:pt>
                <c:pt idx="9">
                  <c:v>0.0311198971838008</c:v>
                </c:pt>
                <c:pt idx="10">
                  <c:v>0.0320446840700908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697064"/>
        <c:axId val="2093702552"/>
      </c:scatterChart>
      <c:valAx>
        <c:axId val="2093697064"/>
        <c:scaling>
          <c:orientation val="minMax"/>
          <c:min val="0.07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(Std. Dev)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93702552"/>
        <c:crosses val="autoZero"/>
        <c:crossBetween val="midCat"/>
      </c:valAx>
      <c:valAx>
        <c:axId val="2093702552"/>
        <c:scaling>
          <c:orientation val="minMax"/>
          <c:min val="0.02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 (Average)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93697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Risk</a:t>
            </a:r>
            <a:r>
              <a:rPr lang="en-US" baseline="0"/>
              <a:t> vs Return Chart - EA | TTWO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'RA - EA | TTWO'!$I$3</c:f>
              <c:strCache>
                <c:ptCount val="1"/>
                <c:pt idx="0">
                  <c:v>Average</c:v>
                </c:pt>
              </c:strCache>
            </c:strRef>
          </c:tx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EA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0.00344332870652984"/>
                  <c:y val="0.0057388809182209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TTWO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'RA - EA | TTWO'!$H$4:$H$14</c:f>
              <c:numCache>
                <c:formatCode>0.00%</c:formatCode>
                <c:ptCount val="11"/>
                <c:pt idx="0">
                  <c:v>0.0879815318700212</c:v>
                </c:pt>
                <c:pt idx="1">
                  <c:v>0.0838736595755671</c:v>
                </c:pt>
                <c:pt idx="2">
                  <c:v>0.0805177840459286</c:v>
                </c:pt>
                <c:pt idx="3">
                  <c:v>0.0780110138467739</c:v>
                </c:pt>
                <c:pt idx="4">
                  <c:v>0.0764369346049564</c:v>
                </c:pt>
                <c:pt idx="5">
                  <c:v>0.0758536328653369</c:v>
                </c:pt>
                <c:pt idx="6">
                  <c:v>0.0762838398522409</c:v>
                </c:pt>
                <c:pt idx="7">
                  <c:v>0.0777107250191468</c:v>
                </c:pt>
                <c:pt idx="8">
                  <c:v>0.080081029589202</c:v>
                </c:pt>
                <c:pt idx="9">
                  <c:v>0.0833142711292485</c:v>
                </c:pt>
                <c:pt idx="10">
                  <c:v>0.0873146391173628</c:v>
                </c:pt>
              </c:numCache>
            </c:numRef>
          </c:xVal>
          <c:yVal>
            <c:numRef>
              <c:f>'RA - EA | TTWO'!$I$4:$I$14</c:f>
              <c:numCache>
                <c:formatCode>0.00%</c:formatCode>
                <c:ptCount val="11"/>
                <c:pt idx="0">
                  <c:v>0.0194157103934426</c:v>
                </c:pt>
                <c:pt idx="1">
                  <c:v>0.0206786077611074</c:v>
                </c:pt>
                <c:pt idx="2">
                  <c:v>0.0219415051287723</c:v>
                </c:pt>
                <c:pt idx="3">
                  <c:v>0.0232044024964371</c:v>
                </c:pt>
                <c:pt idx="4">
                  <c:v>0.0244672998641019</c:v>
                </c:pt>
                <c:pt idx="5">
                  <c:v>0.0257301972317667</c:v>
                </c:pt>
                <c:pt idx="6">
                  <c:v>0.0269930945994315</c:v>
                </c:pt>
                <c:pt idx="7">
                  <c:v>0.0282559919670963</c:v>
                </c:pt>
                <c:pt idx="8">
                  <c:v>0.0295188893347612</c:v>
                </c:pt>
                <c:pt idx="9">
                  <c:v>0.030781786702426</c:v>
                </c:pt>
                <c:pt idx="10">
                  <c:v>0.0320446840700908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017256"/>
        <c:axId val="2092011768"/>
      </c:scatterChart>
      <c:valAx>
        <c:axId val="2092017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(Std. Dev)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92011768"/>
        <c:crosses val="autoZero"/>
        <c:crossBetween val="midCat"/>
      </c:valAx>
      <c:valAx>
        <c:axId val="2092011768"/>
        <c:scaling>
          <c:orientation val="minMax"/>
          <c:min val="0.01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 (Averages)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92017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ATVI, NTES, EA, &amp; TTWO vs Market Scatter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ATVI</c:v>
          </c:tx>
          <c:spPr>
            <a:ln w="47625">
              <a:noFill/>
            </a:ln>
          </c:spPr>
          <c:trendline>
            <c:spPr>
              <a:ln w="25400">
                <a:solidFill>
                  <a:schemeClr val="tx2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'All Returns'!$F$2:$F$62</c:f>
              <c:numCache>
                <c:formatCode>0.00%</c:formatCode>
                <c:ptCount val="61"/>
                <c:pt idx="0">
                  <c:v>0.00477103899828565</c:v>
                </c:pt>
                <c:pt idx="1">
                  <c:v>0.0690276417705855</c:v>
                </c:pt>
                <c:pt idx="2">
                  <c:v>-0.0563938074510946</c:v>
                </c:pt>
                <c:pt idx="3">
                  <c:v>0.0905982708244052</c:v>
                </c:pt>
                <c:pt idx="4">
                  <c:v>0.0797028607304532</c:v>
                </c:pt>
                <c:pt idx="5">
                  <c:v>-0.0126374340104565</c:v>
                </c:pt>
                <c:pt idx="6">
                  <c:v>0.0915569767400632</c:v>
                </c:pt>
                <c:pt idx="7">
                  <c:v>-0.00872603111434402</c:v>
                </c:pt>
                <c:pt idx="8">
                  <c:v>0.00324751416845405</c:v>
                </c:pt>
                <c:pt idx="9">
                  <c:v>0.0324356569794207</c:v>
                </c:pt>
                <c:pt idx="10">
                  <c:v>0.111324177082372</c:v>
                </c:pt>
                <c:pt idx="11">
                  <c:v>0.011745444127357</c:v>
                </c:pt>
                <c:pt idx="12">
                  <c:v>0.0608942966361831</c:v>
                </c:pt>
                <c:pt idx="13">
                  <c:v>-0.0602353714893007</c:v>
                </c:pt>
                <c:pt idx="14">
                  <c:v>0.0413863352922692</c:v>
                </c:pt>
                <c:pt idx="15">
                  <c:v>0.136961754277797</c:v>
                </c:pt>
                <c:pt idx="16">
                  <c:v>0.0606302542506711</c:v>
                </c:pt>
                <c:pt idx="17">
                  <c:v>0.0276142697959548</c:v>
                </c:pt>
                <c:pt idx="18">
                  <c:v>-0.0759201425521729</c:v>
                </c:pt>
                <c:pt idx="19">
                  <c:v>-0.0489952618797613</c:v>
                </c:pt>
                <c:pt idx="20">
                  <c:v>0.0527363043802862</c:v>
                </c:pt>
                <c:pt idx="21">
                  <c:v>-0.0426603608265459</c:v>
                </c:pt>
                <c:pt idx="22">
                  <c:v>0.195554421244633</c:v>
                </c:pt>
                <c:pt idx="23">
                  <c:v>0.0132806836585677</c:v>
                </c:pt>
                <c:pt idx="24">
                  <c:v>0.0343883355357528</c:v>
                </c:pt>
                <c:pt idx="25">
                  <c:v>0.0535101569797385</c:v>
                </c:pt>
                <c:pt idx="26">
                  <c:v>0.0727369750477527</c:v>
                </c:pt>
                <c:pt idx="27">
                  <c:v>-0.0135133498617508</c:v>
                </c:pt>
                <c:pt idx="28">
                  <c:v>-0.040433912276569</c:v>
                </c:pt>
                <c:pt idx="29">
                  <c:v>-0.015229711502681</c:v>
                </c:pt>
                <c:pt idx="30">
                  <c:v>0.110089420005389</c:v>
                </c:pt>
                <c:pt idx="31">
                  <c:v>0.105680147261042</c:v>
                </c:pt>
                <c:pt idx="32">
                  <c:v>0.0269508619372566</c:v>
                </c:pt>
                <c:pt idx="33">
                  <c:v>0.0239361826699429</c:v>
                </c:pt>
                <c:pt idx="34">
                  <c:v>0.152606245066478</c:v>
                </c:pt>
                <c:pt idx="35">
                  <c:v>-0.0191265011803116</c:v>
                </c:pt>
                <c:pt idx="36">
                  <c:v>0.0739801290796775</c:v>
                </c:pt>
                <c:pt idx="37">
                  <c:v>0.0546197798215599</c:v>
                </c:pt>
                <c:pt idx="38">
                  <c:v>-0.0113516255343304</c:v>
                </c:pt>
                <c:pt idx="39">
                  <c:v>0.044811707472468</c:v>
                </c:pt>
                <c:pt idx="40">
                  <c:v>0.00403351903373803</c:v>
                </c:pt>
                <c:pt idx="41">
                  <c:v>0.00855560760655087</c:v>
                </c:pt>
                <c:pt idx="42">
                  <c:v>0.115209331238515</c:v>
                </c:pt>
                <c:pt idx="43">
                  <c:v>-0.05993639408334</c:v>
                </c:pt>
                <c:pt idx="44">
                  <c:v>-0.0671963933359687</c:v>
                </c:pt>
                <c:pt idx="45">
                  <c:v>-0.0279267317920319</c:v>
                </c:pt>
                <c:pt idx="46">
                  <c:v>0.0476359900900623</c:v>
                </c:pt>
                <c:pt idx="47">
                  <c:v>0.0787721771133784</c:v>
                </c:pt>
                <c:pt idx="48">
                  <c:v>-0.0372572002078143</c:v>
                </c:pt>
                <c:pt idx="49">
                  <c:v>-0.0472671842700876</c:v>
                </c:pt>
                <c:pt idx="50">
                  <c:v>0.100082210834686</c:v>
                </c:pt>
                <c:pt idx="51">
                  <c:v>-0.142589090904514</c:v>
                </c:pt>
                <c:pt idx="52">
                  <c:v>-0.102523128896866</c:v>
                </c:pt>
                <c:pt idx="53">
                  <c:v>-0.0386500325002466</c:v>
                </c:pt>
                <c:pt idx="54">
                  <c:v>0.0697563538672015</c:v>
                </c:pt>
                <c:pt idx="55">
                  <c:v>-0.0892060667831675</c:v>
                </c:pt>
                <c:pt idx="56">
                  <c:v>0.0761681289993789</c:v>
                </c:pt>
                <c:pt idx="57">
                  <c:v>0.0459494836054185</c:v>
                </c:pt>
                <c:pt idx="58">
                  <c:v>-0.0315797237081288</c:v>
                </c:pt>
                <c:pt idx="59">
                  <c:v>0.0629724261287495</c:v>
                </c:pt>
                <c:pt idx="60">
                  <c:v>-0.0180613293713755</c:v>
                </c:pt>
              </c:numCache>
            </c:numRef>
          </c:xVal>
          <c:yVal>
            <c:numRef>
              <c:f>'All Returns'!$B$2:$B$62</c:f>
              <c:numCache>
                <c:formatCode>0.00%</c:formatCode>
                <c:ptCount val="61"/>
                <c:pt idx="0">
                  <c:v>0.00358739910313432</c:v>
                </c:pt>
                <c:pt idx="1">
                  <c:v>0.0518320845322648</c:v>
                </c:pt>
                <c:pt idx="2">
                  <c:v>-0.116822424943822</c:v>
                </c:pt>
                <c:pt idx="3">
                  <c:v>-0.0404040384606042</c:v>
                </c:pt>
                <c:pt idx="4">
                  <c:v>0.0852129781848129</c:v>
                </c:pt>
                <c:pt idx="5">
                  <c:v>-0.069284064665127</c:v>
                </c:pt>
                <c:pt idx="6">
                  <c:v>0.0372208436724565</c:v>
                </c:pt>
                <c:pt idx="7">
                  <c:v>0.11578947368421</c:v>
                </c:pt>
                <c:pt idx="8">
                  <c:v>-0.0253001715265865</c:v>
                </c:pt>
                <c:pt idx="9">
                  <c:v>-0.00609756097560976</c:v>
                </c:pt>
                <c:pt idx="10">
                  <c:v>0.10692375109553</c:v>
                </c:pt>
                <c:pt idx="11">
                  <c:v>-0.0415677355502771</c:v>
                </c:pt>
                <c:pt idx="12">
                  <c:v>0.0652623736167854</c:v>
                </c:pt>
                <c:pt idx="13">
                  <c:v>0.110120119809223</c:v>
                </c:pt>
                <c:pt idx="14">
                  <c:v>0.0789381794948718</c:v>
                </c:pt>
                <c:pt idx="15">
                  <c:v>0.125283234874821</c:v>
                </c:pt>
                <c:pt idx="16">
                  <c:v>0.083429291336553</c:v>
                </c:pt>
                <c:pt idx="17">
                  <c:v>0.027881014338821</c:v>
                </c:pt>
                <c:pt idx="18">
                  <c:v>-0.100490806005962</c:v>
                </c:pt>
                <c:pt idx="19">
                  <c:v>-0.0904652498564043</c:v>
                </c:pt>
                <c:pt idx="20">
                  <c:v>0.0685191032522893</c:v>
                </c:pt>
                <c:pt idx="21">
                  <c:v>0.0108504692082112</c:v>
                </c:pt>
                <c:pt idx="22">
                  <c:v>0.138961324660245</c:v>
                </c:pt>
                <c:pt idx="23">
                  <c:v>0.0094244273777091</c:v>
                </c:pt>
                <c:pt idx="24">
                  <c:v>0.0133736812169142</c:v>
                </c:pt>
                <c:pt idx="25">
                  <c:v>0.0301294571713148</c:v>
                </c:pt>
                <c:pt idx="26">
                  <c:v>0.0708242705057837</c:v>
                </c:pt>
                <c:pt idx="27">
                  <c:v>-0.025507923826364</c:v>
                </c:pt>
                <c:pt idx="28">
                  <c:v>-0.151957315355909</c:v>
                </c:pt>
                <c:pt idx="29">
                  <c:v>-0.0136574702633851</c:v>
                </c:pt>
                <c:pt idx="30">
                  <c:v>0.113541896606427</c:v>
                </c:pt>
                <c:pt idx="31">
                  <c:v>0.122357675263806</c:v>
                </c:pt>
                <c:pt idx="32">
                  <c:v>0.104808329164451</c:v>
                </c:pt>
                <c:pt idx="33">
                  <c:v>0.0416666458997876</c:v>
                </c:pt>
                <c:pt idx="34">
                  <c:v>0.121148363636363</c:v>
                </c:pt>
                <c:pt idx="35">
                  <c:v>-0.0172414128630449</c:v>
                </c:pt>
                <c:pt idx="36">
                  <c:v>0.0731283480979676</c:v>
                </c:pt>
                <c:pt idx="37">
                  <c:v>0.0611848342697447</c:v>
                </c:pt>
                <c:pt idx="38">
                  <c:v>-0.0160158028070713</c:v>
                </c:pt>
                <c:pt idx="39">
                  <c:v>0.0151913807102346</c:v>
                </c:pt>
                <c:pt idx="40">
                  <c:v>-0.0471827163592217</c:v>
                </c:pt>
                <c:pt idx="41">
                  <c:v>0.0147435572197578</c:v>
                </c:pt>
                <c:pt idx="42">
                  <c:v>0.170720104232469</c:v>
                </c:pt>
                <c:pt idx="43">
                  <c:v>-0.0134898157354572</c:v>
                </c:pt>
                <c:pt idx="44">
                  <c:v>-0.0775331359578752</c:v>
                </c:pt>
                <c:pt idx="45">
                  <c:v>-0.0213864457431629</c:v>
                </c:pt>
                <c:pt idx="46">
                  <c:v>0.0687265431417194</c:v>
                </c:pt>
                <c:pt idx="47">
                  <c:v>0.076293832954797</c:v>
                </c:pt>
                <c:pt idx="48">
                  <c:v>-0.037997929769392</c:v>
                </c:pt>
                <c:pt idx="49">
                  <c:v>-0.0179787528732974</c:v>
                </c:pt>
                <c:pt idx="50">
                  <c:v>0.153814206763223</c:v>
                </c:pt>
                <c:pt idx="51">
                  <c:v>-0.169972336339167</c:v>
                </c:pt>
                <c:pt idx="52">
                  <c:v>-0.277624926388489</c:v>
                </c:pt>
                <c:pt idx="53">
                  <c:v>-0.0663592809470874</c:v>
                </c:pt>
                <c:pt idx="54">
                  <c:v>0.0143869873308997</c:v>
                </c:pt>
                <c:pt idx="55">
                  <c:v>-0.107959415412387</c:v>
                </c:pt>
                <c:pt idx="56">
                  <c:v>0.0804461338501694</c:v>
                </c:pt>
                <c:pt idx="57">
                  <c:v>0.0503267984820654</c:v>
                </c:pt>
                <c:pt idx="58">
                  <c:v>-0.100394111188427</c:v>
                </c:pt>
                <c:pt idx="59">
                  <c:v>0.0883099397811837</c:v>
                </c:pt>
                <c:pt idx="60">
                  <c:v>0.0326271391392556</c:v>
                </c:pt>
              </c:numCache>
            </c:numRef>
          </c:yVal>
          <c:smooth val="0"/>
        </c:ser>
        <c:ser>
          <c:idx val="1"/>
          <c:order val="1"/>
          <c:tx>
            <c:v>NTES</c:v>
          </c:tx>
          <c:spPr>
            <a:ln w="4762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'All Returns'!$F$2:$F$62</c:f>
              <c:numCache>
                <c:formatCode>0.00%</c:formatCode>
                <c:ptCount val="61"/>
                <c:pt idx="0">
                  <c:v>0.00477103899828565</c:v>
                </c:pt>
                <c:pt idx="1">
                  <c:v>0.0690276417705855</c:v>
                </c:pt>
                <c:pt idx="2">
                  <c:v>-0.0563938074510946</c:v>
                </c:pt>
                <c:pt idx="3">
                  <c:v>0.0905982708244052</c:v>
                </c:pt>
                <c:pt idx="4">
                  <c:v>0.0797028607304532</c:v>
                </c:pt>
                <c:pt idx="5">
                  <c:v>-0.0126374340104565</c:v>
                </c:pt>
                <c:pt idx="6">
                  <c:v>0.0915569767400632</c:v>
                </c:pt>
                <c:pt idx="7">
                  <c:v>-0.00872603111434402</c:v>
                </c:pt>
                <c:pt idx="8">
                  <c:v>0.00324751416845405</c:v>
                </c:pt>
                <c:pt idx="9">
                  <c:v>0.0324356569794207</c:v>
                </c:pt>
                <c:pt idx="10">
                  <c:v>0.111324177082372</c:v>
                </c:pt>
                <c:pt idx="11">
                  <c:v>0.011745444127357</c:v>
                </c:pt>
                <c:pt idx="12">
                  <c:v>0.0608942966361831</c:v>
                </c:pt>
                <c:pt idx="13">
                  <c:v>-0.0602353714893007</c:v>
                </c:pt>
                <c:pt idx="14">
                  <c:v>0.0413863352922692</c:v>
                </c:pt>
                <c:pt idx="15">
                  <c:v>0.136961754277797</c:v>
                </c:pt>
                <c:pt idx="16">
                  <c:v>0.0606302542506711</c:v>
                </c:pt>
                <c:pt idx="17">
                  <c:v>0.0276142697959548</c:v>
                </c:pt>
                <c:pt idx="18">
                  <c:v>-0.0759201425521729</c:v>
                </c:pt>
                <c:pt idx="19">
                  <c:v>-0.0489952618797613</c:v>
                </c:pt>
                <c:pt idx="20">
                  <c:v>0.0527363043802862</c:v>
                </c:pt>
                <c:pt idx="21">
                  <c:v>-0.0426603608265459</c:v>
                </c:pt>
                <c:pt idx="22">
                  <c:v>0.195554421244633</c:v>
                </c:pt>
                <c:pt idx="23">
                  <c:v>0.0132806836585677</c:v>
                </c:pt>
                <c:pt idx="24">
                  <c:v>0.0343883355357528</c:v>
                </c:pt>
                <c:pt idx="25">
                  <c:v>0.0535101569797385</c:v>
                </c:pt>
                <c:pt idx="26">
                  <c:v>0.0727369750477527</c:v>
                </c:pt>
                <c:pt idx="27">
                  <c:v>-0.0135133498617508</c:v>
                </c:pt>
                <c:pt idx="28">
                  <c:v>-0.040433912276569</c:v>
                </c:pt>
                <c:pt idx="29">
                  <c:v>-0.015229711502681</c:v>
                </c:pt>
                <c:pt idx="30">
                  <c:v>0.110089420005389</c:v>
                </c:pt>
                <c:pt idx="31">
                  <c:v>0.105680147261042</c:v>
                </c:pt>
                <c:pt idx="32">
                  <c:v>0.0269508619372566</c:v>
                </c:pt>
                <c:pt idx="33">
                  <c:v>0.0239361826699429</c:v>
                </c:pt>
                <c:pt idx="34">
                  <c:v>0.152606245066478</c:v>
                </c:pt>
                <c:pt idx="35">
                  <c:v>-0.0191265011803116</c:v>
                </c:pt>
                <c:pt idx="36">
                  <c:v>0.0739801290796775</c:v>
                </c:pt>
                <c:pt idx="37">
                  <c:v>0.0546197798215599</c:v>
                </c:pt>
                <c:pt idx="38">
                  <c:v>-0.0113516255343304</c:v>
                </c:pt>
                <c:pt idx="39">
                  <c:v>0.044811707472468</c:v>
                </c:pt>
                <c:pt idx="40">
                  <c:v>0.00403351903373803</c:v>
                </c:pt>
                <c:pt idx="41">
                  <c:v>0.00855560760655087</c:v>
                </c:pt>
                <c:pt idx="42">
                  <c:v>0.115209331238515</c:v>
                </c:pt>
                <c:pt idx="43">
                  <c:v>-0.05993639408334</c:v>
                </c:pt>
                <c:pt idx="44">
                  <c:v>-0.0671963933359687</c:v>
                </c:pt>
                <c:pt idx="45">
                  <c:v>-0.0279267317920319</c:v>
                </c:pt>
                <c:pt idx="46">
                  <c:v>0.0476359900900623</c:v>
                </c:pt>
                <c:pt idx="47">
                  <c:v>0.0787721771133784</c:v>
                </c:pt>
                <c:pt idx="48">
                  <c:v>-0.0372572002078143</c:v>
                </c:pt>
                <c:pt idx="49">
                  <c:v>-0.0472671842700876</c:v>
                </c:pt>
                <c:pt idx="50">
                  <c:v>0.100082210834686</c:v>
                </c:pt>
                <c:pt idx="51">
                  <c:v>-0.142589090904514</c:v>
                </c:pt>
                <c:pt idx="52">
                  <c:v>-0.102523128896866</c:v>
                </c:pt>
                <c:pt idx="53">
                  <c:v>-0.0386500325002466</c:v>
                </c:pt>
                <c:pt idx="54">
                  <c:v>0.0697563538672015</c:v>
                </c:pt>
                <c:pt idx="55">
                  <c:v>-0.0892060667831675</c:v>
                </c:pt>
                <c:pt idx="56">
                  <c:v>0.0761681289993789</c:v>
                </c:pt>
                <c:pt idx="57">
                  <c:v>0.0459494836054185</c:v>
                </c:pt>
                <c:pt idx="58">
                  <c:v>-0.0315797237081288</c:v>
                </c:pt>
                <c:pt idx="59">
                  <c:v>0.0629724261287495</c:v>
                </c:pt>
                <c:pt idx="60">
                  <c:v>-0.0180613293713755</c:v>
                </c:pt>
              </c:numCache>
            </c:numRef>
          </c:xVal>
          <c:yVal>
            <c:numRef>
              <c:f>'All Returns'!$C$2:$C$62</c:f>
              <c:numCache>
                <c:formatCode>0.00%</c:formatCode>
                <c:ptCount val="61"/>
                <c:pt idx="0">
                  <c:v>0.0724859749872384</c:v>
                </c:pt>
                <c:pt idx="1">
                  <c:v>0.0475963821085627</c:v>
                </c:pt>
                <c:pt idx="2">
                  <c:v>-0.0311050443263767</c:v>
                </c:pt>
                <c:pt idx="3">
                  <c:v>0.105766945796546</c:v>
                </c:pt>
                <c:pt idx="4">
                  <c:v>0.115603852242357</c:v>
                </c:pt>
                <c:pt idx="5">
                  <c:v>-0.0649816007730188</c:v>
                </c:pt>
                <c:pt idx="6">
                  <c:v>0.101977013334446</c:v>
                </c:pt>
                <c:pt idx="7">
                  <c:v>-0.0843020503432494</c:v>
                </c:pt>
                <c:pt idx="8">
                  <c:v>0.0484915060391166</c:v>
                </c:pt>
                <c:pt idx="9">
                  <c:v>0.217378901689109</c:v>
                </c:pt>
                <c:pt idx="10">
                  <c:v>0.103128183116808</c:v>
                </c:pt>
                <c:pt idx="11">
                  <c:v>0.0216501474851862</c:v>
                </c:pt>
                <c:pt idx="12">
                  <c:v>-0.043073032479914</c:v>
                </c:pt>
                <c:pt idx="13">
                  <c:v>-0.198009117867376</c:v>
                </c:pt>
                <c:pt idx="14">
                  <c:v>0.0761512542555096</c:v>
                </c:pt>
                <c:pt idx="15">
                  <c:v>0.203213414838159</c:v>
                </c:pt>
                <c:pt idx="16">
                  <c:v>0.153117035585117</c:v>
                </c:pt>
                <c:pt idx="17">
                  <c:v>0.0838416497107605</c:v>
                </c:pt>
                <c:pt idx="18">
                  <c:v>-0.138490428754954</c:v>
                </c:pt>
                <c:pt idx="19">
                  <c:v>-0.137889061982125</c:v>
                </c:pt>
                <c:pt idx="20">
                  <c:v>0.0666369581261647</c:v>
                </c:pt>
                <c:pt idx="21">
                  <c:v>-0.0244071900650785</c:v>
                </c:pt>
                <c:pt idx="22">
                  <c:v>0.263965883382357</c:v>
                </c:pt>
                <c:pt idx="23">
                  <c:v>0.0820406861632008</c:v>
                </c:pt>
                <c:pt idx="24">
                  <c:v>0.057188712052641</c:v>
                </c:pt>
                <c:pt idx="25">
                  <c:v>0.0376951918990513</c:v>
                </c:pt>
                <c:pt idx="26">
                  <c:v>0.131750871296118</c:v>
                </c:pt>
                <c:pt idx="27">
                  <c:v>0.0673228302488693</c:v>
                </c:pt>
                <c:pt idx="28">
                  <c:v>-0.127981576247386</c:v>
                </c:pt>
                <c:pt idx="29">
                  <c:v>-0.0424226687364994</c:v>
                </c:pt>
                <c:pt idx="30">
                  <c:v>0.179065657640302</c:v>
                </c:pt>
                <c:pt idx="31">
                  <c:v>0.201496672741158</c:v>
                </c:pt>
                <c:pt idx="32">
                  <c:v>-0.0721076817205716</c:v>
                </c:pt>
                <c:pt idx="33">
                  <c:v>-0.0655281161971831</c:v>
                </c:pt>
                <c:pt idx="34">
                  <c:v>0.0730622212746023</c:v>
                </c:pt>
                <c:pt idx="35">
                  <c:v>0.0516686701590591</c:v>
                </c:pt>
                <c:pt idx="36">
                  <c:v>0.0354255856796463</c:v>
                </c:pt>
                <c:pt idx="37">
                  <c:v>-0.113852490085622</c:v>
                </c:pt>
                <c:pt idx="38">
                  <c:v>-0.0464813611375479</c:v>
                </c:pt>
                <c:pt idx="39">
                  <c:v>0.0686479479068111</c:v>
                </c:pt>
                <c:pt idx="40">
                  <c:v>0.165968983549954</c:v>
                </c:pt>
                <c:pt idx="41">
                  <c:v>0.047475993161776</c:v>
                </c:pt>
                <c:pt idx="42">
                  <c:v>-0.0721882588885796</c:v>
                </c:pt>
                <c:pt idx="43">
                  <c:v>-0.0837393730167495</c:v>
                </c:pt>
                <c:pt idx="44">
                  <c:v>-0.0454158265328874</c:v>
                </c:pt>
                <c:pt idx="45">
                  <c:v>-0.083169894619821</c:v>
                </c:pt>
                <c:pt idx="46">
                  <c:v>-0.11183723972902</c:v>
                </c:pt>
                <c:pt idx="47">
                  <c:v>0.105534851285303</c:v>
                </c:pt>
                <c:pt idx="48">
                  <c:v>0.0210947165955175</c:v>
                </c:pt>
                <c:pt idx="49">
                  <c:v>-0.233682143410852</c:v>
                </c:pt>
                <c:pt idx="50">
                  <c:v>0.150917668130174</c:v>
                </c:pt>
                <c:pt idx="51">
                  <c:v>-0.0893756582694413</c:v>
                </c:pt>
                <c:pt idx="52">
                  <c:v>0.0924705337752069</c:v>
                </c:pt>
                <c:pt idx="53">
                  <c:v>0.0345024075179465</c:v>
                </c:pt>
                <c:pt idx="54">
                  <c:v>0.0703573027649511</c:v>
                </c:pt>
                <c:pt idx="55">
                  <c:v>-0.113960198458783</c:v>
                </c:pt>
                <c:pt idx="56">
                  <c:v>0.0816682910058765</c:v>
                </c:pt>
                <c:pt idx="57">
                  <c:v>0.176084001687479</c:v>
                </c:pt>
                <c:pt idx="58">
                  <c:v>-0.126243271803477</c:v>
                </c:pt>
                <c:pt idx="59">
                  <c:v>0.0259526793985052</c:v>
                </c:pt>
                <c:pt idx="60">
                  <c:v>-0.0975485655464118</c:v>
                </c:pt>
              </c:numCache>
            </c:numRef>
          </c:yVal>
          <c:smooth val="0"/>
        </c:ser>
        <c:ser>
          <c:idx val="2"/>
          <c:order val="2"/>
          <c:tx>
            <c:v>EA</c:v>
          </c:tx>
          <c:spPr>
            <a:ln w="47625">
              <a:noFill/>
            </a:ln>
          </c:spPr>
          <c:trendline>
            <c:spPr>
              <a:ln w="25400">
                <a:solidFill>
                  <a:schemeClr val="accent3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'All Returns'!$F$2:$F$62</c:f>
              <c:numCache>
                <c:formatCode>0.00%</c:formatCode>
                <c:ptCount val="61"/>
                <c:pt idx="0">
                  <c:v>0.00477103899828565</c:v>
                </c:pt>
                <c:pt idx="1">
                  <c:v>0.0690276417705855</c:v>
                </c:pt>
                <c:pt idx="2">
                  <c:v>-0.0563938074510946</c:v>
                </c:pt>
                <c:pt idx="3">
                  <c:v>0.0905982708244052</c:v>
                </c:pt>
                <c:pt idx="4">
                  <c:v>0.0797028607304532</c:v>
                </c:pt>
                <c:pt idx="5">
                  <c:v>-0.0126374340104565</c:v>
                </c:pt>
                <c:pt idx="6">
                  <c:v>0.0915569767400632</c:v>
                </c:pt>
                <c:pt idx="7">
                  <c:v>-0.00872603111434402</c:v>
                </c:pt>
                <c:pt idx="8">
                  <c:v>0.00324751416845405</c:v>
                </c:pt>
                <c:pt idx="9">
                  <c:v>0.0324356569794207</c:v>
                </c:pt>
                <c:pt idx="10">
                  <c:v>0.111324177082372</c:v>
                </c:pt>
                <c:pt idx="11">
                  <c:v>0.011745444127357</c:v>
                </c:pt>
                <c:pt idx="12">
                  <c:v>0.0608942966361831</c:v>
                </c:pt>
                <c:pt idx="13">
                  <c:v>-0.0602353714893007</c:v>
                </c:pt>
                <c:pt idx="14">
                  <c:v>0.0413863352922692</c:v>
                </c:pt>
                <c:pt idx="15">
                  <c:v>0.136961754277797</c:v>
                </c:pt>
                <c:pt idx="16">
                  <c:v>0.0606302542506711</c:v>
                </c:pt>
                <c:pt idx="17">
                  <c:v>0.0276142697959548</c:v>
                </c:pt>
                <c:pt idx="18">
                  <c:v>-0.0759201425521729</c:v>
                </c:pt>
                <c:pt idx="19">
                  <c:v>-0.0489952618797613</c:v>
                </c:pt>
                <c:pt idx="20">
                  <c:v>0.0527363043802862</c:v>
                </c:pt>
                <c:pt idx="21">
                  <c:v>-0.0426603608265459</c:v>
                </c:pt>
                <c:pt idx="22">
                  <c:v>0.195554421244633</c:v>
                </c:pt>
                <c:pt idx="23">
                  <c:v>0.0132806836585677</c:v>
                </c:pt>
                <c:pt idx="24">
                  <c:v>0.0343883355357528</c:v>
                </c:pt>
                <c:pt idx="25">
                  <c:v>0.0535101569797385</c:v>
                </c:pt>
                <c:pt idx="26">
                  <c:v>0.0727369750477527</c:v>
                </c:pt>
                <c:pt idx="27">
                  <c:v>-0.0135133498617508</c:v>
                </c:pt>
                <c:pt idx="28">
                  <c:v>-0.040433912276569</c:v>
                </c:pt>
                <c:pt idx="29">
                  <c:v>-0.015229711502681</c:v>
                </c:pt>
                <c:pt idx="30">
                  <c:v>0.110089420005389</c:v>
                </c:pt>
                <c:pt idx="31">
                  <c:v>0.105680147261042</c:v>
                </c:pt>
                <c:pt idx="32">
                  <c:v>0.0269508619372566</c:v>
                </c:pt>
                <c:pt idx="33">
                  <c:v>0.0239361826699429</c:v>
                </c:pt>
                <c:pt idx="34">
                  <c:v>0.152606245066478</c:v>
                </c:pt>
                <c:pt idx="35">
                  <c:v>-0.0191265011803116</c:v>
                </c:pt>
                <c:pt idx="36">
                  <c:v>0.0739801290796775</c:v>
                </c:pt>
                <c:pt idx="37">
                  <c:v>0.0546197798215599</c:v>
                </c:pt>
                <c:pt idx="38">
                  <c:v>-0.0113516255343304</c:v>
                </c:pt>
                <c:pt idx="39">
                  <c:v>0.044811707472468</c:v>
                </c:pt>
                <c:pt idx="40">
                  <c:v>0.00403351903373803</c:v>
                </c:pt>
                <c:pt idx="41">
                  <c:v>0.00855560760655087</c:v>
                </c:pt>
                <c:pt idx="42">
                  <c:v>0.115209331238515</c:v>
                </c:pt>
                <c:pt idx="43">
                  <c:v>-0.05993639408334</c:v>
                </c:pt>
                <c:pt idx="44">
                  <c:v>-0.0671963933359687</c:v>
                </c:pt>
                <c:pt idx="45">
                  <c:v>-0.0279267317920319</c:v>
                </c:pt>
                <c:pt idx="46">
                  <c:v>0.0476359900900623</c:v>
                </c:pt>
                <c:pt idx="47">
                  <c:v>0.0787721771133784</c:v>
                </c:pt>
                <c:pt idx="48">
                  <c:v>-0.0372572002078143</c:v>
                </c:pt>
                <c:pt idx="49">
                  <c:v>-0.0472671842700876</c:v>
                </c:pt>
                <c:pt idx="50">
                  <c:v>0.100082210834686</c:v>
                </c:pt>
                <c:pt idx="51">
                  <c:v>-0.142589090904514</c:v>
                </c:pt>
                <c:pt idx="52">
                  <c:v>-0.102523128896866</c:v>
                </c:pt>
                <c:pt idx="53">
                  <c:v>-0.0386500325002466</c:v>
                </c:pt>
                <c:pt idx="54">
                  <c:v>0.0697563538672015</c:v>
                </c:pt>
                <c:pt idx="55">
                  <c:v>-0.0892060667831675</c:v>
                </c:pt>
                <c:pt idx="56">
                  <c:v>0.0761681289993789</c:v>
                </c:pt>
                <c:pt idx="57">
                  <c:v>0.0459494836054185</c:v>
                </c:pt>
                <c:pt idx="58">
                  <c:v>-0.0315797237081288</c:v>
                </c:pt>
                <c:pt idx="59">
                  <c:v>0.0629724261287495</c:v>
                </c:pt>
                <c:pt idx="60">
                  <c:v>-0.0180613293713755</c:v>
                </c:pt>
              </c:numCache>
            </c:numRef>
          </c:xVal>
          <c:yVal>
            <c:numRef>
              <c:f>'All Returns'!$D$2:$D$62</c:f>
              <c:numCache>
                <c:formatCode>0.00%</c:formatCode>
                <c:ptCount val="61"/>
                <c:pt idx="0">
                  <c:v>-0.0632841371619738</c:v>
                </c:pt>
                <c:pt idx="1">
                  <c:v>0.126190543225627</c:v>
                </c:pt>
                <c:pt idx="2">
                  <c:v>-0.058932320295983</c:v>
                </c:pt>
                <c:pt idx="3">
                  <c:v>0.15051951276272</c:v>
                </c:pt>
                <c:pt idx="4">
                  <c:v>0.0722479601599228</c:v>
                </c:pt>
                <c:pt idx="5">
                  <c:v>0.0703391759617573</c:v>
                </c:pt>
                <c:pt idx="6">
                  <c:v>0.166737579753296</c:v>
                </c:pt>
                <c:pt idx="7">
                  <c:v>0.0422894450913333</c:v>
                </c:pt>
                <c:pt idx="8">
                  <c:v>0.0286813571178734</c:v>
                </c:pt>
                <c:pt idx="9">
                  <c:v>-0.0124107446446786</c:v>
                </c:pt>
                <c:pt idx="10">
                  <c:v>0.0803924599758993</c:v>
                </c:pt>
                <c:pt idx="11">
                  <c:v>0.0595921306434714</c:v>
                </c:pt>
                <c:pt idx="12">
                  <c:v>0.0759398947368421</c:v>
                </c:pt>
                <c:pt idx="13">
                  <c:v>-0.0754717089250157</c:v>
                </c:pt>
                <c:pt idx="14">
                  <c:v>0.0241874217932751</c:v>
                </c:pt>
                <c:pt idx="15">
                  <c:v>0.0637638376383762</c:v>
                </c:pt>
                <c:pt idx="16">
                  <c:v>-0.0593866934924377</c:v>
                </c:pt>
                <c:pt idx="17">
                  <c:v>0.013718837384292</c:v>
                </c:pt>
                <c:pt idx="18">
                  <c:v>-0.0606809944604045</c:v>
                </c:pt>
                <c:pt idx="19">
                  <c:v>-0.00480255593481537</c:v>
                </c:pt>
                <c:pt idx="20">
                  <c:v>0.0291096366472489</c:v>
                </c:pt>
                <c:pt idx="21">
                  <c:v>-0.0644381021866872</c:v>
                </c:pt>
                <c:pt idx="22">
                  <c:v>0.240905456456118</c:v>
                </c:pt>
                <c:pt idx="23">
                  <c:v>-0.012898996742671</c:v>
                </c:pt>
                <c:pt idx="24">
                  <c:v>0.00739173686927818</c:v>
                </c:pt>
                <c:pt idx="25">
                  <c:v>0.0643344208595388</c:v>
                </c:pt>
                <c:pt idx="26">
                  <c:v>0.0513356991997158</c:v>
                </c:pt>
                <c:pt idx="27">
                  <c:v>-0.0805621175512384</c:v>
                </c:pt>
                <c:pt idx="28">
                  <c:v>0.00916965139466308</c:v>
                </c:pt>
                <c:pt idx="29">
                  <c:v>-0.00605749636692321</c:v>
                </c:pt>
                <c:pt idx="30">
                  <c:v>0.0592940309981202</c:v>
                </c:pt>
                <c:pt idx="31">
                  <c:v>0.0367973151144671</c:v>
                </c:pt>
                <c:pt idx="32">
                  <c:v>0.034913260115607</c:v>
                </c:pt>
                <c:pt idx="33">
                  <c:v>0.0592046825023908</c:v>
                </c:pt>
                <c:pt idx="34">
                  <c:v>0.195212001687407</c:v>
                </c:pt>
                <c:pt idx="35">
                  <c:v>-0.0671490414338826</c:v>
                </c:pt>
                <c:pt idx="36">
                  <c:v>0.104237579415081</c:v>
                </c:pt>
                <c:pt idx="37">
                  <c:v>0.04077438822639</c:v>
                </c:pt>
                <c:pt idx="38">
                  <c:v>-0.0283127736625514</c:v>
                </c:pt>
                <c:pt idx="39">
                  <c:v>0.0130442150270069</c:v>
                </c:pt>
                <c:pt idx="40">
                  <c:v>-0.110785955029865</c:v>
                </c:pt>
                <c:pt idx="41">
                  <c:v>-0.0121297604537802</c:v>
                </c:pt>
                <c:pt idx="42">
                  <c:v>0.208452326450643</c:v>
                </c:pt>
                <c:pt idx="43">
                  <c:v>-0.0256773946571943</c:v>
                </c:pt>
                <c:pt idx="44">
                  <c:v>-0.0198868153569963</c:v>
                </c:pt>
                <c:pt idx="45">
                  <c:v>-0.0268887747754664</c:v>
                </c:pt>
                <c:pt idx="46">
                  <c:v>0.109594852273397</c:v>
                </c:pt>
                <c:pt idx="47">
                  <c:v>0.0772286279969862</c:v>
                </c:pt>
                <c:pt idx="48">
                  <c:v>-0.0870089607996323</c:v>
                </c:pt>
                <c:pt idx="49">
                  <c:v>-0.119145599999999</c:v>
                </c:pt>
                <c:pt idx="50">
                  <c:v>0.0624283021804672</c:v>
                </c:pt>
                <c:pt idx="51">
                  <c:v>-0.244916553156553</c:v>
                </c:pt>
                <c:pt idx="52">
                  <c:v>-0.0759507888782989</c:v>
                </c:pt>
                <c:pt idx="53">
                  <c:v>-0.0613773759961935</c:v>
                </c:pt>
                <c:pt idx="54">
                  <c:v>0.168926540670305</c:v>
                </c:pt>
                <c:pt idx="55">
                  <c:v>0.0383781556456668</c:v>
                </c:pt>
                <c:pt idx="56">
                  <c:v>0.0610774489567493</c:v>
                </c:pt>
                <c:pt idx="57">
                  <c:v>-0.0686804605533935</c:v>
                </c:pt>
                <c:pt idx="58">
                  <c:v>-0.0165874270134721</c:v>
                </c:pt>
                <c:pt idx="59">
                  <c:v>0.0878813904623678</c:v>
                </c:pt>
                <c:pt idx="60">
                  <c:v>-0.0865099923659886</c:v>
                </c:pt>
              </c:numCache>
            </c:numRef>
          </c:yVal>
          <c:smooth val="0"/>
        </c:ser>
        <c:ser>
          <c:idx val="3"/>
          <c:order val="3"/>
          <c:tx>
            <c:v>TTWO</c:v>
          </c:tx>
          <c:spPr>
            <a:ln w="47625">
              <a:noFill/>
            </a:ln>
          </c:spPr>
          <c:trendline>
            <c:spPr>
              <a:ln w="25400">
                <a:solidFill>
                  <a:schemeClr val="accent4"/>
                </a:solidFill>
              </a:ln>
            </c:spPr>
            <c:trendlineType val="linear"/>
            <c:dispRSqr val="0"/>
            <c:dispEq val="0"/>
          </c:trendline>
          <c:xVal>
            <c:numRef>
              <c:f>'All Returns'!$F$2:$F$62</c:f>
              <c:numCache>
                <c:formatCode>0.00%</c:formatCode>
                <c:ptCount val="61"/>
                <c:pt idx="0">
                  <c:v>0.00477103899828565</c:v>
                </c:pt>
                <c:pt idx="1">
                  <c:v>0.0690276417705855</c:v>
                </c:pt>
                <c:pt idx="2">
                  <c:v>-0.0563938074510946</c:v>
                </c:pt>
                <c:pt idx="3">
                  <c:v>0.0905982708244052</c:v>
                </c:pt>
                <c:pt idx="4">
                  <c:v>0.0797028607304532</c:v>
                </c:pt>
                <c:pt idx="5">
                  <c:v>-0.0126374340104565</c:v>
                </c:pt>
                <c:pt idx="6">
                  <c:v>0.0915569767400632</c:v>
                </c:pt>
                <c:pt idx="7">
                  <c:v>-0.00872603111434402</c:v>
                </c:pt>
                <c:pt idx="8">
                  <c:v>0.00324751416845405</c:v>
                </c:pt>
                <c:pt idx="9">
                  <c:v>0.0324356569794207</c:v>
                </c:pt>
                <c:pt idx="10">
                  <c:v>0.111324177082372</c:v>
                </c:pt>
                <c:pt idx="11">
                  <c:v>0.011745444127357</c:v>
                </c:pt>
                <c:pt idx="12">
                  <c:v>0.0608942966361831</c:v>
                </c:pt>
                <c:pt idx="13">
                  <c:v>-0.0602353714893007</c:v>
                </c:pt>
                <c:pt idx="14">
                  <c:v>0.0413863352922692</c:v>
                </c:pt>
                <c:pt idx="15">
                  <c:v>0.136961754277797</c:v>
                </c:pt>
                <c:pt idx="16">
                  <c:v>0.0606302542506711</c:v>
                </c:pt>
                <c:pt idx="17">
                  <c:v>0.0276142697959548</c:v>
                </c:pt>
                <c:pt idx="18">
                  <c:v>-0.0759201425521729</c:v>
                </c:pt>
                <c:pt idx="19">
                  <c:v>-0.0489952618797613</c:v>
                </c:pt>
                <c:pt idx="20">
                  <c:v>0.0527363043802862</c:v>
                </c:pt>
                <c:pt idx="21">
                  <c:v>-0.0426603608265459</c:v>
                </c:pt>
                <c:pt idx="22">
                  <c:v>0.195554421244633</c:v>
                </c:pt>
                <c:pt idx="23">
                  <c:v>0.0132806836585677</c:v>
                </c:pt>
                <c:pt idx="24">
                  <c:v>0.0343883355357528</c:v>
                </c:pt>
                <c:pt idx="25">
                  <c:v>0.0535101569797385</c:v>
                </c:pt>
                <c:pt idx="26">
                  <c:v>0.0727369750477527</c:v>
                </c:pt>
                <c:pt idx="27">
                  <c:v>-0.0135133498617508</c:v>
                </c:pt>
                <c:pt idx="28">
                  <c:v>-0.040433912276569</c:v>
                </c:pt>
                <c:pt idx="29">
                  <c:v>-0.015229711502681</c:v>
                </c:pt>
                <c:pt idx="30">
                  <c:v>0.110089420005389</c:v>
                </c:pt>
                <c:pt idx="31">
                  <c:v>0.105680147261042</c:v>
                </c:pt>
                <c:pt idx="32">
                  <c:v>0.0269508619372566</c:v>
                </c:pt>
                <c:pt idx="33">
                  <c:v>0.0239361826699429</c:v>
                </c:pt>
                <c:pt idx="34">
                  <c:v>0.152606245066478</c:v>
                </c:pt>
                <c:pt idx="35">
                  <c:v>-0.0191265011803116</c:v>
                </c:pt>
                <c:pt idx="36">
                  <c:v>0.0739801290796775</c:v>
                </c:pt>
                <c:pt idx="37">
                  <c:v>0.0546197798215599</c:v>
                </c:pt>
                <c:pt idx="38">
                  <c:v>-0.0113516255343304</c:v>
                </c:pt>
                <c:pt idx="39">
                  <c:v>0.044811707472468</c:v>
                </c:pt>
                <c:pt idx="40">
                  <c:v>0.00403351903373803</c:v>
                </c:pt>
                <c:pt idx="41">
                  <c:v>0.00855560760655087</c:v>
                </c:pt>
                <c:pt idx="42">
                  <c:v>0.115209331238515</c:v>
                </c:pt>
                <c:pt idx="43">
                  <c:v>-0.05993639408334</c:v>
                </c:pt>
                <c:pt idx="44">
                  <c:v>-0.0671963933359687</c:v>
                </c:pt>
                <c:pt idx="45">
                  <c:v>-0.0279267317920319</c:v>
                </c:pt>
                <c:pt idx="46">
                  <c:v>0.0476359900900623</c:v>
                </c:pt>
                <c:pt idx="47">
                  <c:v>0.0787721771133784</c:v>
                </c:pt>
                <c:pt idx="48">
                  <c:v>-0.0372572002078143</c:v>
                </c:pt>
                <c:pt idx="49">
                  <c:v>-0.0472671842700876</c:v>
                </c:pt>
                <c:pt idx="50">
                  <c:v>0.100082210834686</c:v>
                </c:pt>
                <c:pt idx="51">
                  <c:v>-0.142589090904514</c:v>
                </c:pt>
                <c:pt idx="52">
                  <c:v>-0.102523128896866</c:v>
                </c:pt>
                <c:pt idx="53">
                  <c:v>-0.0386500325002466</c:v>
                </c:pt>
                <c:pt idx="54">
                  <c:v>0.0697563538672015</c:v>
                </c:pt>
                <c:pt idx="55">
                  <c:v>-0.0892060667831675</c:v>
                </c:pt>
                <c:pt idx="56">
                  <c:v>0.0761681289993789</c:v>
                </c:pt>
                <c:pt idx="57">
                  <c:v>0.0459494836054185</c:v>
                </c:pt>
                <c:pt idx="58">
                  <c:v>-0.0315797237081288</c:v>
                </c:pt>
                <c:pt idx="59">
                  <c:v>0.0629724261287495</c:v>
                </c:pt>
                <c:pt idx="60">
                  <c:v>-0.0180613293713755</c:v>
                </c:pt>
              </c:numCache>
            </c:numRef>
          </c:xVal>
          <c:yVal>
            <c:numRef>
              <c:f>'All Returns'!$E$2:$E$62</c:f>
              <c:numCache>
                <c:formatCode>0.00%</c:formatCode>
                <c:ptCount val="61"/>
                <c:pt idx="0">
                  <c:v>0.00629491906474366</c:v>
                </c:pt>
                <c:pt idx="1">
                  <c:v>0.0504915572158874</c:v>
                </c:pt>
                <c:pt idx="2">
                  <c:v>-0.0187154402381966</c:v>
                </c:pt>
                <c:pt idx="3">
                  <c:v>0.146510663198959</c:v>
                </c:pt>
                <c:pt idx="4">
                  <c:v>0.04574665233472</c:v>
                </c:pt>
                <c:pt idx="5">
                  <c:v>0.0133767534345625</c:v>
                </c:pt>
                <c:pt idx="6">
                  <c:v>0.0602924702000544</c:v>
                </c:pt>
                <c:pt idx="7">
                  <c:v>-0.10868099288967</c:v>
                </c:pt>
                <c:pt idx="8">
                  <c:v>-0.0388826349565873</c:v>
                </c:pt>
                <c:pt idx="9">
                  <c:v>-0.0691279681511377</c:v>
                </c:pt>
                <c:pt idx="10">
                  <c:v>0.154852314141252</c:v>
                </c:pt>
                <c:pt idx="11">
                  <c:v>0.00730723393104737</c:v>
                </c:pt>
                <c:pt idx="12">
                  <c:v>0.145447950671019</c:v>
                </c:pt>
                <c:pt idx="13">
                  <c:v>-0.0775807789740342</c:v>
                </c:pt>
                <c:pt idx="14">
                  <c:v>-0.0137315143745798</c:v>
                </c:pt>
                <c:pt idx="15">
                  <c:v>0.155586529759832</c:v>
                </c:pt>
                <c:pt idx="16">
                  <c:v>0.0653613835734523</c:v>
                </c:pt>
                <c:pt idx="17">
                  <c:v>-0.0149844222500542</c:v>
                </c:pt>
                <c:pt idx="18">
                  <c:v>-0.00401834098737097</c:v>
                </c:pt>
                <c:pt idx="19">
                  <c:v>0.0371758202542993</c:v>
                </c:pt>
                <c:pt idx="20">
                  <c:v>0.0466795194954419</c:v>
                </c:pt>
                <c:pt idx="21">
                  <c:v>-0.0926466202626291</c:v>
                </c:pt>
                <c:pt idx="22">
                  <c:v>0.138385020479812</c:v>
                </c:pt>
                <c:pt idx="23">
                  <c:v>-0.025443382163968</c:v>
                </c:pt>
                <c:pt idx="24">
                  <c:v>0.0595992120041779</c:v>
                </c:pt>
                <c:pt idx="25">
                  <c:v>0.0818815579890492</c:v>
                </c:pt>
                <c:pt idx="26">
                  <c:v>0.0370370591893935</c:v>
                </c:pt>
                <c:pt idx="27">
                  <c:v>-0.0153061883182703</c:v>
                </c:pt>
                <c:pt idx="28">
                  <c:v>0.109033591102356</c:v>
                </c:pt>
                <c:pt idx="29">
                  <c:v>0.00121878935608377</c:v>
                </c:pt>
                <c:pt idx="30">
                  <c:v>0.0884560947767072</c:v>
                </c:pt>
                <c:pt idx="31">
                  <c:v>0.0620689259247371</c:v>
                </c:pt>
                <c:pt idx="32">
                  <c:v>0.0401895401895402</c:v>
                </c:pt>
                <c:pt idx="33">
                  <c:v>0.0604015184747763</c:v>
                </c:pt>
                <c:pt idx="34">
                  <c:v>0.221002393667538</c:v>
                </c:pt>
                <c:pt idx="35">
                  <c:v>-0.0437842205833781</c:v>
                </c:pt>
                <c:pt idx="36">
                  <c:v>0.0831290031260152</c:v>
                </c:pt>
                <c:pt idx="37">
                  <c:v>0.230372386875727</c:v>
                </c:pt>
                <c:pt idx="38">
                  <c:v>0.0454034354698491</c:v>
                </c:pt>
                <c:pt idx="39">
                  <c:v>0.0823632862458196</c:v>
                </c:pt>
                <c:pt idx="40">
                  <c:v>0.00813376397408482</c:v>
                </c:pt>
                <c:pt idx="41">
                  <c:v>-0.0158673595015501</c:v>
                </c:pt>
                <c:pt idx="42">
                  <c:v>0.153853153159529</c:v>
                </c:pt>
                <c:pt idx="43">
                  <c:v>-0.116838992923959</c:v>
                </c:pt>
                <c:pt idx="44">
                  <c:v>-0.125949795496116</c:v>
                </c:pt>
                <c:pt idx="45">
                  <c:v>0.0197381879703228</c:v>
                </c:pt>
                <c:pt idx="46">
                  <c:v>0.124059804674153</c:v>
                </c:pt>
                <c:pt idx="47">
                  <c:v>0.0560313962164276</c:v>
                </c:pt>
                <c:pt idx="48">
                  <c:v>-0.0451166268577506</c:v>
                </c:pt>
                <c:pt idx="49">
                  <c:v>0.181737759203798</c:v>
                </c:pt>
                <c:pt idx="50">
                  <c:v>0.0331686662648795</c:v>
                </c:pt>
                <c:pt idx="51">
                  <c:v>-0.0660918158528945</c:v>
                </c:pt>
                <c:pt idx="52">
                  <c:v>-0.148987334095884</c:v>
                </c:pt>
                <c:pt idx="53">
                  <c:v>-0.0613658805756519</c:v>
                </c:pt>
                <c:pt idx="54">
                  <c:v>0.0253545847026503</c:v>
                </c:pt>
                <c:pt idx="55">
                  <c:v>-0.173282808907167</c:v>
                </c:pt>
                <c:pt idx="56">
                  <c:v>0.0814806421847205</c:v>
                </c:pt>
                <c:pt idx="57">
                  <c:v>0.0260675948055231</c:v>
                </c:pt>
                <c:pt idx="58">
                  <c:v>0.116905915172861</c:v>
                </c:pt>
                <c:pt idx="59">
                  <c:v>0.0497456948729413</c:v>
                </c:pt>
                <c:pt idx="60">
                  <c:v>0.0791861012876429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34024"/>
        <c:axId val="2091928824"/>
      </c:scatterChart>
      <c:valAx>
        <c:axId val="2091934024"/>
        <c:scaling>
          <c:orientation val="minMax"/>
          <c:max val="0.2"/>
          <c:min val="-0.1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Market Return %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91928824"/>
        <c:crosses val="autoZero"/>
        <c:crossBetween val="midCat"/>
      </c:valAx>
      <c:valAx>
        <c:axId val="2091928824"/>
        <c:scaling>
          <c:orientation val="minMax"/>
          <c:min val="-0.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Company Return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91934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Mountain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Sheet5!$S$3</c:f>
              <c:strCache>
                <c:ptCount val="1"/>
                <c:pt idx="0">
                  <c:v>Benchmark</c:v>
                </c:pt>
              </c:strCache>
            </c:strRef>
          </c:tx>
          <c:marker>
            <c:symbol val="none"/>
          </c:marker>
          <c:val>
            <c:numRef>
              <c:f>Sheet5!$S$4:$S$65</c:f>
              <c:numCache>
                <c:formatCode>General</c:formatCode>
                <c:ptCount val="62"/>
                <c:pt idx="0">
                  <c:v>1.0</c:v>
                </c:pt>
                <c:pt idx="1">
                  <c:v>1.00477103899828</c:v>
                </c:pt>
                <c:pt idx="2">
                  <c:v>1.074128014339712</c:v>
                </c:pt>
                <c:pt idx="3">
                  <c:v>1.013553845921212</c:v>
                </c:pt>
                <c:pt idx="4">
                  <c:v>1.1053800717491</c:v>
                </c:pt>
                <c:pt idx="5">
                  <c:v>1.193482025661936</c:v>
                </c:pt>
                <c:pt idx="6">
                  <c:v>1.178399475319967</c:v>
                </c:pt>
                <c:pt idx="7">
                  <c:v>1.28629016867234</c:v>
                </c:pt>
                <c:pt idx="8">
                  <c:v>1.275065960638431</c:v>
                </c:pt>
                <c:pt idx="9">
                  <c:v>1.279206755411318</c:v>
                </c:pt>
                <c:pt idx="10">
                  <c:v>1.320698666935597</c:v>
                </c:pt>
                <c:pt idx="11">
                  <c:v>1.467724359205988</c:v>
                </c:pt>
                <c:pt idx="12">
                  <c:v>1.484963433661403</c:v>
                </c:pt>
                <c:pt idx="13">
                  <c:v>1.575389237484665</c:v>
                </c:pt>
                <c:pt idx="14">
                  <c:v>1.48049508152453</c:v>
                </c:pt>
                <c:pt idx="15">
                  <c:v>1.54176734736706</c:v>
                </c:pt>
                <c:pt idx="16">
                  <c:v>1.752930507950678</c:v>
                </c:pt>
                <c:pt idx="17">
                  <c:v>1.859211130331486</c:v>
                </c:pt>
                <c:pt idx="18">
                  <c:v>1.910551888092101</c:v>
                </c:pt>
                <c:pt idx="19">
                  <c:v>1.765502516394826</c:v>
                </c:pt>
                <c:pt idx="20">
                  <c:v>1.679001258254684</c:v>
                </c:pt>
                <c:pt idx="21">
                  <c:v>1.767545579664886</c:v>
                </c:pt>
                <c:pt idx="22">
                  <c:v>1.692141447459016</c:v>
                </c:pt>
                <c:pt idx="23">
                  <c:v>2.02304718888092</c:v>
                </c:pt>
                <c:pt idx="24">
                  <c:v>2.049914638622802</c:v>
                </c:pt>
                <c:pt idx="25">
                  <c:v>2.120407791035413</c:v>
                </c:pt>
                <c:pt idx="26">
                  <c:v>2.233871144794779</c:v>
                </c:pt>
                <c:pt idx="27">
                  <c:v>2.396356174513612</c:v>
                </c:pt>
                <c:pt idx="28">
                  <c:v>2.363973375134043</c:v>
                </c:pt>
                <c:pt idx="29">
                  <c:v>2.268388683059728</c:v>
                </c:pt>
                <c:pt idx="30">
                  <c:v>2.233841777840782</c:v>
                </c:pt>
                <c:pt idx="31">
                  <c:v>2.479764123547081</c:v>
                </c:pt>
                <c:pt idx="32">
                  <c:v>2.741825961296185</c:v>
                </c:pt>
                <c:pt idx="33">
                  <c:v>2.815720534235065</c:v>
                </c:pt>
                <c:pt idx="34">
                  <c:v>2.883118135290025</c:v>
                </c:pt>
                <c:pt idx="35">
                  <c:v>3.3230999679997</c:v>
                </c:pt>
                <c:pt idx="36">
                  <c:v>3.25954069253946</c:v>
                </c:pt>
                <c:pt idx="37">
                  <c:v>3.500681933713991</c:v>
                </c:pt>
                <c:pt idx="38">
                  <c:v>3.691888410158762</c:v>
                </c:pt>
                <c:pt idx="39">
                  <c:v>3.649979475412105</c:v>
                </c:pt>
                <c:pt idx="40">
                  <c:v>3.813541287944785</c:v>
                </c:pt>
                <c:pt idx="41">
                  <c:v>3.828923279315656</c:v>
                </c:pt>
                <c:pt idx="42">
                  <c:v>3.861682044449069</c:v>
                </c:pt>
                <c:pt idx="43">
                  <c:v>4.306583850245829</c:v>
                </c:pt>
                <c:pt idx="44">
                  <c:v>4.048462743444547</c:v>
                </c:pt>
                <c:pt idx="45">
                  <c:v>3.776420648530032</c:v>
                </c:pt>
                <c:pt idx="46">
                  <c:v>3.670957561944643</c:v>
                </c:pt>
                <c:pt idx="47">
                  <c:v>3.845827259986477</c:v>
                </c:pt>
                <c:pt idx="48">
                  <c:v>4.148771446057592</c:v>
                </c:pt>
                <c:pt idx="49">
                  <c:v>3.994199837675361</c:v>
                </c:pt>
                <c:pt idx="50">
                  <c:v>3.805405257936405</c:v>
                </c:pt>
                <c:pt idx="51">
                  <c:v>4.18625862927262</c:v>
                </c:pt>
                <c:pt idx="52">
                  <c:v>3.589343817033459</c:v>
                </c:pt>
                <c:pt idx="53">
                  <c:v>3.221353058224568</c:v>
                </c:pt>
                <c:pt idx="54">
                  <c:v>3.09684765782942</c:v>
                </c:pt>
                <c:pt idx="55">
                  <c:v>3.312872458921783</c:v>
                </c:pt>
                <c:pt idx="56">
                  <c:v>3.01734413710709</c:v>
                </c:pt>
                <c:pt idx="57">
                  <c:v>3.247169594577783</c:v>
                </c:pt>
                <c:pt idx="58">
                  <c:v>3.396375360627848</c:v>
                </c:pt>
                <c:pt idx="59">
                  <c:v>3.289118765130124</c:v>
                </c:pt>
                <c:pt idx="60">
                  <c:v>3.496242553595965</c:v>
                </c:pt>
                <c:pt idx="61">
                  <c:v>3.433095765273249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Sheet5!$T$3</c:f>
              <c:strCache>
                <c:ptCount val="1"/>
                <c:pt idx="0">
                  <c:v>Active</c:v>
                </c:pt>
              </c:strCache>
            </c:strRef>
          </c:tx>
          <c:marker>
            <c:symbol val="none"/>
          </c:marker>
          <c:val>
            <c:numRef>
              <c:f>Sheet5!$T$4:$T$65</c:f>
              <c:numCache>
                <c:formatCode>General</c:formatCode>
                <c:ptCount val="62"/>
                <c:pt idx="0">
                  <c:v>1.0</c:v>
                </c:pt>
                <c:pt idx="1">
                  <c:v>1.018314026196076</c:v>
                </c:pt>
                <c:pt idx="2">
                  <c:v>1.084241091543724</c:v>
                </c:pt>
                <c:pt idx="3">
                  <c:v>1.028580431423469</c:v>
                </c:pt>
                <c:pt idx="4">
                  <c:v>1.12488848036365</c:v>
                </c:pt>
                <c:pt idx="5">
                  <c:v>1.22262223260844</c:v>
                </c:pt>
                <c:pt idx="6">
                  <c:v>1.19437199641788</c:v>
                </c:pt>
                <c:pt idx="7">
                  <c:v>1.30621416549489</c:v>
                </c:pt>
                <c:pt idx="8">
                  <c:v>1.275072406667083</c:v>
                </c:pt>
                <c:pt idx="9">
                  <c:v>1.290751095493889</c:v>
                </c:pt>
                <c:pt idx="10">
                  <c:v>1.380360594415785</c:v>
                </c:pt>
                <c:pt idx="11">
                  <c:v>1.53176541624563</c:v>
                </c:pt>
                <c:pt idx="12">
                  <c:v>1.5527910177707</c:v>
                </c:pt>
                <c:pt idx="13">
                  <c:v>1.615059227662213</c:v>
                </c:pt>
                <c:pt idx="14">
                  <c:v>1.473272983023255</c:v>
                </c:pt>
                <c:pt idx="15">
                  <c:v>1.544489995848805</c:v>
                </c:pt>
                <c:pt idx="16">
                  <c:v>1.776491060533534</c:v>
                </c:pt>
                <c:pt idx="17">
                  <c:v>1.917060553259359</c:v>
                </c:pt>
                <c:pt idx="18">
                  <c:v>1.991557039001806</c:v>
                </c:pt>
                <c:pt idx="19">
                  <c:v>1.815435285916104</c:v>
                </c:pt>
                <c:pt idx="20">
                  <c:v>1.694211370375884</c:v>
                </c:pt>
                <c:pt idx="21">
                  <c:v>1.788267946014954</c:v>
                </c:pt>
                <c:pt idx="22">
                  <c:v>1.718508102220584</c:v>
                </c:pt>
                <c:pt idx="23">
                  <c:v>2.07808308994823</c:v>
                </c:pt>
                <c:pt idx="24">
                  <c:v>2.134259253775987</c:v>
                </c:pt>
                <c:pt idx="25">
                  <c:v>2.21738526002927</c:v>
                </c:pt>
                <c:pt idx="26">
                  <c:v>2.329024319286435</c:v>
                </c:pt>
                <c:pt idx="27">
                  <c:v>2.52591946299164</c:v>
                </c:pt>
                <c:pt idx="28">
                  <c:v>2.532622965696691</c:v>
                </c:pt>
                <c:pt idx="29">
                  <c:v>2.385874065998969</c:v>
                </c:pt>
                <c:pt idx="30">
                  <c:v>2.336562098003679</c:v>
                </c:pt>
                <c:pt idx="31">
                  <c:v>2.626026316683606</c:v>
                </c:pt>
                <c:pt idx="32">
                  <c:v>2.953868508038895</c:v>
                </c:pt>
                <c:pt idx="33">
                  <c:v>2.97495662786725</c:v>
                </c:pt>
                <c:pt idx="34">
                  <c:v>2.992935251372588</c:v>
                </c:pt>
                <c:pt idx="35">
                  <c:v>3.402061839243108</c:v>
                </c:pt>
                <c:pt idx="36">
                  <c:v>3.385162209622601</c:v>
                </c:pt>
                <c:pt idx="37">
                  <c:v>3.60949427018072</c:v>
                </c:pt>
                <c:pt idx="38">
                  <c:v>3.68502411390231</c:v>
                </c:pt>
                <c:pt idx="39">
                  <c:v>3.61730231551374</c:v>
                </c:pt>
                <c:pt idx="40">
                  <c:v>3.796644386259281</c:v>
                </c:pt>
                <c:pt idx="41">
                  <c:v>3.934920498113949</c:v>
                </c:pt>
                <c:pt idx="42">
                  <c:v>3.999215858441936</c:v>
                </c:pt>
                <c:pt idx="43">
                  <c:v>4.31007416011748</c:v>
                </c:pt>
                <c:pt idx="44">
                  <c:v>4.031225335841316</c:v>
                </c:pt>
                <c:pt idx="45">
                  <c:v>3.777902007093314</c:v>
                </c:pt>
                <c:pt idx="46">
                  <c:v>3.630656899859582</c:v>
                </c:pt>
                <c:pt idx="47">
                  <c:v>3.687808319524601</c:v>
                </c:pt>
                <c:pt idx="48">
                  <c:v>3.998044132123173</c:v>
                </c:pt>
                <c:pt idx="49">
                  <c:v>3.895746909167723</c:v>
                </c:pt>
                <c:pt idx="50">
                  <c:v>3.566360821963416</c:v>
                </c:pt>
                <c:pt idx="51">
                  <c:v>3.959549614312767</c:v>
                </c:pt>
                <c:pt idx="52">
                  <c:v>3.437101279749883</c:v>
                </c:pt>
                <c:pt idx="53">
                  <c:v>3.218761495717162</c:v>
                </c:pt>
                <c:pt idx="54">
                  <c:v>3.141448310746815</c:v>
                </c:pt>
                <c:pt idx="55">
                  <c:v>3.360961860746728</c:v>
                </c:pt>
                <c:pt idx="56">
                  <c:v>3.044504134049747</c:v>
                </c:pt>
                <c:pt idx="57">
                  <c:v>3.279747370864536</c:v>
                </c:pt>
                <c:pt idx="58">
                  <c:v>3.515811737619663</c:v>
                </c:pt>
                <c:pt idx="59">
                  <c:v>3.338219531632168</c:v>
                </c:pt>
                <c:pt idx="60">
                  <c:v>3.523719306171228</c:v>
                </c:pt>
                <c:pt idx="61">
                  <c:v>3.404058109429362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412360"/>
        <c:axId val="2094417832"/>
      </c:lineChart>
      <c:catAx>
        <c:axId val="2094412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Periods (Month)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94417832"/>
        <c:crosses val="autoZero"/>
        <c:auto val="1"/>
        <c:lblAlgn val="ctr"/>
        <c:lblOffset val="100"/>
        <c:noMultiLvlLbl val="0"/>
      </c:catAx>
      <c:valAx>
        <c:axId val="2094417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4412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16</xdr:row>
      <xdr:rowOff>44449</xdr:rowOff>
    </xdr:from>
    <xdr:to>
      <xdr:col>8</xdr:col>
      <xdr:colOff>0</xdr:colOff>
      <xdr:row>35</xdr:row>
      <xdr:rowOff>148596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19050</xdr:rowOff>
    </xdr:from>
    <xdr:to>
      <xdr:col>9</xdr:col>
      <xdr:colOff>10582</xdr:colOff>
      <xdr:row>39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19050</xdr:rowOff>
    </xdr:from>
    <xdr:to>
      <xdr:col>9</xdr:col>
      <xdr:colOff>0</xdr:colOff>
      <xdr:row>39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95250</xdr:rowOff>
    </xdr:from>
    <xdr:to>
      <xdr:col>8</xdr:col>
      <xdr:colOff>800100</xdr:colOff>
      <xdr:row>37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12699</xdr:colOff>
      <xdr:row>16</xdr:row>
      <xdr:rowOff>6350</xdr:rowOff>
    </xdr:from>
    <xdr:to>
      <xdr:col>8</xdr:col>
      <xdr:colOff>1102782</xdr:colOff>
      <xdr:row>40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16</xdr:row>
      <xdr:rowOff>19050</xdr:rowOff>
    </xdr:from>
    <xdr:to>
      <xdr:col>9</xdr:col>
      <xdr:colOff>25400</xdr:colOff>
      <xdr:row>39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50799</xdr:colOff>
      <xdr:row>16</xdr:row>
      <xdr:rowOff>19050</xdr:rowOff>
    </xdr:from>
    <xdr:to>
      <xdr:col>8</xdr:col>
      <xdr:colOff>823382</xdr:colOff>
      <xdr:row>39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184150</xdr:rowOff>
    </xdr:from>
    <xdr:to>
      <xdr:col>14</xdr:col>
      <xdr:colOff>215900</xdr:colOff>
      <xdr:row>35</xdr:row>
      <xdr:rowOff>85090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12700</xdr:colOff>
      <xdr:row>6</xdr:row>
      <xdr:rowOff>19050</xdr:rowOff>
    </xdr:from>
    <xdr:to>
      <xdr:col>35</xdr:col>
      <xdr:colOff>63500</xdr:colOff>
      <xdr:row>20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F2" sqref="F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40358</v>
      </c>
      <c r="B2">
        <v>22.3</v>
      </c>
      <c r="C2">
        <v>0</v>
      </c>
      <c r="D2">
        <v>22.3</v>
      </c>
    </row>
    <row r="3" spans="1:6">
      <c r="A3" s="1">
        <v>40389</v>
      </c>
      <c r="B3">
        <v>22.379998999999899</v>
      </c>
      <c r="C3">
        <v>0</v>
      </c>
      <c r="D3">
        <v>22.379998999999899</v>
      </c>
      <c r="E3">
        <v>22.3</v>
      </c>
      <c r="F3">
        <f>D3/E3 - 1</f>
        <v>3.5873991031343255E-3</v>
      </c>
    </row>
    <row r="4" spans="1:6">
      <c r="A4" s="1">
        <v>40418</v>
      </c>
      <c r="B4">
        <v>23.540001</v>
      </c>
      <c r="C4">
        <v>0</v>
      </c>
      <c r="D4">
        <v>23.540001</v>
      </c>
      <c r="E4">
        <v>22.379998999999899</v>
      </c>
      <c r="F4">
        <v>5.1832084532264802E-2</v>
      </c>
    </row>
    <row r="5" spans="1:6">
      <c r="A5" s="1">
        <v>40450</v>
      </c>
      <c r="B5">
        <v>20.790001</v>
      </c>
      <c r="C5">
        <v>0</v>
      </c>
      <c r="D5">
        <v>20.790001</v>
      </c>
      <c r="E5">
        <v>23.540001</v>
      </c>
      <c r="F5">
        <v>-0.116822424943822</v>
      </c>
    </row>
    <row r="6" spans="1:6">
      <c r="A6" s="1">
        <v>40481</v>
      </c>
      <c r="B6">
        <v>19.950001</v>
      </c>
      <c r="C6">
        <v>0</v>
      </c>
      <c r="D6">
        <v>19.950001</v>
      </c>
      <c r="E6">
        <v>20.790001</v>
      </c>
      <c r="F6">
        <v>-4.0404038460604197E-2</v>
      </c>
    </row>
    <row r="7" spans="1:6">
      <c r="A7" s="1">
        <v>40509</v>
      </c>
      <c r="B7">
        <v>21.65</v>
      </c>
      <c r="C7">
        <v>0</v>
      </c>
      <c r="D7">
        <v>21.65</v>
      </c>
      <c r="E7">
        <v>19.950001</v>
      </c>
      <c r="F7">
        <v>8.5212978184812896E-2</v>
      </c>
    </row>
    <row r="8" spans="1:6">
      <c r="A8" s="1">
        <v>40542</v>
      </c>
      <c r="B8">
        <v>20.149999999999999</v>
      </c>
      <c r="C8">
        <v>0</v>
      </c>
      <c r="D8">
        <v>20.149999999999999</v>
      </c>
      <c r="E8">
        <v>21.65</v>
      </c>
      <c r="F8">
        <v>-6.9284064665127001E-2</v>
      </c>
    </row>
    <row r="9" spans="1:6">
      <c r="A9" s="1">
        <v>40572</v>
      </c>
      <c r="B9">
        <v>20.9</v>
      </c>
      <c r="C9">
        <v>0</v>
      </c>
      <c r="D9">
        <v>20.9</v>
      </c>
      <c r="E9">
        <v>20.149999999999999</v>
      </c>
      <c r="F9">
        <v>3.7220843672456497E-2</v>
      </c>
    </row>
    <row r="10" spans="1:6">
      <c r="A10" s="1">
        <v>40600</v>
      </c>
      <c r="B10">
        <v>23.32</v>
      </c>
      <c r="C10">
        <v>0</v>
      </c>
      <c r="D10">
        <v>23.32</v>
      </c>
      <c r="E10">
        <v>20.9</v>
      </c>
      <c r="F10">
        <v>0.11578947368421</v>
      </c>
    </row>
    <row r="11" spans="1:6">
      <c r="A11" s="1">
        <v>40632</v>
      </c>
      <c r="B11">
        <v>22.73</v>
      </c>
      <c r="C11">
        <v>0.23</v>
      </c>
      <c r="D11">
        <v>22.96</v>
      </c>
      <c r="E11">
        <v>23.32</v>
      </c>
      <c r="F11">
        <v>-2.53001715265865E-2</v>
      </c>
    </row>
    <row r="12" spans="1:6">
      <c r="A12" s="1">
        <v>40662</v>
      </c>
      <c r="B12">
        <v>22.82</v>
      </c>
      <c r="C12">
        <v>0</v>
      </c>
      <c r="D12">
        <v>22.82</v>
      </c>
      <c r="E12">
        <v>22.96</v>
      </c>
      <c r="F12">
        <v>-6.0975609756097598E-3</v>
      </c>
    </row>
    <row r="13" spans="1:6">
      <c r="A13" s="1">
        <v>40691</v>
      </c>
      <c r="B13">
        <v>25.26</v>
      </c>
      <c r="C13">
        <v>0</v>
      </c>
      <c r="D13">
        <v>25.26</v>
      </c>
      <c r="E13">
        <v>22.82</v>
      </c>
      <c r="F13">
        <v>0.10692375109553</v>
      </c>
    </row>
    <row r="14" spans="1:6">
      <c r="A14" s="1">
        <v>40723</v>
      </c>
      <c r="B14">
        <v>24.209999</v>
      </c>
      <c r="C14">
        <v>0</v>
      </c>
      <c r="D14">
        <v>24.209999</v>
      </c>
      <c r="E14">
        <v>25.26</v>
      </c>
      <c r="F14">
        <v>-4.1567735550277103E-2</v>
      </c>
    </row>
    <row r="15" spans="1:6">
      <c r="A15" s="1">
        <v>40754</v>
      </c>
      <c r="B15">
        <v>25.790001</v>
      </c>
      <c r="C15">
        <v>0</v>
      </c>
      <c r="D15">
        <v>25.790001</v>
      </c>
      <c r="E15">
        <v>24.209999</v>
      </c>
      <c r="F15">
        <v>6.5262373616785399E-2</v>
      </c>
    </row>
    <row r="16" spans="1:6">
      <c r="A16" s="1">
        <v>40785</v>
      </c>
      <c r="B16">
        <v>28.629998999999899</v>
      </c>
      <c r="C16">
        <v>0</v>
      </c>
      <c r="D16">
        <v>28.629998999999899</v>
      </c>
      <c r="E16">
        <v>25.790001</v>
      </c>
      <c r="F16">
        <v>0.110120119809223</v>
      </c>
    </row>
    <row r="17" spans="1:6">
      <c r="A17" s="1">
        <v>40815</v>
      </c>
      <c r="B17">
        <v>30.889999</v>
      </c>
      <c r="C17">
        <v>0</v>
      </c>
      <c r="D17">
        <v>30.889999</v>
      </c>
      <c r="E17">
        <v>28.629998999999899</v>
      </c>
      <c r="F17">
        <v>7.8938179494871794E-2</v>
      </c>
    </row>
    <row r="18" spans="1:6">
      <c r="A18" s="1">
        <v>40845</v>
      </c>
      <c r="B18">
        <v>34.759997999999896</v>
      </c>
      <c r="C18">
        <v>0</v>
      </c>
      <c r="D18">
        <v>34.759997999999896</v>
      </c>
      <c r="E18">
        <v>30.889999</v>
      </c>
      <c r="F18">
        <v>0.12528323487482099</v>
      </c>
    </row>
    <row r="19" spans="1:6">
      <c r="A19" s="1">
        <v>40876</v>
      </c>
      <c r="B19">
        <v>37.659999999999997</v>
      </c>
      <c r="C19">
        <v>0</v>
      </c>
      <c r="D19">
        <v>37.659999999999997</v>
      </c>
      <c r="E19">
        <v>34.759997999999896</v>
      </c>
      <c r="F19">
        <v>8.3429291336552996E-2</v>
      </c>
    </row>
    <row r="20" spans="1:6">
      <c r="A20" s="1">
        <v>40907</v>
      </c>
      <c r="B20">
        <v>38.709998999999897</v>
      </c>
      <c r="C20">
        <v>0</v>
      </c>
      <c r="D20">
        <v>38.709998999999897</v>
      </c>
      <c r="E20">
        <v>37.659999999999997</v>
      </c>
      <c r="F20">
        <v>2.7881014338821002E-2</v>
      </c>
    </row>
    <row r="21" spans="1:6">
      <c r="A21" s="1">
        <v>40936</v>
      </c>
      <c r="B21">
        <v>34.82</v>
      </c>
      <c r="C21">
        <v>0</v>
      </c>
      <c r="D21">
        <v>34.82</v>
      </c>
      <c r="E21">
        <v>38.709998999999897</v>
      </c>
      <c r="F21">
        <v>-0.100490806005962</v>
      </c>
    </row>
    <row r="22" spans="1:6">
      <c r="A22" s="1">
        <v>40967</v>
      </c>
      <c r="B22">
        <v>31.67</v>
      </c>
      <c r="C22">
        <v>0</v>
      </c>
      <c r="D22">
        <v>31.67</v>
      </c>
      <c r="E22">
        <v>34.82</v>
      </c>
      <c r="F22">
        <v>-9.0465249856404306E-2</v>
      </c>
    </row>
    <row r="23" spans="1:6">
      <c r="A23" s="1">
        <v>40998</v>
      </c>
      <c r="B23">
        <v>33.840000000000003</v>
      </c>
      <c r="C23">
        <v>0.26</v>
      </c>
      <c r="D23">
        <v>34.1</v>
      </c>
      <c r="E23">
        <v>31.67</v>
      </c>
      <c r="F23">
        <v>6.8519103252289298E-2</v>
      </c>
    </row>
    <row r="24" spans="1:6">
      <c r="A24" s="1">
        <v>41027</v>
      </c>
      <c r="B24">
        <v>34.470001000000003</v>
      </c>
      <c r="C24">
        <v>0</v>
      </c>
      <c r="D24">
        <v>34.470001000000003</v>
      </c>
      <c r="E24">
        <v>34.1</v>
      </c>
      <c r="F24">
        <v>1.08504692082112E-2</v>
      </c>
    </row>
    <row r="25" spans="1:6">
      <c r="A25" s="1">
        <v>41059</v>
      </c>
      <c r="B25">
        <v>39.259997999999896</v>
      </c>
      <c r="C25">
        <v>0</v>
      </c>
      <c r="D25">
        <v>39.259997999999896</v>
      </c>
      <c r="E25">
        <v>34.470001000000003</v>
      </c>
      <c r="F25">
        <v>0.13896132466024499</v>
      </c>
    </row>
    <row r="26" spans="1:6">
      <c r="A26" s="1">
        <v>41089</v>
      </c>
      <c r="B26">
        <v>39.630001</v>
      </c>
      <c r="C26">
        <v>0</v>
      </c>
      <c r="D26">
        <v>39.630001</v>
      </c>
      <c r="E26">
        <v>39.259997999999896</v>
      </c>
      <c r="F26">
        <v>9.4244273777090992E-3</v>
      </c>
    </row>
    <row r="27" spans="1:6">
      <c r="A27" s="1">
        <v>41118</v>
      </c>
      <c r="B27">
        <v>40.159999999999997</v>
      </c>
      <c r="C27">
        <v>0</v>
      </c>
      <c r="D27">
        <v>40.159999999999997</v>
      </c>
      <c r="E27">
        <v>39.630001</v>
      </c>
      <c r="F27">
        <v>1.33736812169142E-2</v>
      </c>
    </row>
    <row r="28" spans="1:6">
      <c r="A28" s="1">
        <v>41151</v>
      </c>
      <c r="B28">
        <v>41.369999</v>
      </c>
      <c r="C28">
        <v>0</v>
      </c>
      <c r="D28">
        <v>41.369999</v>
      </c>
      <c r="E28">
        <v>40.159999999999997</v>
      </c>
      <c r="F28">
        <v>3.0129457171314801E-2</v>
      </c>
    </row>
    <row r="29" spans="1:6">
      <c r="A29" s="1">
        <v>41181</v>
      </c>
      <c r="B29">
        <v>44.299999</v>
      </c>
      <c r="C29">
        <v>0</v>
      </c>
      <c r="D29">
        <v>44.299999</v>
      </c>
      <c r="E29">
        <v>41.369999</v>
      </c>
      <c r="F29">
        <v>7.0824270505783701E-2</v>
      </c>
    </row>
    <row r="30" spans="1:6">
      <c r="A30" s="1">
        <v>41212</v>
      </c>
      <c r="B30">
        <v>43.169998</v>
      </c>
      <c r="C30">
        <v>0</v>
      </c>
      <c r="D30">
        <v>43.169998</v>
      </c>
      <c r="E30">
        <v>44.299999</v>
      </c>
      <c r="F30">
        <v>-2.5507923826364E-2</v>
      </c>
    </row>
    <row r="31" spans="1:6">
      <c r="A31" s="1">
        <v>41242</v>
      </c>
      <c r="B31">
        <v>36.610000999999997</v>
      </c>
      <c r="C31">
        <v>0</v>
      </c>
      <c r="D31">
        <v>36.610000999999997</v>
      </c>
      <c r="E31">
        <v>43.169998</v>
      </c>
      <c r="F31">
        <v>-0.15195731535590901</v>
      </c>
    </row>
    <row r="32" spans="1:6">
      <c r="A32" s="1">
        <v>41272</v>
      </c>
      <c r="B32">
        <v>36.110000999999997</v>
      </c>
      <c r="C32">
        <v>0</v>
      </c>
      <c r="D32">
        <v>36.110000999999997</v>
      </c>
      <c r="E32">
        <v>36.610000999999997</v>
      </c>
      <c r="F32">
        <v>-1.36574702633851E-2</v>
      </c>
    </row>
    <row r="33" spans="1:6">
      <c r="A33" s="1">
        <v>41304</v>
      </c>
      <c r="B33">
        <v>40.209998999999897</v>
      </c>
      <c r="C33">
        <v>0</v>
      </c>
      <c r="D33">
        <v>40.209998999999897</v>
      </c>
      <c r="E33">
        <v>36.110000999999997</v>
      </c>
      <c r="F33">
        <v>0.113541896606427</v>
      </c>
    </row>
    <row r="34" spans="1:6">
      <c r="A34" s="1">
        <v>41332</v>
      </c>
      <c r="B34">
        <v>45.130001</v>
      </c>
      <c r="C34">
        <v>0</v>
      </c>
      <c r="D34">
        <v>45.130001</v>
      </c>
      <c r="E34">
        <v>40.209998999999897</v>
      </c>
      <c r="F34">
        <v>0.122357675263806</v>
      </c>
    </row>
    <row r="35" spans="1:6">
      <c r="A35" s="1">
        <v>41363</v>
      </c>
      <c r="B35">
        <v>49.860000999999997</v>
      </c>
      <c r="C35">
        <v>0.3</v>
      </c>
      <c r="D35">
        <v>50.160001000000001</v>
      </c>
      <c r="E35">
        <v>45.130001</v>
      </c>
      <c r="F35">
        <v>0.104808329164451</v>
      </c>
    </row>
    <row r="36" spans="1:6">
      <c r="A36" s="1">
        <v>41391</v>
      </c>
      <c r="B36">
        <v>52.25</v>
      </c>
      <c r="C36">
        <v>0</v>
      </c>
      <c r="D36">
        <v>52.25</v>
      </c>
      <c r="E36">
        <v>50.160001000000001</v>
      </c>
      <c r="F36">
        <v>4.1666645899787601E-2</v>
      </c>
    </row>
    <row r="37" spans="1:6">
      <c r="A37" s="1">
        <v>41424</v>
      </c>
      <c r="B37">
        <v>58.580002</v>
      </c>
      <c r="C37">
        <v>0</v>
      </c>
      <c r="D37">
        <v>58.580002</v>
      </c>
      <c r="E37">
        <v>52.25</v>
      </c>
      <c r="F37">
        <v>0.121148363636363</v>
      </c>
    </row>
    <row r="38" spans="1:6">
      <c r="A38" s="1">
        <v>41454</v>
      </c>
      <c r="B38">
        <v>57.57</v>
      </c>
      <c r="C38">
        <v>0</v>
      </c>
      <c r="D38">
        <v>57.57</v>
      </c>
      <c r="E38">
        <v>58.580002</v>
      </c>
      <c r="F38">
        <v>-1.7241412863044901E-2</v>
      </c>
    </row>
    <row r="39" spans="1:6">
      <c r="A39" s="1">
        <v>41485</v>
      </c>
      <c r="B39">
        <v>61.779998999999997</v>
      </c>
      <c r="C39">
        <v>0</v>
      </c>
      <c r="D39">
        <v>61.779998999999997</v>
      </c>
      <c r="E39">
        <v>57.57</v>
      </c>
      <c r="F39">
        <v>7.3128348097967602E-2</v>
      </c>
    </row>
    <row r="40" spans="1:6">
      <c r="A40" s="1">
        <v>41516</v>
      </c>
      <c r="B40">
        <v>65.559997999999993</v>
      </c>
      <c r="C40">
        <v>0</v>
      </c>
      <c r="D40">
        <v>65.559997999999993</v>
      </c>
      <c r="E40">
        <v>61.779998999999997</v>
      </c>
      <c r="F40">
        <v>6.1184834269744699E-2</v>
      </c>
    </row>
    <row r="41" spans="1:6">
      <c r="A41" s="1">
        <v>41545</v>
      </c>
      <c r="B41">
        <v>64.510002</v>
      </c>
      <c r="C41">
        <v>0</v>
      </c>
      <c r="D41">
        <v>64.510002</v>
      </c>
      <c r="E41">
        <v>65.559997999999993</v>
      </c>
      <c r="F41">
        <v>-1.6015802807071301E-2</v>
      </c>
    </row>
    <row r="42" spans="1:6">
      <c r="A42" s="1">
        <v>41577</v>
      </c>
      <c r="B42">
        <v>65.489998</v>
      </c>
      <c r="C42">
        <v>0</v>
      </c>
      <c r="D42">
        <v>65.489998</v>
      </c>
      <c r="E42">
        <v>64.510002</v>
      </c>
      <c r="F42">
        <v>1.5191380710234599E-2</v>
      </c>
    </row>
    <row r="43" spans="1:6">
      <c r="A43" s="1">
        <v>41607</v>
      </c>
      <c r="B43">
        <v>62.400002000000001</v>
      </c>
      <c r="C43">
        <v>0</v>
      </c>
      <c r="D43">
        <v>62.400002000000001</v>
      </c>
      <c r="E43">
        <v>65.489998</v>
      </c>
      <c r="F43">
        <v>-4.7182716359221701E-2</v>
      </c>
    </row>
    <row r="44" spans="1:6">
      <c r="A44" s="1">
        <v>41636</v>
      </c>
      <c r="B44">
        <v>63.32</v>
      </c>
      <c r="C44">
        <v>0</v>
      </c>
      <c r="D44">
        <v>63.32</v>
      </c>
      <c r="E44">
        <v>62.400002000000001</v>
      </c>
      <c r="F44">
        <v>1.47435572197578E-2</v>
      </c>
    </row>
    <row r="45" spans="1:6">
      <c r="A45" s="1">
        <v>41669</v>
      </c>
      <c r="B45">
        <v>74.129997000000003</v>
      </c>
      <c r="C45">
        <v>0</v>
      </c>
      <c r="D45">
        <v>74.129997000000003</v>
      </c>
      <c r="E45">
        <v>63.32</v>
      </c>
      <c r="F45">
        <v>0.170720104232469</v>
      </c>
    </row>
    <row r="46" spans="1:6">
      <c r="A46" s="1">
        <v>41697</v>
      </c>
      <c r="B46">
        <v>73.129997000000003</v>
      </c>
      <c r="C46">
        <v>0</v>
      </c>
      <c r="D46">
        <v>73.129997000000003</v>
      </c>
      <c r="E46">
        <v>74.129997000000003</v>
      </c>
      <c r="F46">
        <v>-1.3489815735457201E-2</v>
      </c>
    </row>
    <row r="47" spans="1:6">
      <c r="A47" s="1">
        <v>41726</v>
      </c>
      <c r="B47">
        <v>67.459998999999996</v>
      </c>
      <c r="C47">
        <v>0.34</v>
      </c>
      <c r="D47">
        <v>67.799999</v>
      </c>
      <c r="E47">
        <v>73.129997000000003</v>
      </c>
      <c r="F47">
        <v>-7.7533135957875199E-2</v>
      </c>
    </row>
    <row r="48" spans="1:6">
      <c r="A48" s="1">
        <v>41758</v>
      </c>
      <c r="B48">
        <v>66.349997999999999</v>
      </c>
      <c r="C48">
        <v>0</v>
      </c>
      <c r="D48">
        <v>66.349997999999999</v>
      </c>
      <c r="E48">
        <v>67.799999</v>
      </c>
      <c r="F48">
        <v>-2.13864457431629E-2</v>
      </c>
    </row>
    <row r="49" spans="1:6">
      <c r="A49" s="1">
        <v>41789</v>
      </c>
      <c r="B49">
        <v>70.910004000000001</v>
      </c>
      <c r="C49">
        <v>0</v>
      </c>
      <c r="D49">
        <v>70.910004000000001</v>
      </c>
      <c r="E49">
        <v>66.349997999999999</v>
      </c>
      <c r="F49">
        <v>6.8726543141719401E-2</v>
      </c>
    </row>
    <row r="50" spans="1:6">
      <c r="A50" s="1">
        <v>41818</v>
      </c>
      <c r="B50">
        <v>76.319999999999993</v>
      </c>
      <c r="C50">
        <v>0</v>
      </c>
      <c r="D50">
        <v>76.319999999999993</v>
      </c>
      <c r="E50">
        <v>70.910004000000001</v>
      </c>
      <c r="F50">
        <v>7.6293832954796997E-2</v>
      </c>
    </row>
    <row r="51" spans="1:6">
      <c r="A51" s="1">
        <v>41850</v>
      </c>
      <c r="B51">
        <v>73.419997999999893</v>
      </c>
      <c r="C51">
        <v>0</v>
      </c>
      <c r="D51">
        <v>73.419997999999893</v>
      </c>
      <c r="E51">
        <v>76.319999999999993</v>
      </c>
      <c r="F51">
        <v>-3.7997929769392001E-2</v>
      </c>
    </row>
    <row r="52" spans="1:6">
      <c r="A52" s="1">
        <v>41881</v>
      </c>
      <c r="B52">
        <v>72.099997999999999</v>
      </c>
      <c r="C52">
        <v>0</v>
      </c>
      <c r="D52">
        <v>72.099997999999999</v>
      </c>
      <c r="E52">
        <v>73.419997999999893</v>
      </c>
      <c r="F52">
        <v>-1.79787528732974E-2</v>
      </c>
    </row>
    <row r="53" spans="1:6">
      <c r="A53" s="1">
        <v>41909</v>
      </c>
      <c r="B53">
        <v>83.190002000000007</v>
      </c>
      <c r="C53">
        <v>0</v>
      </c>
      <c r="D53">
        <v>83.190002000000007</v>
      </c>
      <c r="E53">
        <v>72.099997999999999</v>
      </c>
      <c r="F53">
        <v>0.15381420676322299</v>
      </c>
    </row>
    <row r="54" spans="1:6">
      <c r="A54" s="1">
        <v>41942</v>
      </c>
      <c r="B54">
        <v>69.050003000000004</v>
      </c>
      <c r="C54">
        <v>0</v>
      </c>
      <c r="D54">
        <v>69.050003000000004</v>
      </c>
      <c r="E54">
        <v>83.190002000000007</v>
      </c>
      <c r="F54">
        <v>-0.169972336339167</v>
      </c>
    </row>
    <row r="55" spans="1:6">
      <c r="A55" s="1">
        <v>41972</v>
      </c>
      <c r="B55">
        <v>49.880001</v>
      </c>
      <c r="C55">
        <v>0</v>
      </c>
      <c r="D55">
        <v>49.880001</v>
      </c>
      <c r="E55">
        <v>69.050003000000004</v>
      </c>
      <c r="F55">
        <v>-0.27762492638848901</v>
      </c>
    </row>
    <row r="56" spans="1:6">
      <c r="A56" s="1">
        <v>42003</v>
      </c>
      <c r="B56">
        <v>46.57</v>
      </c>
      <c r="C56">
        <v>0</v>
      </c>
      <c r="D56">
        <v>46.57</v>
      </c>
      <c r="E56">
        <v>49.880001</v>
      </c>
      <c r="F56">
        <v>-6.6359280947087401E-2</v>
      </c>
    </row>
    <row r="57" spans="1:6">
      <c r="A57" s="1">
        <v>42034</v>
      </c>
      <c r="B57">
        <v>47.240001999999997</v>
      </c>
      <c r="C57">
        <v>0</v>
      </c>
      <c r="D57">
        <v>47.240001999999997</v>
      </c>
      <c r="E57">
        <v>46.57</v>
      </c>
      <c r="F57">
        <v>1.43869873308997E-2</v>
      </c>
    </row>
    <row r="58" spans="1:6">
      <c r="A58" s="1">
        <v>42062</v>
      </c>
      <c r="B58">
        <v>42.139998999999897</v>
      </c>
      <c r="C58">
        <v>0</v>
      </c>
      <c r="D58">
        <v>42.139998999999897</v>
      </c>
      <c r="E58">
        <v>47.240001999999997</v>
      </c>
      <c r="F58">
        <v>-0.107959415412387</v>
      </c>
    </row>
    <row r="59" spans="1:6">
      <c r="A59" s="1">
        <v>42091</v>
      </c>
      <c r="B59">
        <v>45.529998999999997</v>
      </c>
      <c r="C59">
        <v>0.37</v>
      </c>
      <c r="D59">
        <v>45.899998999999902</v>
      </c>
      <c r="E59">
        <v>42.139998999999897</v>
      </c>
      <c r="F59">
        <v>8.0446133850169396E-2</v>
      </c>
    </row>
    <row r="60" spans="1:6">
      <c r="A60" s="1">
        <v>42123</v>
      </c>
      <c r="B60">
        <v>48.209998999999897</v>
      </c>
      <c r="C60">
        <v>0</v>
      </c>
      <c r="D60">
        <v>48.209998999999897</v>
      </c>
      <c r="E60">
        <v>45.899998999999902</v>
      </c>
      <c r="F60">
        <v>5.03267984820654E-2</v>
      </c>
    </row>
    <row r="61" spans="1:6">
      <c r="A61" s="1">
        <v>42154</v>
      </c>
      <c r="B61">
        <v>43.369999</v>
      </c>
      <c r="C61">
        <v>0</v>
      </c>
      <c r="D61">
        <v>43.369999</v>
      </c>
      <c r="E61">
        <v>48.209998999999897</v>
      </c>
      <c r="F61">
        <v>-0.100394111188427</v>
      </c>
    </row>
    <row r="62" spans="1:6">
      <c r="A62" s="1">
        <v>42182</v>
      </c>
      <c r="B62">
        <v>47.200001</v>
      </c>
      <c r="C62">
        <v>0</v>
      </c>
      <c r="D62">
        <v>47.200001</v>
      </c>
      <c r="E62">
        <v>43.369999</v>
      </c>
      <c r="F62">
        <v>8.8309939781183705E-2</v>
      </c>
    </row>
    <row r="63" spans="1:6">
      <c r="A63" s="1">
        <v>42215</v>
      </c>
      <c r="B63">
        <v>48.740001999999997</v>
      </c>
      <c r="C63">
        <v>0</v>
      </c>
      <c r="D63">
        <v>48.740001999999997</v>
      </c>
      <c r="E63">
        <v>47.200001</v>
      </c>
      <c r="F63">
        <v>3.26271391392556E-2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H13" sqref="H1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>
      <c r="A2" s="1">
        <v>40358</v>
      </c>
      <c r="B2">
        <v>78.36</v>
      </c>
      <c r="C2">
        <v>0</v>
      </c>
      <c r="D2">
        <v>78.36</v>
      </c>
    </row>
    <row r="3" spans="1:6">
      <c r="A3" s="1">
        <v>40389</v>
      </c>
      <c r="B3">
        <v>84.040001000000004</v>
      </c>
      <c r="C3">
        <v>0</v>
      </c>
      <c r="D3">
        <v>84.040001000000004</v>
      </c>
      <c r="E3">
        <v>78.36</v>
      </c>
      <c r="F3">
        <f>D3/E3-1</f>
        <v>7.2485974987238411E-2</v>
      </c>
    </row>
    <row r="4" spans="1:6">
      <c r="A4" s="1">
        <v>40418</v>
      </c>
      <c r="B4">
        <v>88.040001000000004</v>
      </c>
      <c r="C4">
        <v>0.37</v>
      </c>
      <c r="D4">
        <v>88.410000999999994</v>
      </c>
      <c r="E4">
        <v>84.040001000000004</v>
      </c>
      <c r="F4">
        <v>4.75963821085627E-2</v>
      </c>
    </row>
    <row r="5" spans="1:6">
      <c r="A5" s="1">
        <v>40450</v>
      </c>
      <c r="B5">
        <v>85.660004000000001</v>
      </c>
      <c r="C5">
        <v>0</v>
      </c>
      <c r="D5">
        <v>85.660004000000001</v>
      </c>
      <c r="E5">
        <v>88.410000999999994</v>
      </c>
      <c r="F5">
        <v>-3.1105044326376698E-2</v>
      </c>
    </row>
    <row r="6" spans="1:6">
      <c r="A6" s="1">
        <v>40481</v>
      </c>
      <c r="B6">
        <v>94.720000999999996</v>
      </c>
      <c r="C6">
        <v>0</v>
      </c>
      <c r="D6">
        <v>94.720000999999996</v>
      </c>
      <c r="E6">
        <v>85.660004000000001</v>
      </c>
      <c r="F6">
        <v>0.105766945796546</v>
      </c>
    </row>
    <row r="7" spans="1:6">
      <c r="A7" s="1">
        <v>40509</v>
      </c>
      <c r="B7">
        <v>105.669997999999</v>
      </c>
      <c r="C7">
        <v>0.36</v>
      </c>
      <c r="D7">
        <v>106.029997999999</v>
      </c>
      <c r="E7">
        <v>94.720000999999996</v>
      </c>
      <c r="F7">
        <v>0.115603852242357</v>
      </c>
    </row>
    <row r="8" spans="1:6">
      <c r="A8" s="1">
        <v>40542</v>
      </c>
      <c r="B8">
        <v>99.139999000000003</v>
      </c>
      <c r="C8">
        <v>0</v>
      </c>
      <c r="D8">
        <v>99.139999000000003</v>
      </c>
      <c r="E8">
        <v>106.029997999999</v>
      </c>
      <c r="F8">
        <v>-6.4981600773018802E-2</v>
      </c>
    </row>
    <row r="9" spans="1:6">
      <c r="A9" s="1">
        <v>40572</v>
      </c>
      <c r="B9">
        <v>109.25</v>
      </c>
      <c r="C9">
        <v>0</v>
      </c>
      <c r="D9">
        <v>109.25</v>
      </c>
      <c r="E9">
        <v>99.139999000000003</v>
      </c>
      <c r="F9">
        <v>0.101977013334446</v>
      </c>
    </row>
    <row r="10" spans="1:6">
      <c r="A10" s="1">
        <v>40600</v>
      </c>
      <c r="B10">
        <v>100.040001</v>
      </c>
      <c r="C10">
        <v>0.39</v>
      </c>
      <c r="D10">
        <v>100.430001</v>
      </c>
      <c r="E10">
        <v>109.25</v>
      </c>
      <c r="F10">
        <v>-8.4302050343249404E-2</v>
      </c>
    </row>
    <row r="11" spans="1:6">
      <c r="A11" s="1">
        <v>40632</v>
      </c>
      <c r="B11">
        <v>105.300003</v>
      </c>
      <c r="C11">
        <v>0</v>
      </c>
      <c r="D11">
        <v>105.300003</v>
      </c>
      <c r="E11">
        <v>100.430001</v>
      </c>
      <c r="F11">
        <v>4.8491506039116603E-2</v>
      </c>
    </row>
    <row r="12" spans="1:6">
      <c r="A12" s="1">
        <v>40662</v>
      </c>
      <c r="B12">
        <v>128.19000199999999</v>
      </c>
      <c r="C12">
        <v>0</v>
      </c>
      <c r="D12">
        <v>128.19000199999999</v>
      </c>
      <c r="E12">
        <v>105.300003</v>
      </c>
      <c r="F12">
        <v>0.21737890168910901</v>
      </c>
    </row>
    <row r="13" spans="1:6">
      <c r="A13" s="1">
        <v>40691</v>
      </c>
      <c r="B13">
        <v>141.41000399999999</v>
      </c>
      <c r="C13">
        <v>0.39</v>
      </c>
      <c r="D13">
        <v>141.800004</v>
      </c>
      <c r="E13">
        <v>128.19000199999999</v>
      </c>
      <c r="F13">
        <v>0.10312818311680801</v>
      </c>
    </row>
    <row r="14" spans="1:6">
      <c r="A14" s="1">
        <v>40723</v>
      </c>
      <c r="B14">
        <v>144.86999499999999</v>
      </c>
      <c r="C14">
        <v>0</v>
      </c>
      <c r="D14">
        <v>144.86999499999999</v>
      </c>
      <c r="E14">
        <v>141.800004</v>
      </c>
      <c r="F14">
        <v>2.1650147485186198E-2</v>
      </c>
    </row>
    <row r="15" spans="1:6">
      <c r="A15" s="1">
        <v>40754</v>
      </c>
      <c r="B15">
        <v>138.63000500000001</v>
      </c>
      <c r="C15">
        <v>0</v>
      </c>
      <c r="D15">
        <v>138.63000500000001</v>
      </c>
      <c r="E15">
        <v>144.86999499999999</v>
      </c>
      <c r="F15">
        <v>-4.3073032479914002E-2</v>
      </c>
    </row>
    <row r="16" spans="1:6">
      <c r="A16" s="1">
        <v>40785</v>
      </c>
      <c r="B16">
        <v>111.18</v>
      </c>
      <c r="C16">
        <v>0.44</v>
      </c>
      <c r="D16">
        <v>111.62</v>
      </c>
      <c r="E16">
        <v>138.63000500000001</v>
      </c>
      <c r="F16">
        <v>-0.19800911786737599</v>
      </c>
    </row>
    <row r="17" spans="1:6">
      <c r="A17" s="1">
        <v>40815</v>
      </c>
      <c r="B17">
        <v>120.120003</v>
      </c>
      <c r="C17">
        <v>0</v>
      </c>
      <c r="D17">
        <v>120.120003</v>
      </c>
      <c r="E17">
        <v>111.62</v>
      </c>
      <c r="F17">
        <v>7.6151254255509601E-2</v>
      </c>
    </row>
    <row r="18" spans="1:6">
      <c r="A18" s="1">
        <v>40845</v>
      </c>
      <c r="B18">
        <v>144.529999</v>
      </c>
      <c r="C18">
        <v>0</v>
      </c>
      <c r="D18">
        <v>144.529999</v>
      </c>
      <c r="E18">
        <v>120.120003</v>
      </c>
      <c r="F18">
        <v>0.203213414838159</v>
      </c>
    </row>
    <row r="19" spans="1:6">
      <c r="A19" s="1">
        <v>40876</v>
      </c>
      <c r="B19">
        <v>166.66000399999999</v>
      </c>
      <c r="C19">
        <v>0.56000000000000005</v>
      </c>
      <c r="D19">
        <v>167.22000399999999</v>
      </c>
      <c r="E19">
        <v>144.529999</v>
      </c>
      <c r="F19">
        <v>0.153117035585117</v>
      </c>
    </row>
    <row r="20" spans="1:6">
      <c r="A20" s="1">
        <v>40907</v>
      </c>
      <c r="B20">
        <v>181.240005</v>
      </c>
      <c r="C20">
        <v>0</v>
      </c>
      <c r="D20">
        <v>181.240005</v>
      </c>
      <c r="E20">
        <v>167.22000399999999</v>
      </c>
      <c r="F20">
        <v>8.3841649710760496E-2</v>
      </c>
    </row>
    <row r="21" spans="1:6">
      <c r="A21" s="1">
        <v>40936</v>
      </c>
      <c r="B21">
        <v>156.13999899999999</v>
      </c>
      <c r="C21">
        <v>0</v>
      </c>
      <c r="D21">
        <v>156.13999899999999</v>
      </c>
      <c r="E21">
        <v>181.240005</v>
      </c>
      <c r="F21">
        <v>-0.13849042875495399</v>
      </c>
    </row>
    <row r="22" spans="1:6">
      <c r="A22" s="1">
        <v>40967</v>
      </c>
      <c r="B22">
        <v>134.61000100000001</v>
      </c>
      <c r="C22">
        <v>0</v>
      </c>
      <c r="D22">
        <v>134.61000100000001</v>
      </c>
      <c r="E22">
        <v>156.13999899999999</v>
      </c>
      <c r="F22">
        <v>-0.137889061982125</v>
      </c>
    </row>
    <row r="23" spans="1:6">
      <c r="A23" s="1">
        <v>40998</v>
      </c>
      <c r="B23">
        <v>143.58000200000001</v>
      </c>
      <c r="C23">
        <v>0.64</v>
      </c>
      <c r="D23">
        <v>144.22000199999999</v>
      </c>
      <c r="E23">
        <v>134.61000100000001</v>
      </c>
      <c r="F23">
        <v>6.66369581261647E-2</v>
      </c>
    </row>
    <row r="24" spans="1:6">
      <c r="A24" s="1">
        <v>41027</v>
      </c>
      <c r="B24">
        <v>140.699997</v>
      </c>
      <c r="C24">
        <v>0</v>
      </c>
      <c r="D24">
        <v>140.699997</v>
      </c>
      <c r="E24">
        <v>144.22000199999999</v>
      </c>
      <c r="F24">
        <v>-2.44071900650785E-2</v>
      </c>
    </row>
    <row r="25" spans="1:6">
      <c r="A25" s="1">
        <v>41059</v>
      </c>
      <c r="B25">
        <v>177.83999599999899</v>
      </c>
      <c r="C25">
        <v>0.73</v>
      </c>
      <c r="D25">
        <v>178.56999599999901</v>
      </c>
      <c r="E25">
        <v>140.699997</v>
      </c>
      <c r="F25">
        <v>0.26396588338235699</v>
      </c>
    </row>
    <row r="26" spans="1:6">
      <c r="A26" s="1">
        <v>41089</v>
      </c>
      <c r="B26">
        <v>193.220001</v>
      </c>
      <c r="C26">
        <v>0</v>
      </c>
      <c r="D26">
        <v>193.220001</v>
      </c>
      <c r="E26">
        <v>178.56999599999901</v>
      </c>
      <c r="F26">
        <v>8.2040686163200802E-2</v>
      </c>
    </row>
    <row r="27" spans="1:6">
      <c r="A27" s="1">
        <v>41118</v>
      </c>
      <c r="B27">
        <v>204.270004</v>
      </c>
      <c r="C27">
        <v>0</v>
      </c>
      <c r="D27">
        <v>204.270004</v>
      </c>
      <c r="E27">
        <v>193.220001</v>
      </c>
      <c r="F27">
        <v>5.7188712052640998E-2</v>
      </c>
    </row>
    <row r="28" spans="1:6">
      <c r="A28" s="1">
        <v>41151</v>
      </c>
      <c r="B28">
        <v>211.970000999999</v>
      </c>
      <c r="C28">
        <v>0.78</v>
      </c>
      <c r="D28">
        <v>212.750000999999</v>
      </c>
      <c r="E28">
        <v>204.270004</v>
      </c>
      <c r="F28">
        <v>3.7695191899051302E-2</v>
      </c>
    </row>
    <row r="29" spans="1:6">
      <c r="A29" s="1">
        <v>41181</v>
      </c>
      <c r="B29">
        <v>240.779999</v>
      </c>
      <c r="C29">
        <v>0</v>
      </c>
      <c r="D29">
        <v>240.779999</v>
      </c>
      <c r="E29">
        <v>212.750000999999</v>
      </c>
      <c r="F29">
        <v>0.13175087129611801</v>
      </c>
    </row>
    <row r="30" spans="1:6">
      <c r="A30" s="1">
        <v>41212</v>
      </c>
      <c r="B30">
        <v>256.98998999999998</v>
      </c>
      <c r="C30">
        <v>0</v>
      </c>
      <c r="D30">
        <v>256.98998999999998</v>
      </c>
      <c r="E30">
        <v>240.779999</v>
      </c>
      <c r="F30">
        <v>6.73228302488693E-2</v>
      </c>
    </row>
    <row r="31" spans="1:6">
      <c r="A31" s="1">
        <v>41242</v>
      </c>
      <c r="B31">
        <v>224.10000600000001</v>
      </c>
      <c r="C31">
        <v>0.78</v>
      </c>
      <c r="D31">
        <v>224.88000600000001</v>
      </c>
      <c r="E31">
        <v>256.98998999999998</v>
      </c>
      <c r="F31">
        <v>-0.12798157624738599</v>
      </c>
    </row>
    <row r="32" spans="1:6">
      <c r="A32" s="1">
        <v>41272</v>
      </c>
      <c r="B32">
        <v>215.33999599999899</v>
      </c>
      <c r="C32">
        <v>0</v>
      </c>
      <c r="D32">
        <v>215.33999599999899</v>
      </c>
      <c r="E32">
        <v>224.88000600000001</v>
      </c>
      <c r="F32">
        <v>-4.24226687364994E-2</v>
      </c>
    </row>
    <row r="33" spans="1:6">
      <c r="A33" s="1">
        <v>41304</v>
      </c>
      <c r="B33">
        <v>253.89999399999999</v>
      </c>
      <c r="C33">
        <v>0</v>
      </c>
      <c r="D33">
        <v>253.89999399999999</v>
      </c>
      <c r="E33">
        <v>215.33999599999899</v>
      </c>
      <c r="F33">
        <v>0.179065657640302</v>
      </c>
    </row>
    <row r="34" spans="1:6">
      <c r="A34" s="1">
        <v>41332</v>
      </c>
      <c r="B34">
        <v>305.05999800000001</v>
      </c>
      <c r="C34">
        <v>1.01</v>
      </c>
      <c r="D34">
        <v>306.069998</v>
      </c>
      <c r="E34">
        <v>253.89999399999999</v>
      </c>
      <c r="F34">
        <v>0.20149667274115801</v>
      </c>
    </row>
    <row r="35" spans="1:6">
      <c r="A35" s="1">
        <v>41363</v>
      </c>
      <c r="B35">
        <v>284</v>
      </c>
      <c r="C35">
        <v>0</v>
      </c>
      <c r="D35">
        <v>284</v>
      </c>
      <c r="E35">
        <v>306.069998</v>
      </c>
      <c r="F35">
        <v>-7.2107681720571595E-2</v>
      </c>
    </row>
    <row r="36" spans="1:6">
      <c r="A36" s="1">
        <v>41391</v>
      </c>
      <c r="B36">
        <v>265.39001500000001</v>
      </c>
      <c r="C36">
        <v>0</v>
      </c>
      <c r="D36">
        <v>265.39001500000001</v>
      </c>
      <c r="E36">
        <v>284</v>
      </c>
      <c r="F36">
        <v>-6.5528116197183101E-2</v>
      </c>
    </row>
    <row r="37" spans="1:6">
      <c r="A37" s="1">
        <v>41424</v>
      </c>
      <c r="B37">
        <v>284.77999899999998</v>
      </c>
      <c r="C37">
        <v>1.08</v>
      </c>
      <c r="D37">
        <v>285.85999900000002</v>
      </c>
      <c r="E37">
        <v>265.39001500000001</v>
      </c>
      <c r="F37">
        <v>7.3062221274602296E-2</v>
      </c>
    </row>
    <row r="38" spans="1:6">
      <c r="A38" s="1">
        <v>41454</v>
      </c>
      <c r="B38">
        <v>300.63000499999998</v>
      </c>
      <c r="C38">
        <v>0</v>
      </c>
      <c r="D38">
        <v>300.63000499999998</v>
      </c>
      <c r="E38">
        <v>285.85999900000002</v>
      </c>
      <c r="F38">
        <v>5.1668670159059099E-2</v>
      </c>
    </row>
    <row r="39" spans="1:6">
      <c r="A39" s="1">
        <v>41485</v>
      </c>
      <c r="B39">
        <v>311.27999899999998</v>
      </c>
      <c r="C39">
        <v>0</v>
      </c>
      <c r="D39">
        <v>311.27999899999998</v>
      </c>
      <c r="E39">
        <v>300.63000499999998</v>
      </c>
      <c r="F39">
        <v>3.54255856796463E-2</v>
      </c>
    </row>
    <row r="40" spans="1:6">
      <c r="A40" s="1">
        <v>41516</v>
      </c>
      <c r="B40">
        <v>275.83999599999999</v>
      </c>
      <c r="C40">
        <v>0.83</v>
      </c>
      <c r="D40">
        <v>276.669995999999</v>
      </c>
      <c r="E40">
        <v>311.27999899999998</v>
      </c>
      <c r="F40">
        <v>-0.113852490085622</v>
      </c>
    </row>
    <row r="41" spans="1:6">
      <c r="A41" s="1">
        <v>41545</v>
      </c>
      <c r="B41">
        <v>263.80999800000001</v>
      </c>
      <c r="C41">
        <v>0</v>
      </c>
      <c r="D41">
        <v>263.80999800000001</v>
      </c>
      <c r="E41">
        <v>276.669995999999</v>
      </c>
      <c r="F41">
        <v>-4.6481361137547902E-2</v>
      </c>
    </row>
    <row r="42" spans="1:6">
      <c r="A42" s="1">
        <v>41577</v>
      </c>
      <c r="B42">
        <v>281.92001299999998</v>
      </c>
      <c r="C42">
        <v>0</v>
      </c>
      <c r="D42">
        <v>281.92001299999998</v>
      </c>
      <c r="E42">
        <v>263.80999800000001</v>
      </c>
      <c r="F42">
        <v>6.8647947906811099E-2</v>
      </c>
    </row>
    <row r="43" spans="1:6">
      <c r="A43" s="1">
        <v>41607</v>
      </c>
      <c r="B43">
        <v>328.709991</v>
      </c>
      <c r="C43">
        <v>0.72</v>
      </c>
      <c r="D43">
        <v>329.42999099999997</v>
      </c>
      <c r="E43">
        <v>281.92001299999998</v>
      </c>
      <c r="F43">
        <v>0.16596898354995401</v>
      </c>
    </row>
    <row r="44" spans="1:6">
      <c r="A44" s="1">
        <v>41636</v>
      </c>
      <c r="B44">
        <v>345.07000699999998</v>
      </c>
      <c r="C44">
        <v>0</v>
      </c>
      <c r="D44">
        <v>345.07000699999998</v>
      </c>
      <c r="E44">
        <v>329.42999099999997</v>
      </c>
      <c r="F44">
        <v>4.7475993161776003E-2</v>
      </c>
    </row>
    <row r="45" spans="1:6">
      <c r="A45" s="1">
        <v>41669</v>
      </c>
      <c r="B45">
        <v>320.16000400000001</v>
      </c>
      <c r="C45">
        <v>0</v>
      </c>
      <c r="D45">
        <v>320.16000400000001</v>
      </c>
      <c r="E45">
        <v>345.07000699999998</v>
      </c>
      <c r="F45">
        <v>-7.2188258888579604E-2</v>
      </c>
    </row>
    <row r="46" spans="1:6">
      <c r="A46" s="1">
        <v>41697</v>
      </c>
      <c r="B46">
        <v>293.35000600000001</v>
      </c>
      <c r="C46">
        <v>0.38</v>
      </c>
      <c r="D46">
        <v>293.730006</v>
      </c>
      <c r="E46">
        <v>320.16000400000001</v>
      </c>
      <c r="F46">
        <v>-8.3739373016749497E-2</v>
      </c>
    </row>
    <row r="47" spans="1:6">
      <c r="A47" s="1">
        <v>41726</v>
      </c>
      <c r="B47">
        <v>280.39001500000001</v>
      </c>
      <c r="C47">
        <v>0</v>
      </c>
      <c r="D47">
        <v>280.39001500000001</v>
      </c>
      <c r="E47">
        <v>293.730006</v>
      </c>
      <c r="F47">
        <v>-4.54158265328874E-2</v>
      </c>
    </row>
    <row r="48" spans="1:6">
      <c r="A48" s="1">
        <v>41758</v>
      </c>
      <c r="B48">
        <v>257.07000699999998</v>
      </c>
      <c r="C48">
        <v>0</v>
      </c>
      <c r="D48">
        <v>257.07000699999998</v>
      </c>
      <c r="E48">
        <v>280.39001500000001</v>
      </c>
      <c r="F48">
        <v>-8.3169894619820994E-2</v>
      </c>
    </row>
    <row r="49" spans="1:6">
      <c r="A49" s="1">
        <v>41789</v>
      </c>
      <c r="B49">
        <v>228.32000699999901</v>
      </c>
      <c r="C49">
        <v>0.23</v>
      </c>
      <c r="D49">
        <v>228.550006999999</v>
      </c>
      <c r="E49">
        <v>257.07000699999998</v>
      </c>
      <c r="F49">
        <v>-0.11183723972902</v>
      </c>
    </row>
    <row r="50" spans="1:6">
      <c r="A50" s="1">
        <v>41818</v>
      </c>
      <c r="B50">
        <v>252.66999799999999</v>
      </c>
      <c r="C50">
        <v>0</v>
      </c>
      <c r="D50">
        <v>252.66999799999999</v>
      </c>
      <c r="E50">
        <v>228.550006999999</v>
      </c>
      <c r="F50">
        <v>0.105534851285303</v>
      </c>
    </row>
    <row r="51" spans="1:6">
      <c r="A51" s="1">
        <v>41850</v>
      </c>
      <c r="B51">
        <v>258</v>
      </c>
      <c r="C51">
        <v>0</v>
      </c>
      <c r="D51">
        <v>258</v>
      </c>
      <c r="E51">
        <v>252.66999799999999</v>
      </c>
      <c r="F51">
        <v>2.1094716595517499E-2</v>
      </c>
    </row>
    <row r="52" spans="1:6">
      <c r="A52" s="1">
        <v>41881</v>
      </c>
      <c r="B52">
        <v>197.71000699999999</v>
      </c>
      <c r="C52">
        <v>0.61</v>
      </c>
      <c r="D52">
        <v>198.320007</v>
      </c>
      <c r="E52">
        <v>258</v>
      </c>
      <c r="F52">
        <v>-0.233682143410852</v>
      </c>
    </row>
    <row r="53" spans="1:6">
      <c r="A53" s="1">
        <v>41909</v>
      </c>
      <c r="B53">
        <v>228.25</v>
      </c>
      <c r="C53">
        <v>0</v>
      </c>
      <c r="D53">
        <v>228.25</v>
      </c>
      <c r="E53">
        <v>198.320007</v>
      </c>
      <c r="F53">
        <v>0.15091766813017399</v>
      </c>
    </row>
    <row r="54" spans="1:6">
      <c r="A54" s="1">
        <v>41942</v>
      </c>
      <c r="B54">
        <v>207.85000600000001</v>
      </c>
      <c r="C54">
        <v>0</v>
      </c>
      <c r="D54">
        <v>207.85000600000001</v>
      </c>
      <c r="E54">
        <v>228.25</v>
      </c>
      <c r="F54">
        <v>-8.9375658269441299E-2</v>
      </c>
    </row>
    <row r="55" spans="1:6">
      <c r="A55" s="1">
        <v>41972</v>
      </c>
      <c r="B55">
        <v>227.07000699999901</v>
      </c>
      <c r="C55">
        <v>0.45</v>
      </c>
      <c r="D55">
        <v>227.520006999999</v>
      </c>
      <c r="E55">
        <v>207.85000600000001</v>
      </c>
      <c r="F55">
        <v>9.2470533775206906E-2</v>
      </c>
    </row>
    <row r="56" spans="1:6">
      <c r="A56" s="1">
        <v>42003</v>
      </c>
      <c r="B56">
        <v>235.36999499999999</v>
      </c>
      <c r="C56">
        <v>0</v>
      </c>
      <c r="D56">
        <v>235.36999499999999</v>
      </c>
      <c r="E56">
        <v>227.520006999999</v>
      </c>
      <c r="F56">
        <v>3.4502407517946497E-2</v>
      </c>
    </row>
    <row r="57" spans="1:6">
      <c r="A57" s="1">
        <v>42034</v>
      </c>
      <c r="B57">
        <v>251.929993</v>
      </c>
      <c r="C57">
        <v>0</v>
      </c>
      <c r="D57">
        <v>251.929993</v>
      </c>
      <c r="E57">
        <v>235.36999499999999</v>
      </c>
      <c r="F57">
        <v>7.0357302764951099E-2</v>
      </c>
    </row>
    <row r="58" spans="1:6">
      <c r="A58" s="1">
        <v>42062</v>
      </c>
      <c r="B58">
        <v>223.220000999999</v>
      </c>
      <c r="C58">
        <v>0</v>
      </c>
      <c r="D58">
        <v>223.220000999999</v>
      </c>
      <c r="E58">
        <v>251.929993</v>
      </c>
      <c r="F58">
        <v>-0.113960198458783</v>
      </c>
    </row>
    <row r="59" spans="1:6">
      <c r="A59" s="1">
        <v>42091</v>
      </c>
      <c r="B59">
        <v>241.449997</v>
      </c>
      <c r="C59">
        <v>0.48</v>
      </c>
      <c r="D59">
        <v>241.92999699999999</v>
      </c>
      <c r="E59">
        <v>223.220000999999</v>
      </c>
      <c r="F59">
        <v>8.1668291005876498E-2</v>
      </c>
    </row>
    <row r="60" spans="1:6">
      <c r="A60" s="1">
        <v>42123</v>
      </c>
      <c r="B60">
        <v>284.52999899999998</v>
      </c>
      <c r="C60">
        <v>0</v>
      </c>
      <c r="D60">
        <v>284.52999899999998</v>
      </c>
      <c r="E60">
        <v>241.92999699999999</v>
      </c>
      <c r="F60">
        <v>0.17608400168747901</v>
      </c>
    </row>
    <row r="61" spans="1:6">
      <c r="A61" s="1">
        <v>42154</v>
      </c>
      <c r="B61">
        <v>248.61000099999899</v>
      </c>
      <c r="C61">
        <v>0.69</v>
      </c>
      <c r="D61">
        <v>249.30000099999901</v>
      </c>
      <c r="E61">
        <v>284.52999899999998</v>
      </c>
      <c r="F61">
        <v>-0.126243271803477</v>
      </c>
    </row>
    <row r="62" spans="1:6">
      <c r="A62" s="1">
        <v>42182</v>
      </c>
      <c r="B62">
        <v>255.770004</v>
      </c>
      <c r="C62">
        <v>0</v>
      </c>
      <c r="D62">
        <v>255.770004</v>
      </c>
      <c r="E62">
        <v>249.30000099999901</v>
      </c>
      <c r="F62">
        <v>2.59526793985052E-2</v>
      </c>
    </row>
    <row r="63" spans="1:6">
      <c r="A63" s="1">
        <v>42215</v>
      </c>
      <c r="B63">
        <v>230.82000699999901</v>
      </c>
      <c r="C63">
        <v>0</v>
      </c>
      <c r="D63">
        <v>230.82000699999901</v>
      </c>
      <c r="E63">
        <v>255.770004</v>
      </c>
      <c r="F63">
        <v>-9.7548565546411795E-2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I20" sqref="I2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6</v>
      </c>
      <c r="D1" t="s">
        <v>5</v>
      </c>
    </row>
    <row r="2" spans="1:4">
      <c r="A2" s="1">
        <v>40358</v>
      </c>
      <c r="B2">
        <v>35.869999999999997</v>
      </c>
    </row>
    <row r="3" spans="1:4">
      <c r="A3" s="1">
        <v>40389</v>
      </c>
      <c r="B3">
        <v>33.599997999999999</v>
      </c>
      <c r="C3">
        <v>35.869999999999997</v>
      </c>
      <c r="D3">
        <f>B3/C3 - 1</f>
        <v>-6.3284137161973786E-2</v>
      </c>
    </row>
    <row r="4" spans="1:4">
      <c r="A4" s="1">
        <v>40418</v>
      </c>
      <c r="B4">
        <v>37.840000000000003</v>
      </c>
      <c r="C4">
        <v>33.599997999999999</v>
      </c>
      <c r="D4">
        <v>0.12619054322562701</v>
      </c>
    </row>
    <row r="5" spans="1:4">
      <c r="A5" s="1">
        <v>40450</v>
      </c>
      <c r="B5">
        <v>35.610000999999997</v>
      </c>
      <c r="C5">
        <v>37.840000000000003</v>
      </c>
      <c r="D5">
        <v>-5.8932320295982998E-2</v>
      </c>
    </row>
    <row r="6" spans="1:4">
      <c r="A6" s="1">
        <v>40481</v>
      </c>
      <c r="B6">
        <v>40.970001000000003</v>
      </c>
      <c r="C6">
        <v>35.610000999999997</v>
      </c>
      <c r="D6">
        <v>0.15051951276271999</v>
      </c>
    </row>
    <row r="7" spans="1:4">
      <c r="A7" s="1">
        <v>40509</v>
      </c>
      <c r="B7">
        <v>43.93</v>
      </c>
      <c r="C7">
        <v>40.970001000000003</v>
      </c>
      <c r="D7">
        <v>7.2247960159922797E-2</v>
      </c>
    </row>
    <row r="8" spans="1:4">
      <c r="A8" s="1">
        <v>40542</v>
      </c>
      <c r="B8">
        <v>47.02</v>
      </c>
      <c r="C8">
        <v>43.93</v>
      </c>
      <c r="D8">
        <v>7.0339175961757303E-2</v>
      </c>
    </row>
    <row r="9" spans="1:4">
      <c r="A9" s="1">
        <v>40572</v>
      </c>
      <c r="B9">
        <v>54.860000999999997</v>
      </c>
      <c r="C9">
        <v>47.02</v>
      </c>
      <c r="D9">
        <v>0.16673757975329601</v>
      </c>
    </row>
    <row r="10" spans="1:4">
      <c r="A10" s="1">
        <v>40600</v>
      </c>
      <c r="B10">
        <v>57.18</v>
      </c>
      <c r="C10">
        <v>54.860000999999997</v>
      </c>
      <c r="D10">
        <v>4.2289445091333297E-2</v>
      </c>
    </row>
    <row r="11" spans="1:4">
      <c r="A11" s="1">
        <v>40632</v>
      </c>
      <c r="B11">
        <v>58.82</v>
      </c>
      <c r="C11">
        <v>57.18</v>
      </c>
      <c r="D11">
        <v>2.86813571178734E-2</v>
      </c>
    </row>
    <row r="12" spans="1:4">
      <c r="A12" s="1">
        <v>40662</v>
      </c>
      <c r="B12">
        <v>58.09</v>
      </c>
      <c r="C12">
        <v>58.82</v>
      </c>
      <c r="D12">
        <v>-1.24107446446786E-2</v>
      </c>
    </row>
    <row r="13" spans="1:4">
      <c r="A13" s="1">
        <v>40691</v>
      </c>
      <c r="B13">
        <v>62.759997999999896</v>
      </c>
      <c r="C13">
        <v>58.09</v>
      </c>
      <c r="D13">
        <v>8.0392459975899305E-2</v>
      </c>
    </row>
    <row r="14" spans="1:4">
      <c r="A14" s="1">
        <v>40723</v>
      </c>
      <c r="B14">
        <v>66.5</v>
      </c>
      <c r="C14">
        <v>62.759997999999896</v>
      </c>
      <c r="D14">
        <v>5.9592130643471401E-2</v>
      </c>
    </row>
    <row r="15" spans="1:4">
      <c r="A15" s="1">
        <v>40754</v>
      </c>
      <c r="B15">
        <v>71.550003000000004</v>
      </c>
      <c r="C15">
        <v>66.5</v>
      </c>
      <c r="D15">
        <v>7.5939894736842095E-2</v>
      </c>
    </row>
    <row r="16" spans="1:4">
      <c r="A16" s="1">
        <v>40785</v>
      </c>
      <c r="B16">
        <v>66.150002000000001</v>
      </c>
      <c r="C16">
        <v>71.550003000000004</v>
      </c>
      <c r="D16">
        <v>-7.5471708925015701E-2</v>
      </c>
    </row>
    <row r="17" spans="1:4">
      <c r="A17" s="1">
        <v>40815</v>
      </c>
      <c r="B17">
        <v>67.75</v>
      </c>
      <c r="C17">
        <v>66.150002000000001</v>
      </c>
      <c r="D17">
        <v>2.4187421793275099E-2</v>
      </c>
    </row>
    <row r="18" spans="1:4">
      <c r="A18" s="1">
        <v>40845</v>
      </c>
      <c r="B18">
        <v>72.069999999999993</v>
      </c>
      <c r="C18">
        <v>67.75</v>
      </c>
      <c r="D18">
        <v>6.3763837638376203E-2</v>
      </c>
    </row>
    <row r="19" spans="1:4">
      <c r="A19" s="1">
        <v>40876</v>
      </c>
      <c r="B19">
        <v>67.790001000000004</v>
      </c>
      <c r="C19">
        <v>72.069999999999993</v>
      </c>
      <c r="D19">
        <v>-5.9386693492437699E-2</v>
      </c>
    </row>
    <row r="20" spans="1:4">
      <c r="A20" s="1">
        <v>40907</v>
      </c>
      <c r="B20">
        <v>68.720000999999996</v>
      </c>
      <c r="C20">
        <v>67.790001000000004</v>
      </c>
      <c r="D20">
        <v>1.3718837384292E-2</v>
      </c>
    </row>
    <row r="21" spans="1:4">
      <c r="A21" s="1">
        <v>40936</v>
      </c>
      <c r="B21">
        <v>64.550003000000004</v>
      </c>
      <c r="C21">
        <v>68.720000999999996</v>
      </c>
      <c r="D21">
        <v>-6.0680994460404501E-2</v>
      </c>
    </row>
    <row r="22" spans="1:4">
      <c r="A22" s="1">
        <v>40967</v>
      </c>
      <c r="B22">
        <v>64.239998</v>
      </c>
      <c r="C22">
        <v>64.550003000000004</v>
      </c>
      <c r="D22">
        <v>-4.8025559348153701E-3</v>
      </c>
    </row>
    <row r="23" spans="1:4">
      <c r="A23" s="1">
        <v>40998</v>
      </c>
      <c r="B23">
        <v>66.110000999999997</v>
      </c>
      <c r="C23">
        <v>64.239998</v>
      </c>
      <c r="D23">
        <v>2.9109636647248902E-2</v>
      </c>
    </row>
    <row r="24" spans="1:4">
      <c r="A24" s="1">
        <v>41027</v>
      </c>
      <c r="B24">
        <v>61.849997999999999</v>
      </c>
      <c r="C24">
        <v>66.110000999999997</v>
      </c>
      <c r="D24">
        <v>-6.4438102186687204E-2</v>
      </c>
    </row>
    <row r="25" spans="1:4">
      <c r="A25" s="1">
        <v>41059</v>
      </c>
      <c r="B25">
        <v>76.75</v>
      </c>
      <c r="C25">
        <v>61.849997999999999</v>
      </c>
      <c r="D25">
        <v>0.24090545645611799</v>
      </c>
    </row>
    <row r="26" spans="1:4">
      <c r="A26" s="1">
        <v>41089</v>
      </c>
      <c r="B26">
        <v>75.760002</v>
      </c>
      <c r="C26">
        <v>76.75</v>
      </c>
      <c r="D26">
        <v>-1.2898996742671E-2</v>
      </c>
    </row>
    <row r="27" spans="1:4">
      <c r="A27" s="1">
        <v>41118</v>
      </c>
      <c r="B27">
        <v>76.319999999999993</v>
      </c>
      <c r="C27">
        <v>75.760002</v>
      </c>
      <c r="D27">
        <v>7.3917368692781801E-3</v>
      </c>
    </row>
    <row r="28" spans="1:4">
      <c r="A28" s="1">
        <v>41151</v>
      </c>
      <c r="B28">
        <v>81.230002999999996</v>
      </c>
      <c r="C28">
        <v>76.319999999999993</v>
      </c>
      <c r="D28">
        <v>6.4334420859538805E-2</v>
      </c>
    </row>
    <row r="29" spans="1:4">
      <c r="A29" s="1">
        <v>41181</v>
      </c>
      <c r="B29">
        <v>85.400002000000001</v>
      </c>
      <c r="C29">
        <v>81.230002999999996</v>
      </c>
      <c r="D29">
        <v>5.1335699199715798E-2</v>
      </c>
    </row>
    <row r="30" spans="1:4">
      <c r="A30" s="1">
        <v>41212</v>
      </c>
      <c r="B30">
        <v>78.519997000000004</v>
      </c>
      <c r="C30">
        <v>85.400002000000001</v>
      </c>
      <c r="D30">
        <v>-8.0562117551238405E-2</v>
      </c>
    </row>
    <row r="31" spans="1:4">
      <c r="A31" s="1">
        <v>41242</v>
      </c>
      <c r="B31">
        <v>79.239998</v>
      </c>
      <c r="C31">
        <v>78.519997000000004</v>
      </c>
      <c r="D31">
        <v>9.1696513946630791E-3</v>
      </c>
    </row>
    <row r="32" spans="1:4">
      <c r="A32" s="1">
        <v>41272</v>
      </c>
      <c r="B32">
        <v>78.760002</v>
      </c>
      <c r="C32">
        <v>79.239998</v>
      </c>
      <c r="D32">
        <v>-6.0574963669232096E-3</v>
      </c>
    </row>
    <row r="33" spans="1:4">
      <c r="A33" s="1">
        <v>41304</v>
      </c>
      <c r="B33">
        <v>83.43</v>
      </c>
      <c r="C33">
        <v>78.760002</v>
      </c>
      <c r="D33">
        <v>5.9294030998120202E-2</v>
      </c>
    </row>
    <row r="34" spans="1:4">
      <c r="A34" s="1">
        <v>41332</v>
      </c>
      <c r="B34">
        <v>86.5</v>
      </c>
      <c r="C34">
        <v>83.43</v>
      </c>
      <c r="D34">
        <v>3.67973151144671E-2</v>
      </c>
    </row>
    <row r="35" spans="1:4">
      <c r="A35" s="1">
        <v>41363</v>
      </c>
      <c r="B35">
        <v>89.519997000000004</v>
      </c>
      <c r="C35">
        <v>86.5</v>
      </c>
      <c r="D35">
        <v>3.4913260115606998E-2</v>
      </c>
    </row>
    <row r="36" spans="1:4">
      <c r="A36" s="1">
        <v>41391</v>
      </c>
      <c r="B36">
        <v>94.82</v>
      </c>
      <c r="C36">
        <v>89.519997000000004</v>
      </c>
      <c r="D36">
        <v>5.9204682502390797E-2</v>
      </c>
    </row>
    <row r="37" spans="1:4">
      <c r="A37" s="1">
        <v>41424</v>
      </c>
      <c r="B37">
        <v>113.33000199999999</v>
      </c>
      <c r="C37">
        <v>94.82</v>
      </c>
      <c r="D37">
        <v>0.19521200168740699</v>
      </c>
    </row>
    <row r="38" spans="1:4">
      <c r="A38" s="1">
        <v>41454</v>
      </c>
      <c r="B38">
        <v>105.720001</v>
      </c>
      <c r="C38">
        <v>113.33000199999999</v>
      </c>
      <c r="D38">
        <v>-6.7149041433882603E-2</v>
      </c>
    </row>
    <row r="39" spans="1:4">
      <c r="A39" s="1">
        <v>41485</v>
      </c>
      <c r="B39">
        <v>116.739998</v>
      </c>
      <c r="C39">
        <v>105.720001</v>
      </c>
      <c r="D39">
        <v>0.10423757941508099</v>
      </c>
    </row>
    <row r="40" spans="1:4">
      <c r="A40" s="1">
        <v>41516</v>
      </c>
      <c r="B40">
        <v>121.5</v>
      </c>
      <c r="C40">
        <v>116.739998</v>
      </c>
      <c r="D40">
        <v>4.0774388226389999E-2</v>
      </c>
    </row>
    <row r="41" spans="1:4">
      <c r="A41" s="1">
        <v>41545</v>
      </c>
      <c r="B41">
        <v>118.05999799999999</v>
      </c>
      <c r="C41">
        <v>121.5</v>
      </c>
      <c r="D41">
        <v>-2.8312773662551399E-2</v>
      </c>
    </row>
    <row r="42" spans="1:4">
      <c r="A42" s="1">
        <v>41577</v>
      </c>
      <c r="B42">
        <v>119.599998</v>
      </c>
      <c r="C42">
        <v>118.05999799999999</v>
      </c>
      <c r="D42">
        <v>1.30442150270069E-2</v>
      </c>
    </row>
    <row r="43" spans="1:4">
      <c r="A43" s="1">
        <v>41607</v>
      </c>
      <c r="B43">
        <v>106.349998</v>
      </c>
      <c r="C43">
        <v>119.599998</v>
      </c>
      <c r="D43">
        <v>-0.110785955029865</v>
      </c>
    </row>
    <row r="44" spans="1:4">
      <c r="A44" s="1">
        <v>41636</v>
      </c>
      <c r="B44">
        <v>105.05999799999999</v>
      </c>
      <c r="C44">
        <v>106.349998</v>
      </c>
      <c r="D44">
        <v>-1.2129760453780201E-2</v>
      </c>
    </row>
    <row r="45" spans="1:4">
      <c r="A45" s="1">
        <v>41669</v>
      </c>
      <c r="B45">
        <v>126.959999</v>
      </c>
      <c r="C45">
        <v>105.05999799999999</v>
      </c>
      <c r="D45">
        <v>0.20845232645064299</v>
      </c>
    </row>
    <row r="46" spans="1:4">
      <c r="A46" s="1">
        <v>41697</v>
      </c>
      <c r="B46">
        <v>123.699997</v>
      </c>
      <c r="C46">
        <v>126.959999</v>
      </c>
      <c r="D46">
        <v>-2.5677394657194302E-2</v>
      </c>
    </row>
    <row r="47" spans="1:4">
      <c r="A47" s="1">
        <v>41726</v>
      </c>
      <c r="B47">
        <v>121.239998</v>
      </c>
      <c r="C47">
        <v>123.699997</v>
      </c>
      <c r="D47">
        <v>-1.9886815356996299E-2</v>
      </c>
    </row>
    <row r="48" spans="1:4">
      <c r="A48" s="1">
        <v>41758</v>
      </c>
      <c r="B48">
        <v>117.980003</v>
      </c>
      <c r="C48">
        <v>121.239998</v>
      </c>
      <c r="D48">
        <v>-2.68887747754664E-2</v>
      </c>
    </row>
    <row r="49" spans="1:4">
      <c r="A49" s="1">
        <v>41789</v>
      </c>
      <c r="B49">
        <v>130.91000399999999</v>
      </c>
      <c r="C49">
        <v>117.980003</v>
      </c>
      <c r="D49">
        <v>0.10959485227339701</v>
      </c>
    </row>
    <row r="50" spans="1:4">
      <c r="A50" s="1">
        <v>41818</v>
      </c>
      <c r="B50">
        <v>141.020004</v>
      </c>
      <c r="C50">
        <v>130.91000399999999</v>
      </c>
      <c r="D50">
        <v>7.7228627996986196E-2</v>
      </c>
    </row>
    <row r="51" spans="1:4">
      <c r="A51" s="1">
        <v>41850</v>
      </c>
      <c r="B51">
        <v>128.75</v>
      </c>
      <c r="C51">
        <v>141.020004</v>
      </c>
      <c r="D51">
        <v>-8.7008960799632301E-2</v>
      </c>
    </row>
    <row r="52" spans="1:4">
      <c r="A52" s="1">
        <v>41881</v>
      </c>
      <c r="B52">
        <v>113.410004</v>
      </c>
      <c r="C52">
        <v>128.75</v>
      </c>
      <c r="D52">
        <v>-0.11914559999999901</v>
      </c>
    </row>
    <row r="53" spans="1:4">
      <c r="A53" s="1">
        <v>41909</v>
      </c>
      <c r="B53">
        <v>120.489998</v>
      </c>
      <c r="C53">
        <v>113.410004</v>
      </c>
      <c r="D53">
        <v>6.2428302180467202E-2</v>
      </c>
    </row>
    <row r="54" spans="1:4">
      <c r="A54" s="1">
        <v>41942</v>
      </c>
      <c r="B54">
        <v>90.980002999999996</v>
      </c>
      <c r="C54">
        <v>120.489998</v>
      </c>
      <c r="D54">
        <v>-0.244916553156553</v>
      </c>
    </row>
    <row r="55" spans="1:4">
      <c r="A55" s="1">
        <v>41972</v>
      </c>
      <c r="B55">
        <v>84.07</v>
      </c>
      <c r="C55">
        <v>90.980002999999996</v>
      </c>
      <c r="D55">
        <v>-7.5950788878298897E-2</v>
      </c>
    </row>
    <row r="56" spans="1:4">
      <c r="A56" s="1">
        <v>42003</v>
      </c>
      <c r="B56">
        <v>78.910004000000001</v>
      </c>
      <c r="C56">
        <v>84.07</v>
      </c>
      <c r="D56">
        <v>-6.1377375996193501E-2</v>
      </c>
    </row>
    <row r="57" spans="1:4">
      <c r="A57" s="1">
        <v>42034</v>
      </c>
      <c r="B57">
        <v>92.239998</v>
      </c>
      <c r="C57">
        <v>78.910004000000001</v>
      </c>
      <c r="D57">
        <v>0.16892654067030499</v>
      </c>
    </row>
    <row r="58" spans="1:4">
      <c r="A58" s="1">
        <v>42062</v>
      </c>
      <c r="B58">
        <v>95.779999000000004</v>
      </c>
      <c r="C58">
        <v>92.239998</v>
      </c>
      <c r="D58">
        <v>3.8378155645666802E-2</v>
      </c>
    </row>
    <row r="59" spans="1:4">
      <c r="A59" s="1">
        <v>42091</v>
      </c>
      <c r="B59">
        <v>101.629997</v>
      </c>
      <c r="C59">
        <v>95.779999000000004</v>
      </c>
      <c r="D59">
        <v>6.1077448956749297E-2</v>
      </c>
    </row>
    <row r="60" spans="1:4">
      <c r="A60" s="1">
        <v>42123</v>
      </c>
      <c r="B60">
        <v>94.650002000000001</v>
      </c>
      <c r="C60">
        <v>101.629997</v>
      </c>
      <c r="D60">
        <v>-6.8680460553393496E-2</v>
      </c>
    </row>
    <row r="61" spans="1:4">
      <c r="A61" s="1">
        <v>42154</v>
      </c>
      <c r="B61">
        <v>93.080001999999993</v>
      </c>
      <c r="C61">
        <v>94.650002000000001</v>
      </c>
      <c r="D61">
        <v>-1.65874270134721E-2</v>
      </c>
    </row>
    <row r="62" spans="1:4">
      <c r="A62" s="1">
        <v>42182</v>
      </c>
      <c r="B62">
        <v>101.260002</v>
      </c>
      <c r="C62">
        <v>93.080001999999993</v>
      </c>
      <c r="D62">
        <v>8.78813904623678E-2</v>
      </c>
    </row>
    <row r="63" spans="1:4">
      <c r="A63" s="1">
        <v>42215</v>
      </c>
      <c r="B63">
        <v>92.5</v>
      </c>
      <c r="C63">
        <v>101.260002</v>
      </c>
      <c r="D63">
        <v>-8.6509992365988594E-2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H30" sqref="H3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6</v>
      </c>
      <c r="D1" t="s">
        <v>5</v>
      </c>
    </row>
    <row r="2" spans="1:4">
      <c r="A2" s="1">
        <v>40358</v>
      </c>
      <c r="B2">
        <v>22.24</v>
      </c>
    </row>
    <row r="3" spans="1:4">
      <c r="A3" s="1">
        <v>40389</v>
      </c>
      <c r="B3">
        <v>22.379998999999899</v>
      </c>
      <c r="C3">
        <v>22.24</v>
      </c>
      <c r="D3">
        <f>B3/C3 - 1</f>
        <v>6.2949190647436648E-3</v>
      </c>
    </row>
    <row r="4" spans="1:4">
      <c r="A4" s="1">
        <v>40418</v>
      </c>
      <c r="B4">
        <v>23.51</v>
      </c>
      <c r="C4">
        <v>22.379998999999899</v>
      </c>
      <c r="D4">
        <v>5.0491557215887398E-2</v>
      </c>
    </row>
    <row r="5" spans="1:4">
      <c r="A5" s="1">
        <v>40450</v>
      </c>
      <c r="B5">
        <v>23.07</v>
      </c>
      <c r="C5">
        <v>23.51</v>
      </c>
      <c r="D5">
        <v>-1.8715440238196601E-2</v>
      </c>
    </row>
    <row r="6" spans="1:4">
      <c r="A6" s="1">
        <v>40481</v>
      </c>
      <c r="B6">
        <v>26.450001</v>
      </c>
      <c r="C6">
        <v>23.07</v>
      </c>
      <c r="D6">
        <v>0.146510663198959</v>
      </c>
    </row>
    <row r="7" spans="1:4">
      <c r="A7" s="1">
        <v>40509</v>
      </c>
      <c r="B7">
        <v>27.66</v>
      </c>
      <c r="C7">
        <v>26.450001</v>
      </c>
      <c r="D7">
        <v>4.574665233472E-2</v>
      </c>
    </row>
    <row r="8" spans="1:4">
      <c r="A8" s="1">
        <v>40542</v>
      </c>
      <c r="B8">
        <v>28.030000999999999</v>
      </c>
      <c r="C8">
        <v>27.66</v>
      </c>
      <c r="D8">
        <v>1.33767534345625E-2</v>
      </c>
    </row>
    <row r="9" spans="1:4">
      <c r="A9" s="1">
        <v>40572</v>
      </c>
      <c r="B9">
        <v>29.719998999999898</v>
      </c>
      <c r="C9">
        <v>28.030000999999999</v>
      </c>
      <c r="D9">
        <v>6.0292470200054397E-2</v>
      </c>
    </row>
    <row r="10" spans="1:4">
      <c r="A10" s="1">
        <v>40600</v>
      </c>
      <c r="B10">
        <v>26.49</v>
      </c>
      <c r="C10">
        <v>29.719998999999898</v>
      </c>
      <c r="D10">
        <v>-0.10868099288966999</v>
      </c>
    </row>
    <row r="11" spans="1:4">
      <c r="A11" s="1">
        <v>40632</v>
      </c>
      <c r="B11">
        <v>25.459999</v>
      </c>
      <c r="C11">
        <v>26.49</v>
      </c>
      <c r="D11">
        <v>-3.8882634956587302E-2</v>
      </c>
    </row>
    <row r="12" spans="1:4">
      <c r="A12" s="1">
        <v>40662</v>
      </c>
      <c r="B12">
        <v>23.700001</v>
      </c>
      <c r="C12">
        <v>25.459999</v>
      </c>
      <c r="D12">
        <v>-6.9127968151137698E-2</v>
      </c>
    </row>
    <row r="13" spans="1:4">
      <c r="A13" s="1">
        <v>40691</v>
      </c>
      <c r="B13">
        <v>27.370000999999998</v>
      </c>
      <c r="C13">
        <v>23.700001</v>
      </c>
      <c r="D13">
        <v>0.154852314141252</v>
      </c>
    </row>
    <row r="14" spans="1:4">
      <c r="A14" s="1">
        <v>40723</v>
      </c>
      <c r="B14">
        <v>27.57</v>
      </c>
      <c r="C14">
        <v>27.370000999999998</v>
      </c>
      <c r="D14">
        <v>7.3072339310473701E-3</v>
      </c>
    </row>
    <row r="15" spans="1:4">
      <c r="A15" s="1">
        <v>40754</v>
      </c>
      <c r="B15">
        <v>31.58</v>
      </c>
      <c r="C15">
        <v>27.57</v>
      </c>
      <c r="D15">
        <v>0.14544795067101901</v>
      </c>
    </row>
    <row r="16" spans="1:4">
      <c r="A16" s="1">
        <v>40785</v>
      </c>
      <c r="B16">
        <v>29.129998999999899</v>
      </c>
      <c r="C16">
        <v>31.58</v>
      </c>
      <c r="D16">
        <v>-7.7580778974034204E-2</v>
      </c>
    </row>
    <row r="17" spans="1:4">
      <c r="A17" s="1">
        <v>40815</v>
      </c>
      <c r="B17">
        <v>28.73</v>
      </c>
      <c r="C17">
        <v>29.129998999999899</v>
      </c>
      <c r="D17">
        <v>-1.37315143745798E-2</v>
      </c>
    </row>
    <row r="18" spans="1:4">
      <c r="A18" s="1">
        <v>40845</v>
      </c>
      <c r="B18">
        <v>33.200001</v>
      </c>
      <c r="C18">
        <v>28.73</v>
      </c>
      <c r="D18">
        <v>0.155586529759832</v>
      </c>
    </row>
    <row r="19" spans="1:4">
      <c r="A19" s="1">
        <v>40876</v>
      </c>
      <c r="B19">
        <v>35.369999</v>
      </c>
      <c r="C19">
        <v>33.200001</v>
      </c>
      <c r="D19">
        <v>6.5361383573452295E-2</v>
      </c>
    </row>
    <row r="20" spans="1:4">
      <c r="A20" s="1">
        <v>40907</v>
      </c>
      <c r="B20">
        <v>34.840000000000003</v>
      </c>
      <c r="C20">
        <v>35.369999</v>
      </c>
      <c r="D20">
        <v>-1.49844222500542E-2</v>
      </c>
    </row>
    <row r="21" spans="1:4">
      <c r="A21" s="1">
        <v>40936</v>
      </c>
      <c r="B21">
        <v>34.700001</v>
      </c>
      <c r="C21">
        <v>34.840000000000003</v>
      </c>
      <c r="D21">
        <v>-4.0183409873709702E-3</v>
      </c>
    </row>
    <row r="22" spans="1:4">
      <c r="A22" s="1">
        <v>40967</v>
      </c>
      <c r="B22">
        <v>35.990001999999997</v>
      </c>
      <c r="C22">
        <v>34.700001</v>
      </c>
      <c r="D22">
        <v>3.7175820254299302E-2</v>
      </c>
    </row>
    <row r="23" spans="1:4">
      <c r="A23" s="1">
        <v>40998</v>
      </c>
      <c r="B23">
        <v>37.669998</v>
      </c>
      <c r="C23">
        <v>35.990001999999997</v>
      </c>
      <c r="D23">
        <v>4.6679519495441898E-2</v>
      </c>
    </row>
    <row r="24" spans="1:4">
      <c r="A24" s="1">
        <v>41027</v>
      </c>
      <c r="B24">
        <v>34.18</v>
      </c>
      <c r="C24">
        <v>37.669998</v>
      </c>
      <c r="D24">
        <v>-9.2646620262629098E-2</v>
      </c>
    </row>
    <row r="25" spans="1:4">
      <c r="A25" s="1">
        <v>41059</v>
      </c>
      <c r="B25">
        <v>38.909999999999997</v>
      </c>
      <c r="C25">
        <v>34.18</v>
      </c>
      <c r="D25">
        <v>0.13838502047981199</v>
      </c>
    </row>
    <row r="26" spans="1:4">
      <c r="A26" s="1">
        <v>41089</v>
      </c>
      <c r="B26">
        <v>37.919998</v>
      </c>
      <c r="C26">
        <v>38.909999999999997</v>
      </c>
      <c r="D26">
        <v>-2.5443382163967999E-2</v>
      </c>
    </row>
    <row r="27" spans="1:4">
      <c r="A27" s="1">
        <v>41118</v>
      </c>
      <c r="B27">
        <v>40.18</v>
      </c>
      <c r="C27">
        <v>37.919998</v>
      </c>
      <c r="D27">
        <v>5.95992120041779E-2</v>
      </c>
    </row>
    <row r="28" spans="1:4">
      <c r="A28" s="1">
        <v>41151</v>
      </c>
      <c r="B28">
        <v>43.470001000000003</v>
      </c>
      <c r="C28">
        <v>40.18</v>
      </c>
      <c r="D28">
        <v>8.1881557989049197E-2</v>
      </c>
    </row>
    <row r="29" spans="1:4">
      <c r="A29" s="1">
        <v>41181</v>
      </c>
      <c r="B29">
        <v>45.080002</v>
      </c>
      <c r="C29">
        <v>43.470001000000003</v>
      </c>
      <c r="D29">
        <v>3.7037059189393498E-2</v>
      </c>
    </row>
    <row r="30" spans="1:4">
      <c r="A30" s="1">
        <v>41212</v>
      </c>
      <c r="B30">
        <v>44.389998999999897</v>
      </c>
      <c r="C30">
        <v>45.080002</v>
      </c>
      <c r="D30">
        <v>-1.5306188318270301E-2</v>
      </c>
    </row>
    <row r="31" spans="1:4">
      <c r="A31" s="1">
        <v>41242</v>
      </c>
      <c r="B31">
        <v>49.23</v>
      </c>
      <c r="C31">
        <v>44.389998999999897</v>
      </c>
      <c r="D31">
        <v>0.109033591102356</v>
      </c>
    </row>
    <row r="32" spans="1:4">
      <c r="A32" s="1">
        <v>41272</v>
      </c>
      <c r="B32">
        <v>49.290000999999997</v>
      </c>
      <c r="C32">
        <v>49.23</v>
      </c>
      <c r="D32">
        <v>1.21878935608377E-3</v>
      </c>
    </row>
    <row r="33" spans="1:4">
      <c r="A33" s="1">
        <v>41304</v>
      </c>
      <c r="B33">
        <v>53.650002000000001</v>
      </c>
      <c r="C33">
        <v>49.290000999999997</v>
      </c>
      <c r="D33">
        <v>8.8456094776707198E-2</v>
      </c>
    </row>
    <row r="34" spans="1:4">
      <c r="A34" s="1">
        <v>41332</v>
      </c>
      <c r="B34">
        <v>56.98</v>
      </c>
      <c r="C34">
        <v>53.650002000000001</v>
      </c>
      <c r="D34">
        <v>6.2068925924737103E-2</v>
      </c>
    </row>
    <row r="35" spans="1:4">
      <c r="A35" s="1">
        <v>41363</v>
      </c>
      <c r="B35">
        <v>59.27</v>
      </c>
      <c r="C35">
        <v>56.98</v>
      </c>
      <c r="D35">
        <v>4.0189540189540199E-2</v>
      </c>
    </row>
    <row r="36" spans="1:4">
      <c r="A36" s="1">
        <v>41391</v>
      </c>
      <c r="B36">
        <v>62.849997999999999</v>
      </c>
      <c r="C36">
        <v>59.27</v>
      </c>
      <c r="D36">
        <v>6.0401518474776303E-2</v>
      </c>
    </row>
    <row r="37" spans="1:4">
      <c r="A37" s="1">
        <v>41424</v>
      </c>
      <c r="B37">
        <v>76.739998</v>
      </c>
      <c r="C37">
        <v>62.849997999999999</v>
      </c>
      <c r="D37">
        <v>0.22100239366753799</v>
      </c>
    </row>
    <row r="38" spans="1:4">
      <c r="A38" s="1">
        <v>41454</v>
      </c>
      <c r="B38">
        <v>73.379997000000003</v>
      </c>
      <c r="C38">
        <v>76.739998</v>
      </c>
      <c r="D38">
        <v>-4.3784220583378101E-2</v>
      </c>
    </row>
    <row r="39" spans="1:4">
      <c r="A39" s="1">
        <v>41485</v>
      </c>
      <c r="B39">
        <v>79.480002999999996</v>
      </c>
      <c r="C39">
        <v>73.379997000000003</v>
      </c>
      <c r="D39">
        <v>8.3129003126015205E-2</v>
      </c>
    </row>
    <row r="40" spans="1:4">
      <c r="A40" s="1">
        <v>41516</v>
      </c>
      <c r="B40">
        <v>97.790001000000004</v>
      </c>
      <c r="C40">
        <v>79.480002999999996</v>
      </c>
      <c r="D40">
        <v>0.230372386875727</v>
      </c>
    </row>
    <row r="41" spans="1:4">
      <c r="A41" s="1">
        <v>41545</v>
      </c>
      <c r="B41">
        <v>102.230003</v>
      </c>
      <c r="C41">
        <v>97.790001000000004</v>
      </c>
      <c r="D41">
        <v>4.5403435469849103E-2</v>
      </c>
    </row>
    <row r="42" spans="1:4">
      <c r="A42" s="1">
        <v>41577</v>
      </c>
      <c r="B42">
        <v>110.650002</v>
      </c>
      <c r="C42">
        <v>102.230003</v>
      </c>
      <c r="D42">
        <v>8.2363286245819595E-2</v>
      </c>
    </row>
    <row r="43" spans="1:4">
      <c r="A43" s="1">
        <v>41607</v>
      </c>
      <c r="B43">
        <v>111.550003</v>
      </c>
      <c r="C43">
        <v>110.650002</v>
      </c>
      <c r="D43">
        <v>8.1337639740848202E-3</v>
      </c>
    </row>
    <row r="44" spans="1:4">
      <c r="A44" s="1">
        <v>41636</v>
      </c>
      <c r="B44">
        <v>109.779999</v>
      </c>
      <c r="C44">
        <v>111.550003</v>
      </c>
      <c r="D44">
        <v>-1.5867359501550101E-2</v>
      </c>
    </row>
    <row r="45" spans="1:4">
      <c r="A45" s="1">
        <v>41669</v>
      </c>
      <c r="B45">
        <v>126.669997999999</v>
      </c>
      <c r="C45">
        <v>109.779999</v>
      </c>
      <c r="D45">
        <v>0.15385315315952899</v>
      </c>
    </row>
    <row r="46" spans="1:4">
      <c r="A46" s="1">
        <v>41697</v>
      </c>
      <c r="B46">
        <v>111.870003</v>
      </c>
      <c r="C46">
        <v>126.669997999999</v>
      </c>
      <c r="D46">
        <v>-0.116838992923959</v>
      </c>
    </row>
    <row r="47" spans="1:4">
      <c r="A47" s="1">
        <v>41726</v>
      </c>
      <c r="B47">
        <v>97.779999000000004</v>
      </c>
      <c r="C47">
        <v>111.870003</v>
      </c>
      <c r="D47">
        <v>-0.12594979549611601</v>
      </c>
    </row>
    <row r="48" spans="1:4">
      <c r="A48" s="1">
        <v>41758</v>
      </c>
      <c r="B48">
        <v>99.709998999999996</v>
      </c>
      <c r="C48">
        <v>97.779999000000004</v>
      </c>
      <c r="D48">
        <v>1.9738187970322799E-2</v>
      </c>
    </row>
    <row r="49" spans="1:4">
      <c r="A49" s="1">
        <v>41789</v>
      </c>
      <c r="B49">
        <v>112.08000199999999</v>
      </c>
      <c r="C49">
        <v>99.709998999999996</v>
      </c>
      <c r="D49">
        <v>0.12405980467415299</v>
      </c>
    </row>
    <row r="50" spans="1:4">
      <c r="A50" s="1">
        <v>41818</v>
      </c>
      <c r="B50">
        <v>118.360001</v>
      </c>
      <c r="C50">
        <v>112.08000199999999</v>
      </c>
      <c r="D50">
        <v>5.6031396216427602E-2</v>
      </c>
    </row>
    <row r="51" spans="1:4">
      <c r="A51" s="1">
        <v>41850</v>
      </c>
      <c r="B51">
        <v>113.019997</v>
      </c>
      <c r="C51">
        <v>118.360001</v>
      </c>
      <c r="D51">
        <v>-4.51166268577506E-2</v>
      </c>
    </row>
    <row r="52" spans="1:4">
      <c r="A52" s="1">
        <v>41881</v>
      </c>
      <c r="B52">
        <v>133.55999800000001</v>
      </c>
      <c r="C52">
        <v>113.019997</v>
      </c>
      <c r="D52">
        <v>0.181737759203798</v>
      </c>
    </row>
    <row r="53" spans="1:4">
      <c r="A53" s="1">
        <v>41909</v>
      </c>
      <c r="B53">
        <v>137.990005</v>
      </c>
      <c r="C53">
        <v>133.55999800000001</v>
      </c>
      <c r="D53">
        <v>3.31686662648795E-2</v>
      </c>
    </row>
    <row r="54" spans="1:4">
      <c r="A54" s="1">
        <v>41942</v>
      </c>
      <c r="B54">
        <v>128.86999499999999</v>
      </c>
      <c r="C54">
        <v>137.990005</v>
      </c>
      <c r="D54">
        <v>-6.6091815852894503E-2</v>
      </c>
    </row>
    <row r="55" spans="1:4">
      <c r="A55" s="1">
        <v>41972</v>
      </c>
      <c r="B55">
        <v>109.669997999999</v>
      </c>
      <c r="C55">
        <v>128.86999499999999</v>
      </c>
      <c r="D55">
        <v>-0.14898733409588399</v>
      </c>
    </row>
    <row r="56" spans="1:4">
      <c r="A56" s="1">
        <v>42003</v>
      </c>
      <c r="B56">
        <v>102.94000200000001</v>
      </c>
      <c r="C56">
        <v>109.669997999999</v>
      </c>
      <c r="D56">
        <v>-6.1365880575651899E-2</v>
      </c>
    </row>
    <row r="57" spans="1:4">
      <c r="A57" s="1">
        <v>42034</v>
      </c>
      <c r="B57">
        <v>105.550003</v>
      </c>
      <c r="C57">
        <v>102.94000200000001</v>
      </c>
      <c r="D57">
        <v>2.5354584702650299E-2</v>
      </c>
    </row>
    <row r="58" spans="1:4">
      <c r="A58" s="1">
        <v>42062</v>
      </c>
      <c r="B58">
        <v>87.260002</v>
      </c>
      <c r="C58">
        <v>105.550003</v>
      </c>
      <c r="D58">
        <v>-0.17328280890716699</v>
      </c>
    </row>
    <row r="59" spans="1:4">
      <c r="A59" s="1">
        <v>42091</v>
      </c>
      <c r="B59">
        <v>94.370002999999997</v>
      </c>
      <c r="C59">
        <v>87.260002</v>
      </c>
      <c r="D59">
        <v>8.1480642184720495E-2</v>
      </c>
    </row>
    <row r="60" spans="1:4">
      <c r="A60" s="1">
        <v>42123</v>
      </c>
      <c r="B60">
        <v>96.830001999999993</v>
      </c>
      <c r="C60">
        <v>94.370002999999997</v>
      </c>
      <c r="D60">
        <v>2.6067594805523099E-2</v>
      </c>
    </row>
    <row r="61" spans="1:4">
      <c r="A61" s="1">
        <v>42154</v>
      </c>
      <c r="B61">
        <v>108.150002</v>
      </c>
      <c r="C61">
        <v>96.830001999999993</v>
      </c>
      <c r="D61">
        <v>0.116905915172861</v>
      </c>
    </row>
    <row r="62" spans="1:4">
      <c r="A62" s="1">
        <v>42182</v>
      </c>
      <c r="B62">
        <v>113.529999</v>
      </c>
      <c r="C62">
        <v>108.150002</v>
      </c>
      <c r="D62">
        <v>4.9745694872941303E-2</v>
      </c>
    </row>
    <row r="63" spans="1:4">
      <c r="A63" s="1">
        <v>42215</v>
      </c>
      <c r="B63">
        <v>122.519997</v>
      </c>
      <c r="C63">
        <v>113.529999</v>
      </c>
      <c r="D63">
        <v>7.9186101287642904E-2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M2" sqref="M2"/>
    </sheetView>
  </sheetViews>
  <sheetFormatPr baseColWidth="10" defaultRowHeight="15" x14ac:dyDescent="0"/>
  <cols>
    <col min="2" max="6" width="10.83203125" style="15"/>
    <col min="7" max="7" width="14.5" customWidth="1"/>
  </cols>
  <sheetData>
    <row r="1" spans="1:11">
      <c r="A1" t="s">
        <v>0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2" t="s">
        <v>12</v>
      </c>
      <c r="I1" s="15" t="s">
        <v>97</v>
      </c>
      <c r="J1" s="15" t="s">
        <v>99</v>
      </c>
      <c r="K1" s="15" t="s">
        <v>100</v>
      </c>
    </row>
    <row r="2" spans="1:11">
      <c r="A2" s="1">
        <v>40389</v>
      </c>
      <c r="B2" s="15">
        <v>3.5873991031343255E-3</v>
      </c>
      <c r="C2" s="15">
        <v>7.2485974987238411E-2</v>
      </c>
      <c r="D2" s="15">
        <v>-6.3284137161973786E-2</v>
      </c>
      <c r="E2" s="15">
        <v>6.2949190647436648E-3</v>
      </c>
      <c r="F2" s="15">
        <f>AVERAGE(B2:E2)</f>
        <v>4.7710389982856538E-3</v>
      </c>
      <c r="G2" s="2">
        <v>2.3387905111927398E-5</v>
      </c>
      <c r="I2" s="15">
        <f>F2</f>
        <v>4.7710389982856538E-3</v>
      </c>
      <c r="J2" s="15">
        <f>0.2*B2+0.4*C2+0.2*D2+0.2*E2</f>
        <v>1.8314026196076208E-2</v>
      </c>
      <c r="K2" s="15">
        <f>J2-I2</f>
        <v>1.3542987197790554E-2</v>
      </c>
    </row>
    <row r="3" spans="1:11">
      <c r="A3" s="1">
        <v>40418</v>
      </c>
      <c r="B3" s="15">
        <v>5.1832084532264802E-2</v>
      </c>
      <c r="C3" s="15">
        <v>4.75963821085627E-2</v>
      </c>
      <c r="D3" s="15">
        <v>0.12619054322562701</v>
      </c>
      <c r="E3" s="15">
        <v>5.0491557215887398E-2</v>
      </c>
      <c r="F3" s="15">
        <f t="shared" ref="F3:F62" si="0">AVERAGE(B3:E3)</f>
        <v>6.9027641770585471E-2</v>
      </c>
      <c r="G3" s="2">
        <v>7.7838318692315002E-6</v>
      </c>
      <c r="I3" s="15">
        <f t="shared" ref="I3:I62" si="1">F3</f>
        <v>6.9027641770585471E-2</v>
      </c>
      <c r="J3" s="15">
        <f t="shared" ref="J3:J62" si="2">0.2*B3+0.4*C3+0.2*D3+0.2*E3</f>
        <v>6.4741389838180924E-2</v>
      </c>
      <c r="K3" s="15">
        <f t="shared" ref="K3:K62" si="3">J3-I3</f>
        <v>-4.2862519324045473E-3</v>
      </c>
    </row>
    <row r="4" spans="1:11">
      <c r="A4" s="1">
        <v>40450</v>
      </c>
      <c r="B4" s="15">
        <v>-0.116822424943822</v>
      </c>
      <c r="C4" s="15">
        <v>-3.1105044326376698E-2</v>
      </c>
      <c r="D4" s="15">
        <v>-5.8932320295982998E-2</v>
      </c>
      <c r="E4" s="15">
        <v>-1.8715440238196601E-2</v>
      </c>
      <c r="F4" s="15">
        <f t="shared" si="0"/>
        <v>-5.6393807451094576E-2</v>
      </c>
      <c r="G4" s="2">
        <v>1.55797907856663E-5</v>
      </c>
      <c r="I4" s="15">
        <f t="shared" si="1"/>
        <v>-5.6393807451094576E-2</v>
      </c>
      <c r="J4" s="15">
        <f t="shared" si="2"/>
        <v>-5.1336054826151008E-2</v>
      </c>
      <c r="K4" s="15">
        <f t="shared" si="3"/>
        <v>5.0577526249435678E-3</v>
      </c>
    </row>
    <row r="5" spans="1:11">
      <c r="A5" s="1">
        <v>40481</v>
      </c>
      <c r="B5" s="15">
        <v>-4.0404038460604197E-2</v>
      </c>
      <c r="C5" s="15">
        <v>0.105766945796546</v>
      </c>
      <c r="D5" s="15">
        <v>0.15051951276271999</v>
      </c>
      <c r="E5" s="15">
        <v>0.146510663198959</v>
      </c>
      <c r="F5" s="15">
        <f t="shared" si="0"/>
        <v>9.0598270824405192E-2</v>
      </c>
      <c r="G5" s="2">
        <v>7.7838318692315002E-6</v>
      </c>
      <c r="I5" s="15">
        <f t="shared" si="1"/>
        <v>9.0598270824405192E-2</v>
      </c>
      <c r="J5" s="15">
        <f t="shared" si="2"/>
        <v>9.3632005818833353E-2</v>
      </c>
      <c r="K5" s="15">
        <f t="shared" si="3"/>
        <v>3.0337349944281611E-3</v>
      </c>
    </row>
    <row r="6" spans="1:11">
      <c r="A6" s="1">
        <v>40509</v>
      </c>
      <c r="B6" s="15">
        <v>8.5212978184812896E-2</v>
      </c>
      <c r="C6" s="15">
        <v>0.115603852242357</v>
      </c>
      <c r="D6" s="15">
        <v>7.2247960159922797E-2</v>
      </c>
      <c r="E6" s="15">
        <v>4.574665233472E-2</v>
      </c>
      <c r="F6" s="15">
        <f t="shared" si="0"/>
        <v>7.9702860730453184E-2</v>
      </c>
      <c r="G6" s="2">
        <v>2.3387905111927398E-5</v>
      </c>
      <c r="I6" s="15">
        <f t="shared" si="1"/>
        <v>7.9702860730453184E-2</v>
      </c>
      <c r="J6" s="15">
        <f t="shared" si="2"/>
        <v>8.6883059032833942E-2</v>
      </c>
      <c r="K6" s="15">
        <f t="shared" si="3"/>
        <v>7.1801983023807581E-3</v>
      </c>
    </row>
    <row r="7" spans="1:11">
      <c r="A7" s="1">
        <v>40542</v>
      </c>
      <c r="B7" s="15">
        <v>-6.9284064665127001E-2</v>
      </c>
      <c r="C7" s="15">
        <v>-6.4981600773018802E-2</v>
      </c>
      <c r="D7" s="15">
        <v>7.0339175961757303E-2</v>
      </c>
      <c r="E7" s="15">
        <v>1.33767534345625E-2</v>
      </c>
      <c r="F7" s="15">
        <f t="shared" si="0"/>
        <v>-1.26374340104565E-2</v>
      </c>
      <c r="G7" s="2">
        <v>7.7838318692315002E-6</v>
      </c>
      <c r="I7" s="15">
        <f t="shared" si="1"/>
        <v>-1.26374340104565E-2</v>
      </c>
      <c r="J7" s="15">
        <f t="shared" si="2"/>
        <v>-2.310626736296896E-2</v>
      </c>
      <c r="K7" s="15">
        <f t="shared" si="3"/>
        <v>-1.046883335251246E-2</v>
      </c>
    </row>
    <row r="8" spans="1:11">
      <c r="A8" s="1">
        <v>40572</v>
      </c>
      <c r="B8" s="15">
        <v>3.7220843672456497E-2</v>
      </c>
      <c r="C8" s="15">
        <v>0.101977013334446</v>
      </c>
      <c r="D8" s="15">
        <v>0.16673757975329601</v>
      </c>
      <c r="E8" s="15">
        <v>6.0292470200054397E-2</v>
      </c>
      <c r="F8" s="15">
        <f t="shared" si="0"/>
        <v>9.1556976740063231E-2</v>
      </c>
      <c r="G8" s="2">
        <v>1.55797907856663E-5</v>
      </c>
      <c r="I8" s="15">
        <f t="shared" si="1"/>
        <v>9.1556976740063231E-2</v>
      </c>
      <c r="J8" s="15">
        <f t="shared" si="2"/>
        <v>9.3640984058939808E-2</v>
      </c>
      <c r="K8" s="15">
        <f t="shared" si="3"/>
        <v>2.0840073188765768E-3</v>
      </c>
    </row>
    <row r="9" spans="1:11">
      <c r="A9" s="1">
        <v>40600</v>
      </c>
      <c r="B9" s="15">
        <v>0.11578947368421</v>
      </c>
      <c r="C9" s="15">
        <v>-8.4302050343249404E-2</v>
      </c>
      <c r="D9" s="15">
        <v>4.2289445091333297E-2</v>
      </c>
      <c r="E9" s="15">
        <v>-0.10868099288966999</v>
      </c>
      <c r="F9" s="15">
        <f t="shared" si="0"/>
        <v>-8.726031114344026E-3</v>
      </c>
      <c r="G9" s="2">
        <v>7.7838318692315002E-6</v>
      </c>
      <c r="I9" s="15">
        <f t="shared" si="1"/>
        <v>-8.726031114344026E-3</v>
      </c>
      <c r="J9" s="15">
        <f t="shared" si="2"/>
        <v>-2.38412349601251E-2</v>
      </c>
      <c r="K9" s="15">
        <f t="shared" si="3"/>
        <v>-1.5115203845781074E-2</v>
      </c>
    </row>
    <row r="10" spans="1:11">
      <c r="A10" s="1">
        <v>40632</v>
      </c>
      <c r="B10" s="15">
        <v>-2.53001715265865E-2</v>
      </c>
      <c r="C10" s="15">
        <v>4.8491506039116603E-2</v>
      </c>
      <c r="D10" s="15">
        <v>2.86813571178734E-2</v>
      </c>
      <c r="E10" s="15">
        <v>-3.8882634956587302E-2</v>
      </c>
      <c r="F10" s="15">
        <f t="shared" si="0"/>
        <v>3.247514168454051E-3</v>
      </c>
      <c r="G10" s="2">
        <v>1.55797907856663E-5</v>
      </c>
      <c r="I10" s="15">
        <f t="shared" si="1"/>
        <v>3.247514168454051E-3</v>
      </c>
      <c r="J10" s="15">
        <f t="shared" si="2"/>
        <v>1.2296312542586559E-2</v>
      </c>
      <c r="K10" s="15">
        <f t="shared" si="3"/>
        <v>9.0487983741325082E-3</v>
      </c>
    </row>
    <row r="11" spans="1:11">
      <c r="A11" s="1">
        <v>40662</v>
      </c>
      <c r="B11" s="15">
        <v>-6.0975609756097598E-3</v>
      </c>
      <c r="C11" s="15">
        <v>0.21737890168910901</v>
      </c>
      <c r="D11" s="15">
        <v>-1.24107446446786E-2</v>
      </c>
      <c r="E11" s="15">
        <v>-6.9127968151137698E-2</v>
      </c>
      <c r="F11" s="15">
        <f t="shared" si="0"/>
        <v>3.2435656979420739E-2</v>
      </c>
      <c r="G11" s="2">
        <v>1.55797907856663E-5</v>
      </c>
      <c r="I11" s="15">
        <f t="shared" si="1"/>
        <v>3.2435656979420739E-2</v>
      </c>
      <c r="J11" s="15">
        <f t="shared" si="2"/>
        <v>6.9424305921358398E-2</v>
      </c>
      <c r="K11" s="15">
        <f t="shared" si="3"/>
        <v>3.6988648941937659E-2</v>
      </c>
    </row>
    <row r="12" spans="1:11">
      <c r="A12" s="1">
        <v>40691</v>
      </c>
      <c r="B12" s="15">
        <v>0.10692375109553</v>
      </c>
      <c r="C12" s="15">
        <v>0.10312818311680801</v>
      </c>
      <c r="D12" s="15">
        <v>8.0392459975899305E-2</v>
      </c>
      <c r="E12" s="15">
        <v>0.154852314141252</v>
      </c>
      <c r="F12" s="15">
        <f t="shared" si="0"/>
        <v>0.11132417708237233</v>
      </c>
      <c r="G12" s="2">
        <v>0</v>
      </c>
      <c r="I12" s="15">
        <f t="shared" si="1"/>
        <v>0.11132417708237233</v>
      </c>
      <c r="J12" s="15">
        <f t="shared" si="2"/>
        <v>0.10968497828925948</v>
      </c>
      <c r="K12" s="15">
        <f t="shared" si="3"/>
        <v>-1.6391987931128477E-3</v>
      </c>
    </row>
    <row r="13" spans="1:11">
      <c r="A13" s="1">
        <v>40723</v>
      </c>
      <c r="B13" s="15">
        <v>-4.1567735550277103E-2</v>
      </c>
      <c r="C13" s="15">
        <v>2.1650147485186198E-2</v>
      </c>
      <c r="D13" s="15">
        <v>5.9592130643471401E-2</v>
      </c>
      <c r="E13" s="15">
        <v>7.3072339310473701E-3</v>
      </c>
      <c r="F13" s="15">
        <f t="shared" si="0"/>
        <v>1.1745444127356966E-2</v>
      </c>
      <c r="G13" s="2">
        <v>1.55797907856663E-5</v>
      </c>
      <c r="I13" s="15">
        <f t="shared" si="1"/>
        <v>1.1745444127356966E-2</v>
      </c>
      <c r="J13" s="15">
        <f t="shared" si="2"/>
        <v>1.3726384798922813E-2</v>
      </c>
      <c r="K13" s="15">
        <f t="shared" si="3"/>
        <v>1.9809406715658468E-3</v>
      </c>
    </row>
    <row r="14" spans="1:11">
      <c r="A14" s="1">
        <v>40754</v>
      </c>
      <c r="B14" s="15">
        <v>6.5262373616785399E-2</v>
      </c>
      <c r="C14" s="15">
        <v>-4.3073032479914002E-2</v>
      </c>
      <c r="D14" s="15">
        <v>7.5939894736842095E-2</v>
      </c>
      <c r="E14" s="15">
        <v>0.14544795067101901</v>
      </c>
      <c r="F14" s="15">
        <f t="shared" si="0"/>
        <v>6.0894296636183128E-2</v>
      </c>
      <c r="G14" s="2">
        <v>7.7838318692315002E-6</v>
      </c>
      <c r="I14" s="15">
        <f t="shared" si="1"/>
        <v>6.0894296636183128E-2</v>
      </c>
      <c r="J14" s="15">
        <f t="shared" si="2"/>
        <v>4.01008308129637E-2</v>
      </c>
      <c r="K14" s="15">
        <f t="shared" si="3"/>
        <v>-2.0793465823219427E-2</v>
      </c>
    </row>
    <row r="15" spans="1:11">
      <c r="A15" s="1">
        <v>40785</v>
      </c>
      <c r="B15" s="15">
        <v>0.110120119809223</v>
      </c>
      <c r="C15" s="15">
        <v>-0.19800911786737599</v>
      </c>
      <c r="D15" s="15">
        <v>-7.5471708925015701E-2</v>
      </c>
      <c r="E15" s="15">
        <v>-7.7580778974034204E-2</v>
      </c>
      <c r="F15" s="15">
        <f t="shared" si="0"/>
        <v>-6.0235371489300721E-2</v>
      </c>
      <c r="G15" s="2">
        <v>1.55797907856663E-5</v>
      </c>
      <c r="I15" s="15">
        <f t="shared" si="1"/>
        <v>-6.0235371489300721E-2</v>
      </c>
      <c r="J15" s="15">
        <f t="shared" si="2"/>
        <v>-8.7790120764915769E-2</v>
      </c>
      <c r="K15" s="15">
        <f t="shared" si="3"/>
        <v>-2.7554749275615048E-2</v>
      </c>
    </row>
    <row r="16" spans="1:11">
      <c r="A16" s="1">
        <v>40815</v>
      </c>
      <c r="B16" s="15">
        <v>7.8938179494871794E-2</v>
      </c>
      <c r="C16" s="15">
        <v>7.6151254255509601E-2</v>
      </c>
      <c r="D16" s="15">
        <v>2.4187421793275099E-2</v>
      </c>
      <c r="E16" s="15">
        <v>-1.37315143745798E-2</v>
      </c>
      <c r="F16" s="15">
        <f t="shared" si="0"/>
        <v>4.138633529226917E-2</v>
      </c>
      <c r="G16" s="2">
        <v>7.7838318692315002E-6</v>
      </c>
      <c r="I16" s="15">
        <f t="shared" si="1"/>
        <v>4.138633529226917E-2</v>
      </c>
      <c r="J16" s="15">
        <f t="shared" si="2"/>
        <v>4.8339319084917259E-2</v>
      </c>
      <c r="K16" s="15">
        <f t="shared" si="3"/>
        <v>6.9529837926480889E-3</v>
      </c>
    </row>
    <row r="17" spans="1:11">
      <c r="A17" s="1">
        <v>40845</v>
      </c>
      <c r="B17" s="15">
        <v>0.12528323487482099</v>
      </c>
      <c r="C17" s="15">
        <v>0.203213414838159</v>
      </c>
      <c r="D17" s="15">
        <v>6.3763837638376203E-2</v>
      </c>
      <c r="E17" s="15">
        <v>0.155586529759832</v>
      </c>
      <c r="F17" s="15">
        <f t="shared" si="0"/>
        <v>0.13696175427779705</v>
      </c>
      <c r="G17" s="2">
        <v>-7.7717330964803992E-6</v>
      </c>
      <c r="I17" s="15">
        <f t="shared" si="1"/>
        <v>0.13696175427779705</v>
      </c>
      <c r="J17" s="15">
        <f t="shared" si="2"/>
        <v>0.15021208638986944</v>
      </c>
      <c r="K17" s="15">
        <f t="shared" si="3"/>
        <v>1.3250332112072383E-2</v>
      </c>
    </row>
    <row r="18" spans="1:11">
      <c r="A18" s="1">
        <v>40876</v>
      </c>
      <c r="B18" s="15">
        <v>8.3429291336552996E-2</v>
      </c>
      <c r="C18" s="15">
        <v>0.153117035585117</v>
      </c>
      <c r="D18" s="15">
        <v>-5.9386693492437699E-2</v>
      </c>
      <c r="E18" s="15">
        <v>6.5361383573452295E-2</v>
      </c>
      <c r="F18" s="15">
        <f t="shared" si="0"/>
        <v>6.0630254250671145E-2</v>
      </c>
      <c r="G18" s="2">
        <v>7.7838318692315002E-6</v>
      </c>
      <c r="I18" s="15">
        <f t="shared" si="1"/>
        <v>6.0630254250671145E-2</v>
      </c>
      <c r="J18" s="15">
        <f t="shared" si="2"/>
        <v>7.9127610517560315E-2</v>
      </c>
      <c r="K18" s="15">
        <f t="shared" si="3"/>
        <v>1.849735626688917E-2</v>
      </c>
    </row>
    <row r="19" spans="1:11">
      <c r="A19" s="1">
        <v>40907</v>
      </c>
      <c r="B19" s="15">
        <v>2.7881014338821002E-2</v>
      </c>
      <c r="C19" s="15">
        <v>8.3841649710760496E-2</v>
      </c>
      <c r="D19" s="15">
        <v>1.3718837384292E-2</v>
      </c>
      <c r="E19" s="15">
        <v>-1.49844222500542E-2</v>
      </c>
      <c r="F19" s="15">
        <f t="shared" si="0"/>
        <v>2.7614269795954827E-2</v>
      </c>
      <c r="G19" s="2">
        <v>1.49994361114243E-4</v>
      </c>
      <c r="I19" s="15">
        <f t="shared" si="1"/>
        <v>2.7614269795954827E-2</v>
      </c>
      <c r="J19" s="15">
        <f t="shared" si="2"/>
        <v>3.8859745778915968E-2</v>
      </c>
      <c r="K19" s="15">
        <f t="shared" si="3"/>
        <v>1.1245475982961141E-2</v>
      </c>
    </row>
    <row r="20" spans="1:11">
      <c r="A20" s="1">
        <v>40936</v>
      </c>
      <c r="B20" s="15">
        <v>-0.100490806005962</v>
      </c>
      <c r="C20" s="15">
        <v>-0.13849042875495399</v>
      </c>
      <c r="D20" s="15">
        <v>-6.0680994460404501E-2</v>
      </c>
      <c r="E20" s="15">
        <v>-4.0183409873709702E-3</v>
      </c>
      <c r="F20" s="15">
        <f t="shared" si="0"/>
        <v>-7.5920142552172859E-2</v>
      </c>
      <c r="G20" s="2">
        <v>1.3399391960364801E-4</v>
      </c>
      <c r="I20" s="15">
        <f t="shared" si="1"/>
        <v>-7.5920142552172859E-2</v>
      </c>
      <c r="J20" s="15">
        <f t="shared" si="2"/>
        <v>-8.8434199792729082E-2</v>
      </c>
      <c r="K20" s="15">
        <f t="shared" si="3"/>
        <v>-1.2514057240556223E-2</v>
      </c>
    </row>
    <row r="21" spans="1:11">
      <c r="A21" s="1">
        <v>40967</v>
      </c>
      <c r="B21" s="15">
        <v>-9.0465249856404306E-2</v>
      </c>
      <c r="C21" s="15">
        <v>-0.137889061982125</v>
      </c>
      <c r="D21" s="15">
        <v>-4.8025559348153701E-3</v>
      </c>
      <c r="E21" s="15">
        <v>3.7175820254299302E-2</v>
      </c>
      <c r="F21" s="15">
        <f t="shared" si="0"/>
        <v>-4.8995261879761345E-2</v>
      </c>
      <c r="G21" s="2">
        <v>1.3399391960364801E-4</v>
      </c>
      <c r="I21" s="15">
        <f t="shared" si="1"/>
        <v>-4.8995261879761345E-2</v>
      </c>
      <c r="J21" s="15">
        <f t="shared" si="2"/>
        <v>-6.6774021900234057E-2</v>
      </c>
      <c r="K21" s="15">
        <f t="shared" si="3"/>
        <v>-1.7778760020472711E-2</v>
      </c>
    </row>
    <row r="22" spans="1:11">
      <c r="A22" s="1">
        <v>40998</v>
      </c>
      <c r="B22" s="15">
        <v>6.8519103252289298E-2</v>
      </c>
      <c r="C22" s="15">
        <v>6.66369581261647E-2</v>
      </c>
      <c r="D22" s="15">
        <v>2.9109636647248902E-2</v>
      </c>
      <c r="E22" s="15">
        <v>4.6679519495441898E-2</v>
      </c>
      <c r="F22" s="15">
        <f t="shared" si="0"/>
        <v>5.2736304380286203E-2</v>
      </c>
      <c r="G22" s="2">
        <v>2.30760486529498E-4</v>
      </c>
      <c r="I22" s="15">
        <f t="shared" si="1"/>
        <v>5.2736304380286203E-2</v>
      </c>
      <c r="J22" s="15">
        <f t="shared" si="2"/>
        <v>5.5516435129461902E-2</v>
      </c>
      <c r="K22" s="15">
        <f t="shared" si="3"/>
        <v>2.7801307491756994E-3</v>
      </c>
    </row>
    <row r="23" spans="1:11">
      <c r="A23" s="1">
        <v>41027</v>
      </c>
      <c r="B23" s="15">
        <v>1.08504692082112E-2</v>
      </c>
      <c r="C23" s="15">
        <v>-2.44071900650785E-2</v>
      </c>
      <c r="D23" s="15">
        <v>-6.4438102186687204E-2</v>
      </c>
      <c r="E23" s="15">
        <v>-9.2646620262629098E-2</v>
      </c>
      <c r="F23" s="15">
        <f t="shared" si="0"/>
        <v>-4.2660360826545903E-2</v>
      </c>
      <c r="G23" s="2">
        <v>1.5801354401805801E-4</v>
      </c>
      <c r="I23" s="15">
        <f t="shared" si="1"/>
        <v>-4.2660360826545903E-2</v>
      </c>
      <c r="J23" s="15">
        <f t="shared" si="2"/>
        <v>-3.9009726674252426E-2</v>
      </c>
      <c r="K23" s="15">
        <f t="shared" si="3"/>
        <v>3.6506341522934763E-3</v>
      </c>
    </row>
    <row r="24" spans="1:11">
      <c r="A24" s="1">
        <v>41059</v>
      </c>
      <c r="B24" s="15">
        <v>0.13896132466024499</v>
      </c>
      <c r="C24" s="15">
        <v>0.26396588338235699</v>
      </c>
      <c r="D24" s="15">
        <v>0.24090545645611799</v>
      </c>
      <c r="E24" s="15">
        <v>0.13838502047981199</v>
      </c>
      <c r="F24" s="15">
        <f t="shared" si="0"/>
        <v>0.19555442124463301</v>
      </c>
      <c r="G24" s="2">
        <v>7.8387458006718794E-5</v>
      </c>
      <c r="I24" s="15">
        <f t="shared" si="1"/>
        <v>0.19555442124463301</v>
      </c>
      <c r="J24" s="15">
        <f t="shared" si="2"/>
        <v>0.20923671367217783</v>
      </c>
      <c r="K24" s="15">
        <f t="shared" si="3"/>
        <v>1.3682292427544818E-2</v>
      </c>
    </row>
    <row r="25" spans="1:11">
      <c r="A25" s="1">
        <v>41089</v>
      </c>
      <c r="B25" s="15">
        <v>9.4244273777090992E-3</v>
      </c>
      <c r="C25" s="15">
        <v>8.2040686163200802E-2</v>
      </c>
      <c r="D25" s="15">
        <v>-1.2898996742671E-2</v>
      </c>
      <c r="E25" s="15">
        <v>-2.5443382163967999E-2</v>
      </c>
      <c r="F25" s="15">
        <f t="shared" si="0"/>
        <v>1.3280683658567724E-2</v>
      </c>
      <c r="G25" s="2">
        <v>2.1450459652706799E-4</v>
      </c>
      <c r="I25" s="15">
        <f t="shared" si="1"/>
        <v>1.3280683658567724E-2</v>
      </c>
      <c r="J25" s="15">
        <f t="shared" si="2"/>
        <v>2.7032684159494336E-2</v>
      </c>
      <c r="K25" s="15">
        <f t="shared" si="3"/>
        <v>1.3752000500926611E-2</v>
      </c>
    </row>
    <row r="26" spans="1:11">
      <c r="A26" s="1">
        <v>41118</v>
      </c>
      <c r="B26" s="15">
        <v>1.33736812169142E-2</v>
      </c>
      <c r="C26" s="15">
        <v>5.7188712052640998E-2</v>
      </c>
      <c r="D26" s="15">
        <v>7.3917368692781801E-3</v>
      </c>
      <c r="E26" s="15">
        <v>5.95992120041779E-2</v>
      </c>
      <c r="F26" s="15">
        <f t="shared" si="0"/>
        <v>3.4388335535752816E-2</v>
      </c>
      <c r="G26" s="2">
        <v>1.8214730173096399E-4</v>
      </c>
      <c r="I26" s="15">
        <f t="shared" si="1"/>
        <v>3.4388335535752816E-2</v>
      </c>
      <c r="J26" s="15">
        <f t="shared" si="2"/>
        <v>3.8948410839130462E-2</v>
      </c>
      <c r="K26" s="15">
        <f t="shared" si="3"/>
        <v>4.5600753033776462E-3</v>
      </c>
    </row>
    <row r="27" spans="1:11">
      <c r="A27" s="1">
        <v>41151</v>
      </c>
      <c r="B27" s="15">
        <v>3.0129457171314801E-2</v>
      </c>
      <c r="C27" s="15">
        <v>3.7695191899051302E-2</v>
      </c>
      <c r="D27" s="15">
        <v>6.4334420859538805E-2</v>
      </c>
      <c r="E27" s="15">
        <v>8.1881557989049197E-2</v>
      </c>
      <c r="F27" s="15">
        <f t="shared" si="0"/>
        <v>5.3510156979738523E-2</v>
      </c>
      <c r="G27" s="2">
        <v>1.49994361114243E-4</v>
      </c>
      <c r="I27" s="15">
        <f t="shared" si="1"/>
        <v>5.3510156979738523E-2</v>
      </c>
      <c r="J27" s="15">
        <f t="shared" si="2"/>
        <v>5.0347163963601081E-2</v>
      </c>
      <c r="K27" s="15">
        <f t="shared" si="3"/>
        <v>-3.1629930161374414E-3</v>
      </c>
    </row>
    <row r="28" spans="1:11">
      <c r="A28" s="1">
        <v>41181</v>
      </c>
      <c r="B28" s="15">
        <v>7.0824270505783701E-2</v>
      </c>
      <c r="C28" s="15">
        <v>0.13175087129611801</v>
      </c>
      <c r="D28" s="15">
        <v>5.1335699199715798E-2</v>
      </c>
      <c r="E28" s="15">
        <v>3.7037059189393498E-2</v>
      </c>
      <c r="F28" s="15">
        <f t="shared" si="0"/>
        <v>7.2736975047752755E-2</v>
      </c>
      <c r="G28" s="2">
        <v>2.0639600816511699E-4</v>
      </c>
      <c r="I28" s="15">
        <f t="shared" si="1"/>
        <v>7.2736975047752755E-2</v>
      </c>
      <c r="J28" s="15">
        <f t="shared" si="2"/>
        <v>8.4539754297425815E-2</v>
      </c>
      <c r="K28" s="15">
        <f t="shared" si="3"/>
        <v>1.1802779249673059E-2</v>
      </c>
    </row>
    <row r="29" spans="1:11">
      <c r="A29" s="1">
        <v>41212</v>
      </c>
      <c r="B29" s="15">
        <v>-2.5507923826364E-2</v>
      </c>
      <c r="C29" s="15">
        <v>6.73228302488693E-2</v>
      </c>
      <c r="D29" s="15">
        <v>-8.0562117551238405E-2</v>
      </c>
      <c r="E29" s="15">
        <v>-1.5306188318270301E-2</v>
      </c>
      <c r="F29" s="15">
        <f t="shared" si="0"/>
        <v>-1.3513349861750852E-2</v>
      </c>
      <c r="G29" s="2">
        <v>1.9021739130434701E-4</v>
      </c>
      <c r="I29" s="15">
        <f t="shared" si="1"/>
        <v>-1.3513349861750852E-2</v>
      </c>
      <c r="J29" s="15">
        <f t="shared" si="2"/>
        <v>2.6538861603731811E-3</v>
      </c>
      <c r="K29" s="15">
        <f t="shared" si="3"/>
        <v>1.6167236022124033E-2</v>
      </c>
    </row>
    <row r="30" spans="1:11">
      <c r="A30" s="1">
        <v>41242</v>
      </c>
      <c r="B30" s="15">
        <v>-0.15195731535590901</v>
      </c>
      <c r="C30" s="15">
        <v>-0.12798157624738599</v>
      </c>
      <c r="D30" s="15">
        <v>9.1696513946630791E-3</v>
      </c>
      <c r="E30" s="15">
        <v>0.109033591102356</v>
      </c>
      <c r="F30" s="15">
        <f t="shared" si="0"/>
        <v>-4.0433912276568978E-2</v>
      </c>
      <c r="G30" s="2">
        <v>1.9021739130434701E-4</v>
      </c>
      <c r="I30" s="15">
        <f t="shared" si="1"/>
        <v>-4.0433912276568978E-2</v>
      </c>
      <c r="J30" s="15">
        <f t="shared" si="2"/>
        <v>-5.7943445070732388E-2</v>
      </c>
      <c r="K30" s="15">
        <f t="shared" si="3"/>
        <v>-1.750953279416341E-2</v>
      </c>
    </row>
    <row r="31" spans="1:11">
      <c r="A31" s="1">
        <v>41272</v>
      </c>
      <c r="B31" s="15">
        <v>-1.36574702633851E-2</v>
      </c>
      <c r="C31" s="15">
        <v>-4.24226687364994E-2</v>
      </c>
      <c r="D31" s="15">
        <v>-6.0574963669232096E-3</v>
      </c>
      <c r="E31" s="15">
        <v>1.21878935608377E-3</v>
      </c>
      <c r="F31" s="15">
        <f t="shared" si="0"/>
        <v>-1.5229711502680984E-2</v>
      </c>
      <c r="G31" s="2">
        <v>2.47068199931685E-4</v>
      </c>
      <c r="I31" s="15">
        <f t="shared" si="1"/>
        <v>-1.5229711502680984E-2</v>
      </c>
      <c r="J31" s="15">
        <f t="shared" si="2"/>
        <v>-2.0668302949444668E-2</v>
      </c>
      <c r="K31" s="15">
        <f t="shared" si="3"/>
        <v>-5.4385914467636846E-3</v>
      </c>
    </row>
    <row r="32" spans="1:11">
      <c r="A32" s="1">
        <v>41304</v>
      </c>
      <c r="B32" s="15">
        <v>0.113541896606427</v>
      </c>
      <c r="C32" s="15">
        <v>0.179065657640302</v>
      </c>
      <c r="D32" s="15">
        <v>5.9294030998120202E-2</v>
      </c>
      <c r="E32" s="15">
        <v>8.8456094776707198E-2</v>
      </c>
      <c r="F32" s="15">
        <f t="shared" si="0"/>
        <v>0.1100894200053891</v>
      </c>
      <c r="G32" s="55">
        <v>4.13051E-4</v>
      </c>
      <c r="I32" s="15">
        <f t="shared" si="1"/>
        <v>0.1100894200053891</v>
      </c>
      <c r="J32" s="15">
        <f t="shared" si="2"/>
        <v>0.12388466753237168</v>
      </c>
      <c r="K32" s="15">
        <f t="shared" si="3"/>
        <v>1.3795247526982579E-2</v>
      </c>
    </row>
    <row r="33" spans="1:11">
      <c r="A33" s="1">
        <v>41332</v>
      </c>
      <c r="B33" s="15">
        <v>0.122357675263806</v>
      </c>
      <c r="C33" s="15">
        <v>0.20149667274115801</v>
      </c>
      <c r="D33" s="15">
        <v>3.67973151144671E-2</v>
      </c>
      <c r="E33" s="15">
        <v>6.2068925924737103E-2</v>
      </c>
      <c r="F33" s="15">
        <f t="shared" si="0"/>
        <v>0.10568014726104207</v>
      </c>
      <c r="G33" s="55">
        <v>3.9621099999999999E-4</v>
      </c>
      <c r="I33" s="15">
        <f t="shared" si="1"/>
        <v>0.10568014726104207</v>
      </c>
      <c r="J33" s="15">
        <f t="shared" si="2"/>
        <v>0.12484345235706526</v>
      </c>
      <c r="K33" s="15">
        <f t="shared" si="3"/>
        <v>1.9163305096023195E-2</v>
      </c>
    </row>
    <row r="34" spans="1:11">
      <c r="A34" s="1">
        <v>41363</v>
      </c>
      <c r="B34" s="15">
        <v>0.104808329164451</v>
      </c>
      <c r="C34" s="15">
        <v>-7.2107681720571595E-2</v>
      </c>
      <c r="D34" s="15">
        <v>3.4913260115606998E-2</v>
      </c>
      <c r="E34" s="15">
        <v>4.0189540189540199E-2</v>
      </c>
      <c r="F34" s="15">
        <f t="shared" si="0"/>
        <v>2.695086193725665E-2</v>
      </c>
      <c r="G34" s="55">
        <v>3.6269399999999999E-4</v>
      </c>
      <c r="I34" s="15">
        <f t="shared" si="1"/>
        <v>2.695086193725665E-2</v>
      </c>
      <c r="J34" s="15">
        <f t="shared" si="2"/>
        <v>7.1391532056910029E-3</v>
      </c>
      <c r="K34" s="15">
        <f t="shared" si="3"/>
        <v>-1.9811708731565646E-2</v>
      </c>
    </row>
    <row r="35" spans="1:11">
      <c r="A35" s="1">
        <v>41391</v>
      </c>
      <c r="B35" s="15">
        <v>4.1666645899787601E-2</v>
      </c>
      <c r="C35" s="15">
        <v>-6.5528116197183101E-2</v>
      </c>
      <c r="D35" s="15">
        <v>5.9204682502390797E-2</v>
      </c>
      <c r="E35" s="15">
        <v>6.0401518474776303E-2</v>
      </c>
      <c r="F35" s="15">
        <f t="shared" si="0"/>
        <v>2.39361826699429E-2</v>
      </c>
      <c r="G35" s="55">
        <v>5.8449999999999995E-4</v>
      </c>
      <c r="I35" s="15">
        <f t="shared" si="1"/>
        <v>2.39361826699429E-2</v>
      </c>
      <c r="J35" s="15">
        <f t="shared" si="2"/>
        <v>6.0433228965177024E-3</v>
      </c>
      <c r="K35" s="15">
        <f t="shared" si="3"/>
        <v>-1.7892859773425196E-2</v>
      </c>
    </row>
    <row r="36" spans="1:11">
      <c r="A36" s="1">
        <v>41424</v>
      </c>
      <c r="B36" s="15">
        <v>0.121148363636363</v>
      </c>
      <c r="C36" s="15">
        <v>7.3062221274602296E-2</v>
      </c>
      <c r="D36" s="15">
        <v>0.19521200168740699</v>
      </c>
      <c r="E36" s="15">
        <v>0.22100239366753799</v>
      </c>
      <c r="F36" s="15">
        <f t="shared" si="0"/>
        <v>0.15260624506647757</v>
      </c>
      <c r="G36" s="55">
        <v>5.2385400000000003E-4</v>
      </c>
      <c r="I36" s="15">
        <f t="shared" si="1"/>
        <v>0.15260624506647757</v>
      </c>
      <c r="J36" s="15">
        <f t="shared" si="2"/>
        <v>0.13669744030810252</v>
      </c>
      <c r="K36" s="15">
        <f t="shared" si="3"/>
        <v>-1.5908804758375056E-2</v>
      </c>
    </row>
    <row r="37" spans="1:11">
      <c r="A37" s="1">
        <v>41454</v>
      </c>
      <c r="B37" s="15">
        <v>-1.7241412863044901E-2</v>
      </c>
      <c r="C37" s="15">
        <v>5.1668670159059099E-2</v>
      </c>
      <c r="D37" s="15">
        <v>-6.7149041433882603E-2</v>
      </c>
      <c r="E37" s="15">
        <v>-4.3784220583378101E-2</v>
      </c>
      <c r="F37" s="15">
        <f t="shared" si="0"/>
        <v>-1.9126501180311624E-2</v>
      </c>
      <c r="G37" s="55">
        <v>6.6350700000000003E-4</v>
      </c>
      <c r="I37" s="15">
        <f t="shared" si="1"/>
        <v>-1.9126501180311624E-2</v>
      </c>
      <c r="J37" s="15">
        <f t="shared" si="2"/>
        <v>-4.96746691243748E-3</v>
      </c>
      <c r="K37" s="15">
        <f t="shared" si="3"/>
        <v>1.4159034267874144E-2</v>
      </c>
    </row>
    <row r="38" spans="1:11">
      <c r="A38" s="1">
        <v>41485</v>
      </c>
      <c r="B38" s="15">
        <v>7.3128348097967602E-2</v>
      </c>
      <c r="C38" s="15">
        <v>3.54255856796463E-2</v>
      </c>
      <c r="D38" s="15">
        <v>0.10423757941508099</v>
      </c>
      <c r="E38" s="15">
        <v>8.3129003126015205E-2</v>
      </c>
      <c r="F38" s="15">
        <f t="shared" si="0"/>
        <v>7.398012907967752E-2</v>
      </c>
      <c r="G38" s="55">
        <v>7.9783999999999996E-4</v>
      </c>
      <c r="I38" s="15">
        <f t="shared" si="1"/>
        <v>7.398012907967752E-2</v>
      </c>
      <c r="J38" s="15">
        <f t="shared" si="2"/>
        <v>6.6269220399671286E-2</v>
      </c>
      <c r="K38" s="15">
        <f t="shared" si="3"/>
        <v>-7.7109086800062343E-3</v>
      </c>
    </row>
    <row r="39" spans="1:11">
      <c r="A39" s="1">
        <v>41516</v>
      </c>
      <c r="B39" s="15">
        <v>6.1184834269744699E-2</v>
      </c>
      <c r="C39" s="15">
        <v>-0.113852490085622</v>
      </c>
      <c r="D39" s="15">
        <v>4.0774388226389999E-2</v>
      </c>
      <c r="E39" s="15">
        <v>0.230372386875727</v>
      </c>
      <c r="F39" s="15">
        <f t="shared" si="0"/>
        <v>5.4619779821559925E-2</v>
      </c>
      <c r="G39" s="55">
        <v>8.2511399999999995E-4</v>
      </c>
      <c r="I39" s="15">
        <f t="shared" si="1"/>
        <v>5.4619779821559925E-2</v>
      </c>
      <c r="J39" s="15">
        <f t="shared" si="2"/>
        <v>2.0925325840123549E-2</v>
      </c>
      <c r="K39" s="15">
        <f t="shared" si="3"/>
        <v>-3.3694453981436376E-2</v>
      </c>
    </row>
    <row r="40" spans="1:11">
      <c r="A40" s="1">
        <v>41545</v>
      </c>
      <c r="B40" s="15">
        <v>-1.6015802807071301E-2</v>
      </c>
      <c r="C40" s="15">
        <v>-4.6481361137547902E-2</v>
      </c>
      <c r="D40" s="15">
        <v>-2.8312773662551399E-2</v>
      </c>
      <c r="E40" s="15">
        <v>4.5403435469849103E-2</v>
      </c>
      <c r="F40" s="15">
        <f t="shared" si="0"/>
        <v>-1.1351625534330374E-2</v>
      </c>
      <c r="G40" s="55">
        <v>7.8877999999999999E-4</v>
      </c>
      <c r="I40" s="15">
        <f t="shared" si="1"/>
        <v>-1.1351625534330374E-2</v>
      </c>
      <c r="J40" s="15">
        <f t="shared" si="2"/>
        <v>-1.8377572654973882E-2</v>
      </c>
      <c r="K40" s="15">
        <f t="shared" si="3"/>
        <v>-7.0259471206435085E-3</v>
      </c>
    </row>
    <row r="41" spans="1:11">
      <c r="A41" s="1">
        <v>41577</v>
      </c>
      <c r="B41" s="15">
        <v>1.5191380710234599E-2</v>
      </c>
      <c r="C41" s="15">
        <v>6.8647947906811099E-2</v>
      </c>
      <c r="D41" s="15">
        <v>1.30442150270069E-2</v>
      </c>
      <c r="E41" s="15">
        <v>8.2363286245819595E-2</v>
      </c>
      <c r="F41" s="15">
        <f t="shared" si="0"/>
        <v>4.4811707472468043E-2</v>
      </c>
      <c r="G41" s="55">
        <v>7.7973400000000003E-4</v>
      </c>
      <c r="I41" s="15">
        <f t="shared" si="1"/>
        <v>4.4811707472468043E-2</v>
      </c>
      <c r="J41" s="15">
        <f t="shared" si="2"/>
        <v>4.9578955559336661E-2</v>
      </c>
      <c r="K41" s="15">
        <f t="shared" si="3"/>
        <v>4.7672480868686182E-3</v>
      </c>
    </row>
    <row r="42" spans="1:11">
      <c r="A42" s="1">
        <v>41607</v>
      </c>
      <c r="B42" s="15">
        <v>-4.7182716359221701E-2</v>
      </c>
      <c r="C42" s="15">
        <v>0.16596898354995401</v>
      </c>
      <c r="D42" s="15">
        <v>-0.110785955029865</v>
      </c>
      <c r="E42" s="15">
        <v>8.1337639740848202E-3</v>
      </c>
      <c r="F42" s="15">
        <f t="shared" si="0"/>
        <v>4.0335190337380342E-3</v>
      </c>
      <c r="G42" s="55">
        <v>8.8007700000000005E-4</v>
      </c>
      <c r="I42" s="15">
        <f t="shared" si="1"/>
        <v>4.0335190337380342E-3</v>
      </c>
      <c r="J42" s="15">
        <f t="shared" si="2"/>
        <v>3.6420611936981227E-2</v>
      </c>
      <c r="K42" s="15">
        <f t="shared" si="3"/>
        <v>3.2387092903243195E-2</v>
      </c>
    </row>
    <row r="43" spans="1:11">
      <c r="A43" s="1">
        <v>41636</v>
      </c>
      <c r="B43" s="15">
        <v>1.47435572197578E-2</v>
      </c>
      <c r="C43" s="15">
        <v>4.7475993161776003E-2</v>
      </c>
      <c r="D43" s="15">
        <v>-1.2129760453780201E-2</v>
      </c>
      <c r="E43" s="15">
        <v>-1.5867359501550101E-2</v>
      </c>
      <c r="F43" s="15">
        <f t="shared" si="0"/>
        <v>8.5556076065508753E-3</v>
      </c>
      <c r="G43" s="55">
        <v>9.4491099999999999E-4</v>
      </c>
      <c r="I43" s="15">
        <f t="shared" si="1"/>
        <v>8.5556076065508753E-3</v>
      </c>
      <c r="J43" s="15">
        <f t="shared" si="2"/>
        <v>1.63396847175959E-2</v>
      </c>
      <c r="K43" s="15">
        <f t="shared" si="3"/>
        <v>7.7840771110450242E-3</v>
      </c>
    </row>
    <row r="44" spans="1:11">
      <c r="A44" s="1">
        <v>41669</v>
      </c>
      <c r="B44" s="15">
        <v>0.170720104232469</v>
      </c>
      <c r="C44" s="15">
        <v>-7.2188258888579604E-2</v>
      </c>
      <c r="D44" s="15">
        <v>0.20845232645064299</v>
      </c>
      <c r="E44" s="15">
        <v>0.15385315315952899</v>
      </c>
      <c r="F44" s="15">
        <f t="shared" si="0"/>
        <v>0.11520933123851534</v>
      </c>
      <c r="G44" s="2">
        <v>1.0960424115398801E-3</v>
      </c>
      <c r="I44" s="15">
        <f t="shared" si="1"/>
        <v>0.11520933123851534</v>
      </c>
      <c r="J44" s="15">
        <f t="shared" si="2"/>
        <v>7.7729813213096355E-2</v>
      </c>
      <c r="K44" s="15">
        <f t="shared" si="3"/>
        <v>-3.747951802541899E-2</v>
      </c>
    </row>
    <row r="45" spans="1:11">
      <c r="A45" s="1">
        <v>41697</v>
      </c>
      <c r="B45" s="15">
        <v>-1.3489815735457201E-2</v>
      </c>
      <c r="C45" s="15">
        <v>-8.3739373016749497E-2</v>
      </c>
      <c r="D45" s="15">
        <v>-2.5677394657194302E-2</v>
      </c>
      <c r="E45" s="15">
        <v>-0.116838992923959</v>
      </c>
      <c r="F45" s="15">
        <f t="shared" si="0"/>
        <v>-5.9936394083339999E-2</v>
      </c>
      <c r="G45" s="2">
        <v>1.2121589634981899E-3</v>
      </c>
      <c r="I45" s="15">
        <f t="shared" si="1"/>
        <v>-5.9936394083339999E-2</v>
      </c>
      <c r="J45" s="15">
        <f t="shared" si="2"/>
        <v>-6.4696989870021898E-2</v>
      </c>
      <c r="K45" s="15">
        <f t="shared" si="3"/>
        <v>-4.7605957866818996E-3</v>
      </c>
    </row>
    <row r="46" spans="1:11">
      <c r="A46" s="1">
        <v>41726</v>
      </c>
      <c r="B46" s="15">
        <v>-7.7533135957875199E-2</v>
      </c>
      <c r="C46" s="15">
        <v>-4.54158265328874E-2</v>
      </c>
      <c r="D46" s="15">
        <v>-1.9886815356996299E-2</v>
      </c>
      <c r="E46" s="15">
        <v>-0.12594979549611601</v>
      </c>
      <c r="F46" s="15">
        <f t="shared" si="0"/>
        <v>-6.7196393335968718E-2</v>
      </c>
      <c r="G46" s="2">
        <v>1.2909296198720299E-3</v>
      </c>
      <c r="I46" s="15">
        <f t="shared" si="1"/>
        <v>-6.7196393335968718E-2</v>
      </c>
      <c r="J46" s="15">
        <f t="shared" si="2"/>
        <v>-6.2840279975352464E-2</v>
      </c>
      <c r="K46" s="15">
        <f t="shared" si="3"/>
        <v>4.3561133606162539E-3</v>
      </c>
    </row>
    <row r="47" spans="1:11">
      <c r="A47" s="1">
        <v>41758</v>
      </c>
      <c r="B47" s="15">
        <v>-2.13864457431629E-2</v>
      </c>
      <c r="C47" s="15">
        <v>-8.3169894619820994E-2</v>
      </c>
      <c r="D47" s="15">
        <v>-2.68887747754664E-2</v>
      </c>
      <c r="E47" s="15">
        <v>1.9738187970322799E-2</v>
      </c>
      <c r="F47" s="15">
        <f t="shared" si="0"/>
        <v>-2.792673179203187E-2</v>
      </c>
      <c r="G47" s="2">
        <v>1.47227533460803E-3</v>
      </c>
      <c r="I47" s="15">
        <f t="shared" si="1"/>
        <v>-2.792673179203187E-2</v>
      </c>
      <c r="J47" s="15">
        <f t="shared" si="2"/>
        <v>-3.8975364357589706E-2</v>
      </c>
      <c r="K47" s="15">
        <f t="shared" si="3"/>
        <v>-1.1048632565557836E-2</v>
      </c>
    </row>
    <row r="48" spans="1:11">
      <c r="A48" s="1">
        <v>41789</v>
      </c>
      <c r="B48" s="15">
        <v>6.8726543141719401E-2</v>
      </c>
      <c r="C48" s="15">
        <v>-0.11183723972902</v>
      </c>
      <c r="D48" s="15">
        <v>0.10959485227339701</v>
      </c>
      <c r="E48" s="15">
        <v>0.12405980467415299</v>
      </c>
      <c r="F48" s="15">
        <f t="shared" si="0"/>
        <v>4.763599009006235E-2</v>
      </c>
      <c r="G48" s="2">
        <v>1.47227533460803E-3</v>
      </c>
      <c r="I48" s="15">
        <f t="shared" si="1"/>
        <v>4.763599009006235E-2</v>
      </c>
      <c r="J48" s="15">
        <f t="shared" si="2"/>
        <v>1.5741344126245876E-2</v>
      </c>
      <c r="K48" s="15">
        <f t="shared" si="3"/>
        <v>-3.189464596381647E-2</v>
      </c>
    </row>
    <row r="49" spans="1:11">
      <c r="A49" s="1">
        <v>41818</v>
      </c>
      <c r="B49" s="15">
        <v>7.6293832954796997E-2</v>
      </c>
      <c r="C49" s="15">
        <v>0.105534851285303</v>
      </c>
      <c r="D49" s="15">
        <v>7.7228627996986196E-2</v>
      </c>
      <c r="E49" s="15">
        <v>5.6031396216427602E-2</v>
      </c>
      <c r="F49" s="15">
        <f t="shared" si="0"/>
        <v>7.8772177113378458E-2</v>
      </c>
      <c r="G49" s="2">
        <v>1.5236875800255999E-3</v>
      </c>
      <c r="I49" s="15">
        <f t="shared" si="1"/>
        <v>7.8772177113378458E-2</v>
      </c>
      <c r="J49" s="15">
        <f t="shared" si="2"/>
        <v>8.4124711947763359E-2</v>
      </c>
      <c r="K49" s="15">
        <f t="shared" si="3"/>
        <v>5.3525348343849005E-3</v>
      </c>
    </row>
    <row r="50" spans="1:11">
      <c r="A50" s="1">
        <v>41850</v>
      </c>
      <c r="B50" s="15">
        <v>-3.7997929769392001E-2</v>
      </c>
      <c r="C50" s="15">
        <v>2.1094716595517499E-2</v>
      </c>
      <c r="D50" s="15">
        <v>-8.7008960799632301E-2</v>
      </c>
      <c r="E50" s="15">
        <v>-4.51166268577506E-2</v>
      </c>
      <c r="F50" s="15">
        <f t="shared" si="0"/>
        <v>-3.7257200207814353E-2</v>
      </c>
      <c r="G50" s="2">
        <v>1.7019893381874901E-3</v>
      </c>
      <c r="I50" s="15">
        <f t="shared" si="1"/>
        <v>-3.7257200207814353E-2</v>
      </c>
      <c r="J50" s="15">
        <f t="shared" si="2"/>
        <v>-2.5586816847147982E-2</v>
      </c>
      <c r="K50" s="15">
        <f t="shared" si="3"/>
        <v>1.1670383360666371E-2</v>
      </c>
    </row>
    <row r="51" spans="1:11">
      <c r="A51" s="1">
        <v>41881</v>
      </c>
      <c r="B51" s="15">
        <v>-1.79787528732974E-2</v>
      </c>
      <c r="C51" s="15">
        <v>-0.233682143410852</v>
      </c>
      <c r="D51" s="15">
        <v>-0.11914559999999901</v>
      </c>
      <c r="E51" s="15">
        <v>0.181737759203798</v>
      </c>
      <c r="F51" s="15">
        <f t="shared" si="0"/>
        <v>-4.7267184270087602E-2</v>
      </c>
      <c r="G51" s="2">
        <v>1.73402868318122E-3</v>
      </c>
      <c r="I51" s="15">
        <f t="shared" si="1"/>
        <v>-4.7267184270087602E-2</v>
      </c>
      <c r="J51" s="15">
        <f t="shared" si="2"/>
        <v>-8.4550176098240476E-2</v>
      </c>
      <c r="K51" s="15">
        <f t="shared" si="3"/>
        <v>-3.7282991828152874E-2</v>
      </c>
    </row>
    <row r="52" spans="1:11">
      <c r="A52" s="1">
        <v>41909</v>
      </c>
      <c r="B52" s="15">
        <v>0.15381420676322299</v>
      </c>
      <c r="C52" s="15">
        <v>0.15091766813017399</v>
      </c>
      <c r="D52" s="15">
        <v>6.2428302180467202E-2</v>
      </c>
      <c r="E52" s="15">
        <v>3.31686662648795E-2</v>
      </c>
      <c r="F52" s="15">
        <f t="shared" si="0"/>
        <v>0.10008221083468592</v>
      </c>
      <c r="G52" s="2">
        <v>1.8094738223330201E-3</v>
      </c>
      <c r="I52" s="15">
        <f t="shared" si="1"/>
        <v>0.10008221083468592</v>
      </c>
      <c r="J52" s="15">
        <f t="shared" si="2"/>
        <v>0.11024930229378355</v>
      </c>
      <c r="K52" s="15">
        <f t="shared" si="3"/>
        <v>1.0167091459097624E-2</v>
      </c>
    </row>
    <row r="53" spans="1:11">
      <c r="A53" s="1">
        <v>41942</v>
      </c>
      <c r="B53" s="15">
        <v>-0.169972336339167</v>
      </c>
      <c r="C53" s="15">
        <v>-8.9375658269441299E-2</v>
      </c>
      <c r="D53" s="15">
        <v>-0.244916553156553</v>
      </c>
      <c r="E53" s="15">
        <v>-6.6091815852894503E-2</v>
      </c>
      <c r="F53" s="15">
        <f t="shared" si="0"/>
        <v>-0.14258909090451394</v>
      </c>
      <c r="G53" s="2">
        <v>1.9410906196099199E-3</v>
      </c>
      <c r="I53" s="15">
        <f t="shared" si="1"/>
        <v>-0.14258909090451394</v>
      </c>
      <c r="J53" s="15">
        <f t="shared" si="2"/>
        <v>-0.13194640437749944</v>
      </c>
      <c r="K53" s="15">
        <f t="shared" si="3"/>
        <v>1.06426865270145E-2</v>
      </c>
    </row>
    <row r="54" spans="1:11">
      <c r="A54" s="1">
        <v>41972</v>
      </c>
      <c r="B54" s="15">
        <v>-0.27762492638848901</v>
      </c>
      <c r="C54" s="15">
        <v>9.2470533775206906E-2</v>
      </c>
      <c r="D54" s="15">
        <v>-7.5950788878298897E-2</v>
      </c>
      <c r="E54" s="15">
        <v>-0.14898733409588399</v>
      </c>
      <c r="F54" s="15">
        <f t="shared" si="0"/>
        <v>-0.10252312889686625</v>
      </c>
      <c r="G54" s="2">
        <v>2.0304772089292798E-3</v>
      </c>
      <c r="I54" s="15">
        <f t="shared" si="1"/>
        <v>-0.10252312889686625</v>
      </c>
      <c r="J54" s="15">
        <f t="shared" si="2"/>
        <v>-6.3524396362451621E-2</v>
      </c>
      <c r="K54" s="15">
        <f t="shared" si="3"/>
        <v>3.8998732534414632E-2</v>
      </c>
    </row>
    <row r="55" spans="1:11">
      <c r="A55" s="1">
        <v>42003</v>
      </c>
      <c r="B55" s="15">
        <v>-6.6359280947087401E-2</v>
      </c>
      <c r="C55" s="15">
        <v>3.4502407517946497E-2</v>
      </c>
      <c r="D55" s="15">
        <v>-6.1377375996193501E-2</v>
      </c>
      <c r="E55" s="15">
        <v>-6.1365880575651899E-2</v>
      </c>
      <c r="F55" s="15">
        <f t="shared" si="0"/>
        <v>-3.8650032500246574E-2</v>
      </c>
      <c r="G55" s="2">
        <v>2.1212121212121201E-3</v>
      </c>
      <c r="I55" s="15">
        <f t="shared" si="1"/>
        <v>-3.8650032500246574E-2</v>
      </c>
      <c r="J55" s="15">
        <f t="shared" si="2"/>
        <v>-2.4019544496607963E-2</v>
      </c>
      <c r="K55" s="15">
        <f t="shared" si="3"/>
        <v>1.4630488003638611E-2</v>
      </c>
    </row>
    <row r="56" spans="1:11">
      <c r="A56" s="1">
        <v>42034</v>
      </c>
      <c r="B56" s="15">
        <v>1.43869873308997E-2</v>
      </c>
      <c r="C56" s="15">
        <v>7.0357302764951099E-2</v>
      </c>
      <c r="D56" s="15">
        <v>0.16892654067030499</v>
      </c>
      <c r="E56" s="15">
        <v>2.5354584702650299E-2</v>
      </c>
      <c r="F56" s="15">
        <f t="shared" si="0"/>
        <v>6.9756353867201526E-2</v>
      </c>
      <c r="G56" s="2">
        <v>2.2482308111050598E-3</v>
      </c>
      <c r="I56" s="15">
        <f t="shared" si="1"/>
        <v>6.9756353867201526E-2</v>
      </c>
      <c r="J56" s="15">
        <f t="shared" si="2"/>
        <v>6.9876543646751443E-2</v>
      </c>
      <c r="K56" s="15">
        <f t="shared" si="3"/>
        <v>1.2018977954991739E-4</v>
      </c>
    </row>
    <row r="57" spans="1:11">
      <c r="A57" s="1">
        <v>42062</v>
      </c>
      <c r="B57" s="15">
        <v>-0.107959415412387</v>
      </c>
      <c r="C57" s="15">
        <v>-0.113960198458783</v>
      </c>
      <c r="D57" s="15">
        <v>3.8378155645666802E-2</v>
      </c>
      <c r="E57" s="15">
        <v>-0.17328280890716699</v>
      </c>
      <c r="F57" s="15">
        <f t="shared" si="0"/>
        <v>-8.9206066783167545E-2</v>
      </c>
      <c r="G57" s="2">
        <v>2.25991009399264E-3</v>
      </c>
      <c r="I57" s="15">
        <f t="shared" si="1"/>
        <v>-8.9206066783167545E-2</v>
      </c>
      <c r="J57" s="15">
        <f t="shared" si="2"/>
        <v>-9.4156893118290647E-2</v>
      </c>
      <c r="K57" s="15">
        <f t="shared" si="3"/>
        <v>-4.9508263351231013E-3</v>
      </c>
    </row>
    <row r="58" spans="1:11">
      <c r="A58" s="1">
        <v>42091</v>
      </c>
      <c r="B58" s="15">
        <v>8.0446133850169396E-2</v>
      </c>
      <c r="C58" s="15">
        <v>8.1668291005876498E-2</v>
      </c>
      <c r="D58" s="15">
        <v>6.1077448956749297E-2</v>
      </c>
      <c r="E58" s="15">
        <v>8.1480642184720495E-2</v>
      </c>
      <c r="F58" s="15">
        <f t="shared" si="0"/>
        <v>7.6168128999378915E-2</v>
      </c>
      <c r="G58" s="2">
        <v>2.29508196721311E-3</v>
      </c>
      <c r="I58" s="15">
        <f t="shared" si="1"/>
        <v>7.6168128999378915E-2</v>
      </c>
      <c r="J58" s="15">
        <f t="shared" si="2"/>
        <v>7.7268161400678437E-2</v>
      </c>
      <c r="K58" s="15">
        <f t="shared" si="3"/>
        <v>1.1000324012995222E-3</v>
      </c>
    </row>
    <row r="59" spans="1:11">
      <c r="A59" s="1">
        <v>42123</v>
      </c>
      <c r="B59" s="15">
        <v>5.03267984820654E-2</v>
      </c>
      <c r="C59" s="15">
        <v>0.17608400168747901</v>
      </c>
      <c r="D59" s="15">
        <v>-6.8680460553393496E-2</v>
      </c>
      <c r="E59" s="15">
        <v>2.6067594805523099E-2</v>
      </c>
      <c r="F59" s="15">
        <f t="shared" si="0"/>
        <v>4.5949483605418499E-2</v>
      </c>
      <c r="G59" s="2">
        <v>2.2716116716662098E-3</v>
      </c>
      <c r="I59" s="15">
        <f t="shared" si="1"/>
        <v>4.5949483605418499E-2</v>
      </c>
      <c r="J59" s="15">
        <f t="shared" si="2"/>
        <v>7.1976387221830584E-2</v>
      </c>
      <c r="K59" s="15">
        <f t="shared" si="3"/>
        <v>2.6026903616412085E-2</v>
      </c>
    </row>
    <row r="60" spans="1:11">
      <c r="A60" s="1">
        <v>42154</v>
      </c>
      <c r="B60" s="15">
        <v>-0.100394111188427</v>
      </c>
      <c r="C60" s="15">
        <v>-0.126243271803477</v>
      </c>
      <c r="D60" s="15">
        <v>-1.65874270134721E-2</v>
      </c>
      <c r="E60" s="15">
        <v>0.116905915172861</v>
      </c>
      <c r="F60" s="15">
        <f t="shared" si="0"/>
        <v>-3.1579723708128775E-2</v>
      </c>
      <c r="G60" s="2">
        <v>2.2716116716662098E-3</v>
      </c>
      <c r="I60" s="15">
        <f t="shared" si="1"/>
        <v>-3.1579723708128775E-2</v>
      </c>
      <c r="J60" s="15">
        <f t="shared" si="2"/>
        <v>-5.0512433327198403E-2</v>
      </c>
      <c r="K60" s="15">
        <f t="shared" si="3"/>
        <v>-1.8932709619069628E-2</v>
      </c>
    </row>
    <row r="61" spans="1:11">
      <c r="A61" s="1">
        <v>42182</v>
      </c>
      <c r="B61" s="15">
        <v>8.8309939781183705E-2</v>
      </c>
      <c r="C61" s="15">
        <v>2.59526793985052E-2</v>
      </c>
      <c r="D61" s="15">
        <v>8.78813904623678E-2</v>
      </c>
      <c r="E61" s="15">
        <v>4.9745694872941303E-2</v>
      </c>
      <c r="F61" s="15">
        <f t="shared" si="0"/>
        <v>6.2972426128749495E-2</v>
      </c>
      <c r="G61" s="2">
        <v>2.20173535791757E-3</v>
      </c>
      <c r="I61" s="15">
        <f t="shared" si="1"/>
        <v>6.2972426128749495E-2</v>
      </c>
      <c r="J61" s="15">
        <f t="shared" si="2"/>
        <v>5.5568476782700646E-2</v>
      </c>
      <c r="K61" s="15">
        <f t="shared" si="3"/>
        <v>-7.4039493460488492E-3</v>
      </c>
    </row>
    <row r="62" spans="1:11">
      <c r="A62" s="1">
        <v>42215</v>
      </c>
      <c r="B62" s="15">
        <v>3.26271391392556E-2</v>
      </c>
      <c r="C62" s="15">
        <v>-9.7548565546411795E-2</v>
      </c>
      <c r="D62" s="15">
        <v>-8.6509992365988594E-2</v>
      </c>
      <c r="E62" s="15">
        <v>7.9186101287642904E-2</v>
      </c>
      <c r="F62" s="15">
        <f t="shared" si="0"/>
        <v>-1.8061329371375476E-2</v>
      </c>
      <c r="G62" s="2">
        <v>1.9856172592888498E-3</v>
      </c>
      <c r="I62" s="15">
        <f t="shared" si="1"/>
        <v>-1.8061329371375476E-2</v>
      </c>
      <c r="J62" s="15">
        <f t="shared" si="2"/>
        <v>-3.3958776606382732E-2</v>
      </c>
      <c r="K62" s="15">
        <f t="shared" si="3"/>
        <v>-1.5897447235007255E-2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43" sqref="F43"/>
    </sheetView>
  </sheetViews>
  <sheetFormatPr baseColWidth="10" defaultRowHeight="15" x14ac:dyDescent="0"/>
  <cols>
    <col min="1" max="1" width="14.6640625" customWidth="1"/>
    <col min="5" max="5" width="9.83203125" customWidth="1"/>
  </cols>
  <sheetData>
    <row r="1" spans="1:8" ht="25">
      <c r="A1" s="14" t="s">
        <v>22</v>
      </c>
    </row>
    <row r="4" spans="1:8" ht="16" thickBot="1">
      <c r="B4" s="7" t="s">
        <v>14</v>
      </c>
      <c r="C4" s="7" t="s">
        <v>7</v>
      </c>
      <c r="D4" s="7" t="s">
        <v>8</v>
      </c>
      <c r="E4" s="7" t="s">
        <v>9</v>
      </c>
      <c r="F4" s="7" t="s">
        <v>10</v>
      </c>
      <c r="H4" s="6" t="s">
        <v>21</v>
      </c>
    </row>
    <row r="5" spans="1:8" ht="16" thickTop="1">
      <c r="B5" s="10" t="s">
        <v>15</v>
      </c>
      <c r="C5" s="11">
        <f t="array" ref="C5:C10">FREQUENCY('All Returns'!B2:B62, 'Histogram of Frequencies'!H5:H9)</f>
        <v>7</v>
      </c>
      <c r="D5" s="10">
        <f t="array" ref="D5:D10">FREQUENCY('All Returns'!C2:C62, 'Histogram of Frequencies'!H5:H9)</f>
        <v>9</v>
      </c>
      <c r="E5" s="10">
        <f t="array" ref="E5:E10">FREQUENCY('All Returns'!D2:D62, 'Histogram of Frequencies'!H5:H9)</f>
        <v>3</v>
      </c>
      <c r="F5" s="10">
        <f t="array" ref="F5:F10">FREQUENCY('All Returns'!E2:E62, 'Histogram of Frequencies'!H5:H9)</f>
        <v>5</v>
      </c>
      <c r="H5" s="5">
        <v>-0.1</v>
      </c>
    </row>
    <row r="6" spans="1:8">
      <c r="B6" s="4" t="s">
        <v>16</v>
      </c>
      <c r="C6" s="8">
        <v>4</v>
      </c>
      <c r="D6" s="9">
        <v>9</v>
      </c>
      <c r="E6" s="9">
        <v>13</v>
      </c>
      <c r="F6" s="9">
        <v>5</v>
      </c>
      <c r="H6" s="4">
        <v>-0.05</v>
      </c>
    </row>
    <row r="7" spans="1:8">
      <c r="B7" s="12" t="s">
        <v>18</v>
      </c>
      <c r="C7" s="13">
        <v>13</v>
      </c>
      <c r="D7" s="12">
        <v>6</v>
      </c>
      <c r="E7" s="12">
        <v>10</v>
      </c>
      <c r="F7" s="12">
        <v>10</v>
      </c>
      <c r="H7" s="4">
        <v>0</v>
      </c>
    </row>
    <row r="8" spans="1:8">
      <c r="B8" s="4" t="s">
        <v>19</v>
      </c>
      <c r="C8" s="8">
        <v>12</v>
      </c>
      <c r="D8" s="9">
        <v>9</v>
      </c>
      <c r="E8" s="9">
        <v>12</v>
      </c>
      <c r="F8" s="9">
        <v>16</v>
      </c>
      <c r="H8" s="4">
        <v>0.05</v>
      </c>
    </row>
    <row r="9" spans="1:8">
      <c r="B9" s="12" t="s">
        <v>20</v>
      </c>
      <c r="C9" s="13">
        <v>14</v>
      </c>
      <c r="D9" s="12">
        <v>13</v>
      </c>
      <c r="E9" s="12">
        <v>14</v>
      </c>
      <c r="F9" s="12">
        <v>13</v>
      </c>
      <c r="H9" s="4">
        <v>0.1</v>
      </c>
    </row>
    <row r="10" spans="1:8">
      <c r="B10" s="4" t="s">
        <v>17</v>
      </c>
      <c r="C10" s="8">
        <v>11</v>
      </c>
      <c r="D10" s="9">
        <v>15</v>
      </c>
      <c r="E10" s="9">
        <v>9</v>
      </c>
      <c r="F10" s="9">
        <v>12</v>
      </c>
    </row>
    <row r="11" spans="1:8">
      <c r="B11" s="12" t="s">
        <v>13</v>
      </c>
      <c r="C11" s="13">
        <f>SUM(C5:C10)</f>
        <v>61</v>
      </c>
      <c r="D11" s="12">
        <f>SUM(D5:D10)</f>
        <v>61</v>
      </c>
      <c r="E11" s="12">
        <f>SUM(E5:E10)</f>
        <v>61</v>
      </c>
      <c r="F11" s="12">
        <f>SUM(F5:F10)</f>
        <v>61</v>
      </c>
    </row>
    <row r="14" spans="1:8" ht="25">
      <c r="A14" s="14" t="s">
        <v>23</v>
      </c>
    </row>
    <row r="39" spans="1:5" ht="25">
      <c r="A39" s="14" t="s">
        <v>24</v>
      </c>
    </row>
    <row r="42" spans="1:5" ht="16" thickBot="1">
      <c r="B42" s="7" t="s">
        <v>7</v>
      </c>
      <c r="C42" s="7" t="s">
        <v>8</v>
      </c>
      <c r="D42" s="7" t="s">
        <v>9</v>
      </c>
      <c r="E42" s="7" t="s">
        <v>10</v>
      </c>
    </row>
    <row r="43" spans="1:5" ht="16" thickTop="1">
      <c r="A43" t="s">
        <v>25</v>
      </c>
      <c r="B43" s="15">
        <f>_xlfn.STDEV.P('All Returns'!B2:B62)</f>
        <v>8.5974577376173769E-2</v>
      </c>
      <c r="C43" s="15">
        <f>_xlfn.STDEV.P('All Returns'!C2:C62)</f>
        <v>0.10939529839702231</v>
      </c>
      <c r="D43" s="15">
        <f>_xlfn.STDEV.P('All Returns'!D2:D62)</f>
        <v>8.7257391721437622E-2</v>
      </c>
      <c r="E43" s="15">
        <f>_xlfn.STDEV.P('All Returns'!E2:E62)</f>
        <v>8.6595987891360388E-2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4"/>
  <sheetViews>
    <sheetView topLeftCell="A4" workbookViewId="0">
      <selection activeCell="AA17" sqref="AA17:AB17"/>
    </sheetView>
  </sheetViews>
  <sheetFormatPr baseColWidth="10" defaultRowHeight="15" x14ac:dyDescent="0"/>
  <cols>
    <col min="2" max="2" width="8.6640625" customWidth="1"/>
    <col min="3" max="3" width="9" customWidth="1"/>
    <col min="4" max="4" width="8.6640625" customWidth="1"/>
    <col min="5" max="5" width="9" customWidth="1"/>
    <col min="6" max="6" width="12.6640625" hidden="1" customWidth="1"/>
    <col min="7" max="7" width="13.1640625" hidden="1" customWidth="1"/>
    <col min="8" max="9" width="15.1640625" style="15" hidden="1" customWidth="1"/>
    <col min="10" max="10" width="14.5" hidden="1" customWidth="1"/>
    <col min="11" max="11" width="13.33203125" hidden="1" customWidth="1"/>
    <col min="12" max="12" width="10.83203125" hidden="1" customWidth="1"/>
    <col min="13" max="13" width="14.33203125" hidden="1" customWidth="1"/>
    <col min="14" max="14" width="16.5" hidden="1" customWidth="1"/>
    <col min="15" max="15" width="14.6640625" hidden="1" customWidth="1"/>
    <col min="16" max="16" width="17.5" hidden="1" customWidth="1"/>
    <col min="17" max="17" width="15" hidden="1" customWidth="1"/>
    <col min="18" max="18" width="17.6640625" hidden="1" customWidth="1"/>
    <col min="19" max="19" width="15.83203125" hidden="1" customWidth="1"/>
    <col min="21" max="21" width="12" customWidth="1"/>
    <col min="23" max="23" width="8.83203125" customWidth="1"/>
    <col min="24" max="24" width="11.5" customWidth="1"/>
    <col min="25" max="25" width="9.33203125" customWidth="1"/>
    <col min="26" max="26" width="11.83203125" customWidth="1"/>
    <col min="27" max="27" width="9.83203125" customWidth="1"/>
    <col min="28" max="28" width="12.1640625" bestFit="1" customWidth="1"/>
  </cols>
  <sheetData>
    <row r="2" spans="1:27">
      <c r="A2" s="24" t="s">
        <v>49</v>
      </c>
      <c r="B2" s="24"/>
      <c r="C2" s="24"/>
      <c r="D2" s="24"/>
      <c r="E2" s="24"/>
      <c r="F2" s="18" t="s">
        <v>32</v>
      </c>
      <c r="G2" s="18"/>
      <c r="H2" s="19"/>
      <c r="I2" s="19"/>
      <c r="J2" s="16" t="s">
        <v>47</v>
      </c>
      <c r="K2" s="16"/>
      <c r="L2" s="16"/>
      <c r="M2" s="16"/>
      <c r="N2" s="20" t="s">
        <v>48</v>
      </c>
      <c r="O2" s="20"/>
      <c r="P2" s="20"/>
      <c r="Q2" s="20"/>
      <c r="R2" s="20"/>
      <c r="S2" s="20"/>
      <c r="U2" s="16" t="s">
        <v>37</v>
      </c>
      <c r="V2" s="16"/>
      <c r="W2" s="16"/>
      <c r="X2" s="16"/>
      <c r="Y2" s="16"/>
    </row>
    <row r="3" spans="1:27">
      <c r="A3" s="21" t="s">
        <v>0</v>
      </c>
      <c r="B3" s="21" t="s">
        <v>7</v>
      </c>
      <c r="C3" s="21" t="s">
        <v>8</v>
      </c>
      <c r="D3" s="22" t="s">
        <v>9</v>
      </c>
      <c r="E3" s="21" t="s">
        <v>10</v>
      </c>
      <c r="F3" s="23" t="s">
        <v>26</v>
      </c>
      <c r="G3" s="23" t="s">
        <v>27</v>
      </c>
      <c r="H3" s="23" t="s">
        <v>35</v>
      </c>
      <c r="I3" s="23" t="s">
        <v>36</v>
      </c>
      <c r="J3" s="21" t="s">
        <v>28</v>
      </c>
      <c r="K3" s="21" t="s">
        <v>29</v>
      </c>
      <c r="L3" s="23" t="s">
        <v>39</v>
      </c>
      <c r="M3" s="23" t="s">
        <v>40</v>
      </c>
      <c r="N3" s="21" t="s">
        <v>41</v>
      </c>
      <c r="O3" s="21" t="s">
        <v>42</v>
      </c>
      <c r="P3" s="21" t="s">
        <v>43</v>
      </c>
      <c r="Q3" s="21" t="s">
        <v>44</v>
      </c>
      <c r="R3" s="21" t="s">
        <v>45</v>
      </c>
      <c r="S3" s="21" t="s">
        <v>46</v>
      </c>
      <c r="V3" t="s">
        <v>7</v>
      </c>
      <c r="W3" t="s">
        <v>8</v>
      </c>
      <c r="X3" t="s">
        <v>9</v>
      </c>
      <c r="Y3" t="s">
        <v>10</v>
      </c>
    </row>
    <row r="4" spans="1:27">
      <c r="A4" s="1">
        <v>40389</v>
      </c>
      <c r="B4" s="15">
        <v>3.5873991031343255E-3</v>
      </c>
      <c r="C4" s="15">
        <v>7.2485974987238411E-2</v>
      </c>
      <c r="D4" s="17">
        <v>-6.3284137000000004E-2</v>
      </c>
      <c r="E4" s="15">
        <v>6.2949190647436648E-3</v>
      </c>
      <c r="F4" s="15">
        <f t="shared" ref="F4:F35" si="0">B4-$V$4</f>
        <v>-1.2548590238933573E-2</v>
      </c>
      <c r="G4" s="15">
        <f>C4-$W$4</f>
        <v>4.9689159780047218E-2</v>
      </c>
      <c r="H4" s="15">
        <f t="shared" ref="H4:H35" si="1">D4-$X$4</f>
        <v>-8.2699847393442633E-2</v>
      </c>
      <c r="I4" s="15">
        <f t="shared" ref="I4:I35" si="2">E4-$Y$4</f>
        <v>-2.5749765005347126E-2</v>
      </c>
      <c r="J4">
        <f>POWER(F4, 2)</f>
        <v>1.5746711698465894E-4</v>
      </c>
      <c r="K4">
        <f>POWER(G4, 2)</f>
        <v>2.4690125996470621E-3</v>
      </c>
      <c r="L4">
        <f>POWER(H4, 2)</f>
        <v>6.8392647588987002E-3</v>
      </c>
      <c r="M4">
        <f>POWER(I4, 2)</f>
        <v>6.6305039783059951E-4</v>
      </c>
      <c r="N4">
        <f t="shared" ref="N4:N35" si="3">PRODUCT(F4,G4)</f>
        <v>-6.235289053967112E-4</v>
      </c>
      <c r="O4">
        <f>PRODUCT(F4,H4)</f>
        <v>1.0377664977626502E-3</v>
      </c>
      <c r="P4">
        <f>PRODUCT(F4,I4)</f>
        <v>3.2312324980093225E-4</v>
      </c>
      <c r="Q4">
        <f>PRODUCT(G4, H4)</f>
        <v>-4.1092859309182928E-3</v>
      </c>
      <c r="R4">
        <f>PRODUCT(G4, I4)</f>
        <v>-1.2794841876493618E-3</v>
      </c>
      <c r="S4">
        <f>PRODUCT(H4, I4)</f>
        <v>2.1295016363592168E-3</v>
      </c>
      <c r="U4" t="s">
        <v>38</v>
      </c>
      <c r="V4" s="15">
        <f>AVERAGE(B4:B64)</f>
        <v>1.6135989342067898E-2</v>
      </c>
      <c r="W4" s="15">
        <f>AVERAGE(C4:C64)</f>
        <v>2.2796815207191189E-2</v>
      </c>
      <c r="X4" s="15">
        <f>AVERAGE(D4:D64)</f>
        <v>1.9415710393442621E-2</v>
      </c>
      <c r="Y4" s="15">
        <f>AVERAGE(E4:E64)</f>
        <v>3.2044684070090791E-2</v>
      </c>
    </row>
    <row r="5" spans="1:27">
      <c r="A5" s="1">
        <v>40418</v>
      </c>
      <c r="B5" s="15">
        <v>5.1832084532264802E-2</v>
      </c>
      <c r="C5" s="15">
        <v>4.75963821085627E-2</v>
      </c>
      <c r="D5" s="17">
        <v>0.12619054299999999</v>
      </c>
      <c r="E5" s="15">
        <v>5.0491557215887398E-2</v>
      </c>
      <c r="F5" s="15">
        <f t="shared" si="0"/>
        <v>3.5696095190196904E-2</v>
      </c>
      <c r="G5" s="15">
        <f t="shared" ref="G5:G64" si="4">C5-$W$4</f>
        <v>2.4799566901371511E-2</v>
      </c>
      <c r="H5" s="15">
        <f t="shared" si="1"/>
        <v>0.10677483260655737</v>
      </c>
      <c r="I5" s="15">
        <f t="shared" si="2"/>
        <v>1.8446873145796606E-2</v>
      </c>
      <c r="J5">
        <f t="shared" ref="J5:J36" si="5">POWER(F5, 2)</f>
        <v>1.2742112118275986E-3</v>
      </c>
      <c r="K5">
        <f t="shared" ref="K5:K36" si="6">POWER(G5, 2)</f>
        <v>6.1501851849560132E-4</v>
      </c>
      <c r="L5">
        <f t="shared" ref="L5:L64" si="7">POWER(H5, 2)</f>
        <v>1.1400864878158348E-2</v>
      </c>
      <c r="M5">
        <f t="shared" ref="M5:M64" si="8">POWER(I5, 2)</f>
        <v>3.4028712885711198E-4</v>
      </c>
      <c r="N5">
        <f t="shared" si="3"/>
        <v>8.8524770078701395E-4</v>
      </c>
      <c r="O5">
        <f t="shared" ref="O5:O64" si="9">PRODUCT(F5,H5)</f>
        <v>3.8114445886410124E-3</v>
      </c>
      <c r="P5">
        <f t="shared" ref="P5:P64" si="10">PRODUCT(F5,I5)</f>
        <v>6.5848133977384267E-4</v>
      </c>
      <c r="Q5">
        <f t="shared" ref="Q5:Q64" si="11">PRODUCT(G5, H5)</f>
        <v>2.6479696046090638E-3</v>
      </c>
      <c r="R5">
        <f t="shared" ref="R5:R64" si="12">PRODUCT(G5, I5)</f>
        <v>4.574744647002965E-4</v>
      </c>
      <c r="S5">
        <f t="shared" ref="S5:S64" si="13">PRODUCT(H5, I5)</f>
        <v>1.969661792256831E-3</v>
      </c>
    </row>
    <row r="6" spans="1:27">
      <c r="A6" s="1">
        <v>40450</v>
      </c>
      <c r="B6" s="15">
        <v>-0.116822424943822</v>
      </c>
      <c r="C6" s="15">
        <v>-3.1105044326376698E-2</v>
      </c>
      <c r="D6" s="17">
        <v>-5.8932320000000003E-2</v>
      </c>
      <c r="E6" s="15">
        <v>-1.8715440238196601E-2</v>
      </c>
      <c r="F6" s="15">
        <f t="shared" si="0"/>
        <v>-0.13295841428588989</v>
      </c>
      <c r="G6" s="15">
        <f t="shared" si="4"/>
        <v>-5.3901859533567888E-2</v>
      </c>
      <c r="H6" s="15">
        <f t="shared" si="1"/>
        <v>-7.8348030393442625E-2</v>
      </c>
      <c r="I6" s="15">
        <f t="shared" si="2"/>
        <v>-5.0760124308287392E-2</v>
      </c>
      <c r="J6">
        <f t="shared" si="5"/>
        <v>1.7677939929418331E-2</v>
      </c>
      <c r="K6">
        <f t="shared" si="6"/>
        <v>2.9054104611764835E-3</v>
      </c>
      <c r="L6">
        <f t="shared" si="7"/>
        <v>6.1384138665318095E-3</v>
      </c>
      <c r="M6">
        <f t="shared" si="8"/>
        <v>2.5765902197927887E-3</v>
      </c>
      <c r="N6">
        <f t="shared" si="3"/>
        <v>7.1667057706439625E-3</v>
      </c>
      <c r="O6">
        <f t="shared" si="9"/>
        <v>1.0417029883534837E-2</v>
      </c>
      <c r="P6">
        <f t="shared" si="10"/>
        <v>6.7489856369845449E-3</v>
      </c>
      <c r="Q6">
        <f t="shared" si="11"/>
        <v>4.2231045289990521E-3</v>
      </c>
      <c r="R6">
        <f t="shared" si="12"/>
        <v>2.7360650903717519E-3</v>
      </c>
      <c r="S6">
        <f t="shared" si="13"/>
        <v>3.9769557620806268E-3</v>
      </c>
    </row>
    <row r="7" spans="1:27">
      <c r="A7" s="1">
        <v>40481</v>
      </c>
      <c r="B7" s="15">
        <v>-4.0404038460604197E-2</v>
      </c>
      <c r="C7" s="15">
        <v>0.105766945796546</v>
      </c>
      <c r="D7" s="17">
        <v>0.15051951299999999</v>
      </c>
      <c r="E7" s="15">
        <v>0.146510663198959</v>
      </c>
      <c r="F7" s="15">
        <f t="shared" si="0"/>
        <v>-5.6540027802672095E-2</v>
      </c>
      <c r="G7" s="15">
        <f t="shared" si="4"/>
        <v>8.2970130589354804E-2</v>
      </c>
      <c r="H7" s="15">
        <f t="shared" si="1"/>
        <v>0.13110380260655738</v>
      </c>
      <c r="I7" s="15">
        <f t="shared" si="2"/>
        <v>0.11446597912886822</v>
      </c>
      <c r="J7">
        <f t="shared" si="5"/>
        <v>3.1967747439269334E-3</v>
      </c>
      <c r="K7">
        <f t="shared" si="6"/>
        <v>6.8840425700145902E-3</v>
      </c>
      <c r="L7">
        <f t="shared" si="7"/>
        <v>1.7188207057899162E-2</v>
      </c>
      <c r="M7">
        <f t="shared" si="8"/>
        <v>1.3102460377930494E-2</v>
      </c>
      <c r="N7">
        <f t="shared" si="3"/>
        <v>-4.6911334903134549E-3</v>
      </c>
      <c r="O7">
        <f t="shared" si="9"/>
        <v>-7.4126126444107885E-3</v>
      </c>
      <c r="P7">
        <f t="shared" si="10"/>
        <v>-6.4719096424062927E-3</v>
      </c>
      <c r="Q7">
        <f t="shared" si="11"/>
        <v>1.087769962302706E-2</v>
      </c>
      <c r="R7">
        <f t="shared" si="12"/>
        <v>9.4972572363605581E-3</v>
      </c>
      <c r="S7">
        <f t="shared" si="13"/>
        <v>1.5006925132877456E-2</v>
      </c>
      <c r="U7" s="16" t="s">
        <v>33</v>
      </c>
      <c r="V7" s="16"/>
      <c r="W7" s="16"/>
      <c r="X7" s="16"/>
      <c r="Y7" s="16"/>
    </row>
    <row r="8" spans="1:27" ht="16" thickBot="1">
      <c r="A8" s="1">
        <v>40509</v>
      </c>
      <c r="B8" s="15">
        <v>8.5212978184812896E-2</v>
      </c>
      <c r="C8" s="15">
        <v>0.115603852242357</v>
      </c>
      <c r="D8" s="17">
        <v>7.224796E-2</v>
      </c>
      <c r="E8" s="15">
        <v>4.574665233472E-2</v>
      </c>
      <c r="F8" s="15">
        <f t="shared" si="0"/>
        <v>6.9076988842744991E-2</v>
      </c>
      <c r="G8" s="15">
        <f t="shared" si="4"/>
        <v>9.280703703516581E-2</v>
      </c>
      <c r="H8" s="15">
        <f t="shared" si="1"/>
        <v>5.2832249606557379E-2</v>
      </c>
      <c r="I8" s="15">
        <f t="shared" si="2"/>
        <v>1.3701968264629209E-2</v>
      </c>
      <c r="J8">
        <f t="shared" si="5"/>
        <v>4.7716303875807156E-3</v>
      </c>
      <c r="K8">
        <f t="shared" si="6"/>
        <v>8.6131461232466389E-3</v>
      </c>
      <c r="L8">
        <f t="shared" si="7"/>
        <v>2.7912465984895824E-3</v>
      </c>
      <c r="M8">
        <f t="shared" si="8"/>
        <v>1.87743934324906E-4</v>
      </c>
      <c r="N8">
        <f t="shared" si="3"/>
        <v>6.4108306618063694E-3</v>
      </c>
      <c r="O8">
        <f t="shared" si="9"/>
        <v>3.6494927166092826E-3</v>
      </c>
      <c r="P8">
        <f t="shared" si="10"/>
        <v>9.4649070893943778E-4</v>
      </c>
      <c r="Q8">
        <f t="shared" si="11"/>
        <v>4.9032045458868951E-3</v>
      </c>
      <c r="R8">
        <f t="shared" si="12"/>
        <v>1.2716390761901095E-3</v>
      </c>
      <c r="S8">
        <f t="shared" si="13"/>
        <v>7.2390580745801826E-4</v>
      </c>
      <c r="V8" s="6" t="s">
        <v>7</v>
      </c>
      <c r="W8" s="6" t="s">
        <v>8</v>
      </c>
      <c r="X8" s="6" t="s">
        <v>9</v>
      </c>
      <c r="Y8" s="6" t="s">
        <v>10</v>
      </c>
    </row>
    <row r="9" spans="1:27" ht="16" thickTop="1">
      <c r="A9" s="1">
        <v>40542</v>
      </c>
      <c r="B9" s="15">
        <v>-6.9284064665127001E-2</v>
      </c>
      <c r="C9" s="15">
        <v>-6.4981600773018802E-2</v>
      </c>
      <c r="D9" s="17">
        <v>7.0339176000000003E-2</v>
      </c>
      <c r="E9" s="15">
        <v>1.33767534345625E-2</v>
      </c>
      <c r="F9" s="15">
        <f t="shared" si="0"/>
        <v>-8.5420054007194907E-2</v>
      </c>
      <c r="G9" s="15">
        <f t="shared" si="4"/>
        <v>-8.7778415980209995E-2</v>
      </c>
      <c r="H9" s="15">
        <f t="shared" si="1"/>
        <v>5.0923465606557382E-2</v>
      </c>
      <c r="I9" s="15">
        <f t="shared" si="2"/>
        <v>-1.8667930635528289E-2</v>
      </c>
      <c r="J9">
        <f t="shared" si="5"/>
        <v>7.2965856265920946E-3</v>
      </c>
      <c r="K9">
        <f t="shared" si="6"/>
        <v>7.7050503119947857E-3</v>
      </c>
      <c r="L9">
        <f t="shared" si="7"/>
        <v>2.5931993493822324E-3</v>
      </c>
      <c r="M9">
        <f t="shared" si="8"/>
        <v>3.4849163421289561E-4</v>
      </c>
      <c r="N9">
        <f t="shared" si="3"/>
        <v>7.4980370336955584E-3</v>
      </c>
      <c r="O9">
        <f t="shared" si="9"/>
        <v>-4.3498851823456641E-3</v>
      </c>
      <c r="P9">
        <f t="shared" si="10"/>
        <v>1.5946156430893949E-3</v>
      </c>
      <c r="Q9">
        <f t="shared" si="11"/>
        <v>-4.4699811471663109E-3</v>
      </c>
      <c r="R9">
        <f t="shared" si="12"/>
        <v>1.6386413808151081E-3</v>
      </c>
      <c r="S9">
        <f t="shared" si="13"/>
        <v>-9.5063572366392373E-4</v>
      </c>
      <c r="U9" t="s">
        <v>30</v>
      </c>
      <c r="V9">
        <f>_xlfn.VAR.S(B4:B64)</f>
        <v>7.5148217542618852E-3</v>
      </c>
      <c r="W9">
        <f>_xlfn.VAR.S(C4:C64)</f>
        <v>1.2166786833229777E-2</v>
      </c>
      <c r="X9">
        <f>_xlfn.VAR.S(D4:D64)</f>
        <v>7.7407499444720048E-3</v>
      </c>
      <c r="Y9">
        <f>_xlfn.VAR.S(E4:E64)</f>
        <v>7.6238462041953127E-3</v>
      </c>
    </row>
    <row r="10" spans="1:27">
      <c r="A10" s="1">
        <v>40572</v>
      </c>
      <c r="B10" s="15">
        <v>3.7220843672456497E-2</v>
      </c>
      <c r="C10" s="15">
        <v>0.101977013334446</v>
      </c>
      <c r="D10" s="17">
        <v>0.16673758</v>
      </c>
      <c r="E10" s="15">
        <v>6.0292470200054397E-2</v>
      </c>
      <c r="F10" s="15">
        <f t="shared" si="0"/>
        <v>2.1084854330388599E-2</v>
      </c>
      <c r="G10" s="15">
        <f t="shared" si="4"/>
        <v>7.9180198127254811E-2</v>
      </c>
      <c r="H10" s="15">
        <f t="shared" si="1"/>
        <v>0.14732186960655738</v>
      </c>
      <c r="I10" s="15">
        <f t="shared" si="2"/>
        <v>2.8247786129963606E-2</v>
      </c>
      <c r="J10">
        <f t="shared" si="5"/>
        <v>4.4457108213370684E-4</v>
      </c>
      <c r="K10">
        <f t="shared" si="6"/>
        <v>6.2695037754713261E-3</v>
      </c>
      <c r="L10">
        <f t="shared" si="7"/>
        <v>2.1703733264371496E-2</v>
      </c>
      <c r="M10">
        <f t="shared" si="8"/>
        <v>7.9793742124416431E-4</v>
      </c>
      <c r="N10">
        <f t="shared" si="3"/>
        <v>1.6695029433644757E-3</v>
      </c>
      <c r="O10">
        <f t="shared" si="9"/>
        <v>3.1062601603347659E-3</v>
      </c>
      <c r="P10">
        <f t="shared" si="10"/>
        <v>5.9560045570625415E-4</v>
      </c>
      <c r="Q10">
        <f t="shared" si="11"/>
        <v>1.1664974823924812E-2</v>
      </c>
      <c r="R10">
        <f t="shared" si="12"/>
        <v>2.2366653024268389E-3</v>
      </c>
      <c r="S10">
        <f t="shared" si="13"/>
        <v>4.1615166649124182E-3</v>
      </c>
      <c r="U10" t="s">
        <v>51</v>
      </c>
      <c r="V10" s="15">
        <f>_xlfn.STDEV.S(B4:B64)</f>
        <v>8.6688071580015472E-2</v>
      </c>
      <c r="W10" s="15">
        <f>_xlfn.STDEV.S(C4:C64)</f>
        <v>0.1103031587636083</v>
      </c>
      <c r="X10" s="15">
        <f>_xlfn.STDEV.S(D4:D64)</f>
        <v>8.7981531837494201E-2</v>
      </c>
      <c r="Y10" s="15">
        <f>_xlfn.STDEV.S(E4:E64)</f>
        <v>8.7314639117362855E-2</v>
      </c>
    </row>
    <row r="11" spans="1:27">
      <c r="A11" s="1">
        <v>40600</v>
      </c>
      <c r="B11" s="15">
        <v>0.11578947368421</v>
      </c>
      <c r="C11" s="15">
        <v>-8.4302050343249404E-2</v>
      </c>
      <c r="D11" s="17">
        <v>4.2289445000000002E-2</v>
      </c>
      <c r="E11" s="15">
        <v>-0.10868099288966999</v>
      </c>
      <c r="F11" s="15">
        <f t="shared" si="0"/>
        <v>9.9653484342142107E-2</v>
      </c>
      <c r="G11" s="15">
        <f t="shared" si="4"/>
        <v>-0.1070988655504406</v>
      </c>
      <c r="H11" s="15">
        <f t="shared" si="1"/>
        <v>2.287373460655738E-2</v>
      </c>
      <c r="I11" s="15">
        <f t="shared" si="2"/>
        <v>-0.14072567695976079</v>
      </c>
      <c r="J11">
        <f t="shared" si="5"/>
        <v>9.9308169415295612E-3</v>
      </c>
      <c r="K11">
        <f t="shared" si="6"/>
        <v>1.1470167002191351E-2</v>
      </c>
      <c r="L11">
        <f t="shared" si="7"/>
        <v>5.2320773485122071E-4</v>
      </c>
      <c r="M11">
        <f t="shared" si="8"/>
        <v>1.9803716155782948E-2</v>
      </c>
      <c r="N11">
        <f t="shared" si="3"/>
        <v>-1.0672775121192015E-2</v>
      </c>
      <c r="O11">
        <f t="shared" si="9"/>
        <v>2.2794473534608799E-3</v>
      </c>
      <c r="P11">
        <f t="shared" si="10"/>
        <v>-1.4023804045446871E-2</v>
      </c>
      <c r="Q11">
        <f t="shared" si="11"/>
        <v>-2.4497510272641493E-3</v>
      </c>
      <c r="R11">
        <f t="shared" si="12"/>
        <v>1.5071560356208158E-2</v>
      </c>
      <c r="S11">
        <f t="shared" si="13"/>
        <v>-3.2189217871056949E-3</v>
      </c>
    </row>
    <row r="12" spans="1:27">
      <c r="A12" s="1">
        <v>40632</v>
      </c>
      <c r="B12" s="15">
        <v>-2.53001715265865E-2</v>
      </c>
      <c r="C12" s="15">
        <v>4.8491506039116603E-2</v>
      </c>
      <c r="D12" s="17">
        <v>2.8681357000000001E-2</v>
      </c>
      <c r="E12" s="15">
        <v>-3.8882634956587302E-2</v>
      </c>
      <c r="F12" s="15">
        <f t="shared" si="0"/>
        <v>-4.1436160868654398E-2</v>
      </c>
      <c r="G12" s="15">
        <f t="shared" si="4"/>
        <v>2.5694690831925413E-2</v>
      </c>
      <c r="H12" s="15">
        <f t="shared" si="1"/>
        <v>9.2656466065573796E-3</v>
      </c>
      <c r="I12" s="15">
        <f t="shared" si="2"/>
        <v>-7.0927319026678093E-2</v>
      </c>
      <c r="J12">
        <f t="shared" si="5"/>
        <v>1.716955427533006E-3</v>
      </c>
      <c r="K12">
        <f t="shared" si="6"/>
        <v>6.6021713694823189E-4</v>
      </c>
      <c r="L12">
        <f t="shared" si="7"/>
        <v>8.585220703760828E-5</v>
      </c>
      <c r="M12">
        <f t="shared" si="8"/>
        <v>5.0306845843121721E-3</v>
      </c>
      <c r="N12">
        <f t="shared" si="3"/>
        <v>-1.0646893427820007E-3</v>
      </c>
      <c r="O12">
        <f t="shared" si="9"/>
        <v>-3.839328233414133E-4</v>
      </c>
      <c r="P12">
        <f t="shared" si="10"/>
        <v>2.9389558011718052E-3</v>
      </c>
      <c r="Q12">
        <f t="shared" si="11"/>
        <v>2.3807792491337072E-4</v>
      </c>
      <c r="R12">
        <f t="shared" si="12"/>
        <v>-1.8224555339278344E-3</v>
      </c>
      <c r="S12">
        <f t="shared" si="13"/>
        <v>-6.5718747285175249E-4</v>
      </c>
      <c r="V12" s="15"/>
      <c r="W12" s="15"/>
      <c r="X12" s="15"/>
      <c r="Y12" s="15"/>
    </row>
    <row r="13" spans="1:27">
      <c r="A13" s="1">
        <v>40662</v>
      </c>
      <c r="B13" s="15">
        <v>-6.0975609756097598E-3</v>
      </c>
      <c r="C13" s="15">
        <v>0.21737890168910901</v>
      </c>
      <c r="D13" s="17">
        <v>-1.2410745000000001E-2</v>
      </c>
      <c r="E13" s="15">
        <v>-6.9127968151137698E-2</v>
      </c>
      <c r="F13" s="15">
        <f t="shared" si="0"/>
        <v>-2.223355031767766E-2</v>
      </c>
      <c r="G13" s="15">
        <f t="shared" si="4"/>
        <v>0.19458208648191783</v>
      </c>
      <c r="H13" s="15">
        <f t="shared" si="1"/>
        <v>-3.1826455393442622E-2</v>
      </c>
      <c r="I13" s="15">
        <f t="shared" si="2"/>
        <v>-0.10117265222122848</v>
      </c>
      <c r="J13">
        <f t="shared" si="5"/>
        <v>4.9433075972870439E-4</v>
      </c>
      <c r="K13">
        <f t="shared" si="6"/>
        <v>3.7862188379656547E-2</v>
      </c>
      <c r="L13">
        <f t="shared" si="7"/>
        <v>1.012923262910793E-3</v>
      </c>
      <c r="M13">
        <f t="shared" si="8"/>
        <v>1.0235905557477649E-2</v>
      </c>
      <c r="N13">
        <f t="shared" si="3"/>
        <v>-4.3262506107144263E-3</v>
      </c>
      <c r="O13">
        <f t="shared" si="9"/>
        <v>7.0761509742343009E-4</v>
      </c>
      <c r="P13">
        <f t="shared" si="10"/>
        <v>2.249427253933586E-3</v>
      </c>
      <c r="Q13">
        <f t="shared" si="11"/>
        <v>-6.1928580957797521E-3</v>
      </c>
      <c r="R13">
        <f t="shared" si="12"/>
        <v>-1.9686385764116077E-2</v>
      </c>
      <c r="S13">
        <f t="shared" si="13"/>
        <v>3.2199669029552118E-3</v>
      </c>
    </row>
    <row r="14" spans="1:27">
      <c r="A14" s="1">
        <v>40691</v>
      </c>
      <c r="B14" s="15">
        <v>0.10692375109553</v>
      </c>
      <c r="C14" s="15">
        <v>0.10312818311680801</v>
      </c>
      <c r="D14" s="17">
        <v>8.0392459999999999E-2</v>
      </c>
      <c r="E14" s="15">
        <v>0.154852314141252</v>
      </c>
      <c r="F14" s="15">
        <f t="shared" si="0"/>
        <v>9.0787761753462093E-2</v>
      </c>
      <c r="G14" s="15">
        <f t="shared" si="4"/>
        <v>8.0331367909616813E-2</v>
      </c>
      <c r="H14" s="15">
        <f t="shared" si="1"/>
        <v>6.0976749606557377E-2</v>
      </c>
      <c r="I14" s="15">
        <f t="shared" si="2"/>
        <v>0.12280763007116122</v>
      </c>
      <c r="J14">
        <f t="shared" si="5"/>
        <v>8.2424176842033937E-3</v>
      </c>
      <c r="K14">
        <f t="shared" si="6"/>
        <v>6.453128670230214E-3</v>
      </c>
      <c r="L14">
        <f t="shared" si="7"/>
        <v>3.7181639925807954E-3</v>
      </c>
      <c r="M14">
        <f t="shared" si="8"/>
        <v>1.5081714003695181E-2</v>
      </c>
      <c r="N14">
        <f t="shared" si="3"/>
        <v>7.2931050911080016E-3</v>
      </c>
      <c r="O14">
        <f t="shared" si="9"/>
        <v>5.5359426157806447E-3</v>
      </c>
      <c r="P14">
        <f t="shared" si="10"/>
        <v>1.1149429860407891E-2</v>
      </c>
      <c r="Q14">
        <f t="shared" si="11"/>
        <v>4.8983457065769429E-3</v>
      </c>
      <c r="R14">
        <f t="shared" si="12"/>
        <v>9.8653049133545726E-3</v>
      </c>
      <c r="S14">
        <f t="shared" si="13"/>
        <v>7.4884101086239233E-3</v>
      </c>
    </row>
    <row r="15" spans="1:27">
      <c r="A15" s="1">
        <v>40723</v>
      </c>
      <c r="B15" s="15">
        <v>-4.1567735550277103E-2</v>
      </c>
      <c r="C15" s="15">
        <v>2.1650147485186198E-2</v>
      </c>
      <c r="D15" s="17">
        <v>5.9592131E-2</v>
      </c>
      <c r="E15" s="15">
        <v>7.3072339310473701E-3</v>
      </c>
      <c r="F15" s="15">
        <f t="shared" si="0"/>
        <v>-5.7703724892345001E-2</v>
      </c>
      <c r="G15" s="15">
        <f t="shared" si="4"/>
        <v>-1.146667722004991E-3</v>
      </c>
      <c r="H15" s="15">
        <f t="shared" si="1"/>
        <v>4.0176420606557378E-2</v>
      </c>
      <c r="I15" s="15">
        <f t="shared" si="2"/>
        <v>-2.473745013904342E-2</v>
      </c>
      <c r="J15">
        <f t="shared" si="5"/>
        <v>3.3297198664514363E-3</v>
      </c>
      <c r="K15">
        <f t="shared" si="6"/>
        <v>1.3148468646881154E-6</v>
      </c>
      <c r="L15">
        <f t="shared" si="7"/>
        <v>1.6141447727550083E-3</v>
      </c>
      <c r="M15">
        <f t="shared" si="8"/>
        <v>6.1194143938165938E-4</v>
      </c>
      <c r="N15">
        <f t="shared" si="3"/>
        <v>6.6166998773507939E-5</v>
      </c>
      <c r="O15">
        <f t="shared" si="9"/>
        <v>-2.3183291218399275E-3</v>
      </c>
      <c r="P15">
        <f t="shared" si="10"/>
        <v>1.4274430173614632E-3</v>
      </c>
      <c r="Q15">
        <f t="shared" si="11"/>
        <v>-4.6069004695235529E-5</v>
      </c>
      <c r="R15">
        <f t="shared" si="12"/>
        <v>2.8365635599148966E-5</v>
      </c>
      <c r="S15">
        <f t="shared" si="13"/>
        <v>-9.9386220151994969E-4</v>
      </c>
      <c r="U15" s="16" t="s">
        <v>34</v>
      </c>
      <c r="V15" s="16"/>
      <c r="W15" s="16"/>
      <c r="X15" s="16"/>
      <c r="Y15" s="16"/>
      <c r="Z15" s="28"/>
      <c r="AA15" s="28"/>
    </row>
    <row r="16" spans="1:27">
      <c r="A16" s="1">
        <v>40754</v>
      </c>
      <c r="B16" s="15">
        <v>6.5262373616785399E-2</v>
      </c>
      <c r="C16" s="15">
        <v>-4.3073032479914002E-2</v>
      </c>
      <c r="D16" s="17">
        <v>7.5939894999999993E-2</v>
      </c>
      <c r="E16" s="15">
        <v>0.14544795067101901</v>
      </c>
      <c r="F16" s="15">
        <f t="shared" si="0"/>
        <v>4.9126384274717501E-2</v>
      </c>
      <c r="G16" s="15">
        <f t="shared" si="4"/>
        <v>-6.5869847687105187E-2</v>
      </c>
      <c r="H16" s="15">
        <f t="shared" si="1"/>
        <v>5.6524184606557372E-2</v>
      </c>
      <c r="I16" s="15">
        <f t="shared" si="2"/>
        <v>0.11340326660092823</v>
      </c>
      <c r="J16">
        <f t="shared" si="5"/>
        <v>2.4134016319072109E-3</v>
      </c>
      <c r="K16">
        <f t="shared" si="6"/>
        <v>4.3388368343224362E-3</v>
      </c>
      <c r="L16">
        <f t="shared" si="7"/>
        <v>3.1949834454361773E-3</v>
      </c>
      <c r="M16">
        <f t="shared" si="8"/>
        <v>1.2860300875761203E-2</v>
      </c>
      <c r="N16">
        <f t="shared" si="3"/>
        <v>-3.2359474495938412E-3</v>
      </c>
      <c r="O16">
        <f t="shared" si="9"/>
        <v>2.7768288137968093E-3</v>
      </c>
      <c r="P16">
        <f t="shared" si="10"/>
        <v>5.5710924530454368E-3</v>
      </c>
      <c r="Q16">
        <f t="shared" si="11"/>
        <v>-3.7232394306717497E-3</v>
      </c>
      <c r="R16">
        <f t="shared" si="12"/>
        <v>-7.4698558982233248E-3</v>
      </c>
      <c r="S16">
        <f t="shared" si="13"/>
        <v>6.4100271763375093E-3</v>
      </c>
      <c r="V16" s="26" t="s">
        <v>7</v>
      </c>
      <c r="W16" s="26" t="s">
        <v>8</v>
      </c>
      <c r="X16" s="26" t="s">
        <v>9</v>
      </c>
      <c r="Y16" s="27" t="s">
        <v>10</v>
      </c>
      <c r="Z16" s="26"/>
      <c r="AA16" s="26"/>
    </row>
    <row r="17" spans="1:25">
      <c r="A17" s="1">
        <v>40785</v>
      </c>
      <c r="B17" s="15">
        <v>0.110120119809223</v>
      </c>
      <c r="C17" s="15">
        <v>-0.19800911786737599</v>
      </c>
      <c r="D17" s="17">
        <v>-7.5471708999999998E-2</v>
      </c>
      <c r="E17" s="15">
        <v>-7.7580778974034204E-2</v>
      </c>
      <c r="F17" s="15">
        <f t="shared" si="0"/>
        <v>9.3984130467155091E-2</v>
      </c>
      <c r="G17" s="15">
        <f t="shared" si="4"/>
        <v>-0.22080593307456717</v>
      </c>
      <c r="H17" s="15">
        <f t="shared" si="1"/>
        <v>-9.4887419393442612E-2</v>
      </c>
      <c r="I17" s="15">
        <f t="shared" si="2"/>
        <v>-0.10962546304412499</v>
      </c>
      <c r="J17">
        <f t="shared" si="5"/>
        <v>8.8330167796672292E-3</v>
      </c>
      <c r="K17">
        <f t="shared" si="6"/>
        <v>4.8755260080930236E-2</v>
      </c>
      <c r="L17">
        <f t="shared" si="7"/>
        <v>9.003622359147069E-3</v>
      </c>
      <c r="M17">
        <f t="shared" si="8"/>
        <v>1.2017742147638814E-2</v>
      </c>
      <c r="N17">
        <f t="shared" si="3"/>
        <v>-2.0752253622002035E-2</v>
      </c>
      <c r="O17">
        <f t="shared" si="9"/>
        <v>-8.9179116039649724E-3</v>
      </c>
      <c r="P17">
        <f t="shared" si="10"/>
        <v>-1.0303053821261331E-2</v>
      </c>
      <c r="Q17">
        <f t="shared" si="11"/>
        <v>2.0951705176206877E-2</v>
      </c>
      <c r="R17">
        <f t="shared" si="12"/>
        <v>2.4205952656189498E-2</v>
      </c>
      <c r="S17">
        <f t="shared" si="13"/>
        <v>1.0402077288068232E-2</v>
      </c>
      <c r="U17" t="s">
        <v>7</v>
      </c>
      <c r="V17">
        <f>_xlfn.COVARIANCE.S(atvi, atvi)</f>
        <v>7.5148217542618835E-3</v>
      </c>
      <c r="W17">
        <f>_xlfn.COVARIANCE.S(atvi, ntes)</f>
        <v>3.2841536493631086E-3</v>
      </c>
      <c r="X17">
        <f>_xlfn.COVARIANCE.S(atvi, ea)</f>
        <v>4.2179592176261856E-3</v>
      </c>
      <c r="Y17">
        <f>_xlfn.COVARIANCE.S(atvi, ttwo)</f>
        <v>3.5720677385192461E-3</v>
      </c>
    </row>
    <row r="18" spans="1:25">
      <c r="A18" s="1">
        <v>40815</v>
      </c>
      <c r="B18" s="15">
        <v>7.8938179494871794E-2</v>
      </c>
      <c r="C18" s="15">
        <v>7.6151254255509601E-2</v>
      </c>
      <c r="D18" s="17">
        <v>2.4187422E-2</v>
      </c>
      <c r="E18" s="15">
        <v>-1.37315143745798E-2</v>
      </c>
      <c r="F18" s="15">
        <f t="shared" si="0"/>
        <v>6.2802190152803888E-2</v>
      </c>
      <c r="G18" s="15">
        <f t="shared" si="4"/>
        <v>5.3354439048318408E-2</v>
      </c>
      <c r="H18" s="15">
        <f t="shared" si="1"/>
        <v>4.7717116065573786E-3</v>
      </c>
      <c r="I18" s="15">
        <f t="shared" si="2"/>
        <v>-4.5776198444670589E-2</v>
      </c>
      <c r="J18">
        <f t="shared" si="5"/>
        <v>3.944115087988938E-3</v>
      </c>
      <c r="K18">
        <f t="shared" si="6"/>
        <v>2.8466961661607242E-3</v>
      </c>
      <c r="L18">
        <f t="shared" si="7"/>
        <v>2.2769231656154398E-5</v>
      </c>
      <c r="M18">
        <f t="shared" si="8"/>
        <v>2.0954603440458621E-3</v>
      </c>
      <c r="N18">
        <f t="shared" si="3"/>
        <v>3.3507756266086776E-3</v>
      </c>
      <c r="O18">
        <f t="shared" si="9"/>
        <v>2.9967393966935782E-4</v>
      </c>
      <c r="P18">
        <f t="shared" si="10"/>
        <v>-2.8748455191946881E-3</v>
      </c>
      <c r="Q18">
        <f t="shared" si="11"/>
        <v>2.5459199606821915E-4</v>
      </c>
      <c r="R18">
        <f t="shared" si="12"/>
        <v>-2.4423633897799049E-3</v>
      </c>
      <c r="S18">
        <f t="shared" si="13"/>
        <v>-2.1843081742250849E-4</v>
      </c>
      <c r="U18" t="s">
        <v>8</v>
      </c>
      <c r="W18">
        <f>_xlfn.COVARIANCE.S(ntes, ntes)</f>
        <v>1.2166786833229784E-2</v>
      </c>
      <c r="X18">
        <f>_xlfn.COVARIANCE.S(ntes, ea)</f>
        <v>2.7806245393952023E-3</v>
      </c>
      <c r="Y18">
        <f>_xlfn.COVARIANCE.S(ntes, ttwo)</f>
        <v>7.9218591611228504E-4</v>
      </c>
    </row>
    <row r="19" spans="1:25">
      <c r="A19" s="1">
        <v>40845</v>
      </c>
      <c r="B19" s="15">
        <v>0.12528323487482099</v>
      </c>
      <c r="C19" s="15">
        <v>0.203213414838159</v>
      </c>
      <c r="D19" s="17">
        <v>6.3763838000000003E-2</v>
      </c>
      <c r="E19" s="15">
        <v>0.155586529759832</v>
      </c>
      <c r="F19" s="15">
        <f t="shared" si="0"/>
        <v>0.1091472455327531</v>
      </c>
      <c r="G19" s="15">
        <f t="shared" si="4"/>
        <v>0.18041659963096782</v>
      </c>
      <c r="H19" s="15">
        <f t="shared" si="1"/>
        <v>4.4348127606557382E-2</v>
      </c>
      <c r="I19" s="15">
        <f t="shared" si="2"/>
        <v>0.12354184568974122</v>
      </c>
      <c r="J19">
        <f t="shared" si="5"/>
        <v>1.1913121207387091E-2</v>
      </c>
      <c r="K19">
        <f t="shared" si="6"/>
        <v>3.2550149422400934E-2</v>
      </c>
      <c r="L19">
        <f t="shared" si="7"/>
        <v>1.9667564222074969E-3</v>
      </c>
      <c r="M19">
        <f t="shared" si="8"/>
        <v>1.5262587636427832E-2</v>
      </c>
      <c r="N19">
        <f t="shared" si="3"/>
        <v>1.9691974898105657E-2</v>
      </c>
      <c r="O19">
        <f t="shared" si="9"/>
        <v>4.840475972790784E-3</v>
      </c>
      <c r="P19">
        <f t="shared" si="10"/>
        <v>1.348425216506768E-2</v>
      </c>
      <c r="Q19">
        <f t="shared" si="11"/>
        <v>8.0011383827753337E-3</v>
      </c>
      <c r="R19">
        <f t="shared" si="12"/>
        <v>2.228899971147685E-2</v>
      </c>
      <c r="S19">
        <f t="shared" si="13"/>
        <v>5.4788495373982648E-3</v>
      </c>
      <c r="U19" t="s">
        <v>9</v>
      </c>
      <c r="X19">
        <f>_xlfn.COVARIANCE.S(ea, ea)</f>
        <v>7.7407499501955532E-3</v>
      </c>
      <c r="Y19">
        <f>_xlfn.COVARIANCE.S(ea, ttwo)</f>
        <v>3.8252491605432091E-3</v>
      </c>
    </row>
    <row r="20" spans="1:25">
      <c r="A20" s="1">
        <v>40876</v>
      </c>
      <c r="B20" s="15">
        <v>8.3429291336552996E-2</v>
      </c>
      <c r="C20" s="15">
        <v>0.153117035585117</v>
      </c>
      <c r="D20" s="17">
        <v>-5.9386692999999997E-2</v>
      </c>
      <c r="E20" s="15">
        <v>6.5361383573452295E-2</v>
      </c>
      <c r="F20" s="15">
        <f t="shared" si="0"/>
        <v>6.7293301994485105E-2</v>
      </c>
      <c r="G20" s="15">
        <f t="shared" si="4"/>
        <v>0.13032022037792582</v>
      </c>
      <c r="H20" s="15">
        <f t="shared" si="1"/>
        <v>-7.8802403393442619E-2</v>
      </c>
      <c r="I20" s="15">
        <f t="shared" si="2"/>
        <v>3.3316699503361503E-2</v>
      </c>
      <c r="J20">
        <f t="shared" si="5"/>
        <v>4.528388493320973E-3</v>
      </c>
      <c r="K20">
        <f t="shared" si="6"/>
        <v>1.6983359839351151E-2</v>
      </c>
      <c r="L20">
        <f t="shared" si="7"/>
        <v>6.2098187805828568E-3</v>
      </c>
      <c r="M20">
        <f t="shared" si="8"/>
        <v>1.1100024657972887E-3</v>
      </c>
      <c r="N20">
        <f t="shared" si="3"/>
        <v>8.7696779458796142E-3</v>
      </c>
      <c r="O20">
        <f t="shared" si="9"/>
        <v>-5.3028739294461724E-3</v>
      </c>
      <c r="P20">
        <f t="shared" si="10"/>
        <v>2.2419907211392175E-3</v>
      </c>
      <c r="Q20">
        <f t="shared" si="11"/>
        <v>-1.0269546576543651E-2</v>
      </c>
      <c r="R20">
        <f t="shared" si="12"/>
        <v>4.3418396215432024E-3</v>
      </c>
      <c r="S20">
        <f t="shared" si="13"/>
        <v>-2.6254359940020024E-3</v>
      </c>
      <c r="U20" t="s">
        <v>10</v>
      </c>
      <c r="Y20">
        <f>_xlfn.COVARIANCE.S(ttwo, ttwo)</f>
        <v>7.6238462041953161E-3</v>
      </c>
    </row>
    <row r="21" spans="1:25">
      <c r="A21" s="1">
        <v>40907</v>
      </c>
      <c r="B21" s="15">
        <v>2.7881014338821002E-2</v>
      </c>
      <c r="C21" s="15">
        <v>8.3841649710760496E-2</v>
      </c>
      <c r="D21" s="17">
        <v>1.3718836999999999E-2</v>
      </c>
      <c r="E21" s="15">
        <v>-1.49844222500542E-2</v>
      </c>
      <c r="F21" s="15">
        <f t="shared" si="0"/>
        <v>1.1745024996753103E-2</v>
      </c>
      <c r="G21" s="15">
        <f t="shared" si="4"/>
        <v>6.1044834503569304E-2</v>
      </c>
      <c r="H21" s="15">
        <f t="shared" si="1"/>
        <v>-5.6968733934426221E-3</v>
      </c>
      <c r="I21" s="15">
        <f t="shared" si="2"/>
        <v>-4.7029106320144995E-2</v>
      </c>
      <c r="J21">
        <f t="shared" si="5"/>
        <v>1.3794561217435523E-4</v>
      </c>
      <c r="K21">
        <f t="shared" si="6"/>
        <v>3.7264718195681654E-3</v>
      </c>
      <c r="L21">
        <f t="shared" si="7"/>
        <v>3.2454366460914455E-5</v>
      </c>
      <c r="M21">
        <f t="shared" si="8"/>
        <v>2.2117368412715019E-3</v>
      </c>
      <c r="N21">
        <f t="shared" si="3"/>
        <v>7.1697310716707782E-4</v>
      </c>
      <c r="O21">
        <f t="shared" si="9"/>
        <v>-6.6909920409321275E-5</v>
      </c>
      <c r="P21">
        <f t="shared" si="10"/>
        <v>-5.5235802930506236E-4</v>
      </c>
      <c r="Q21">
        <f t="shared" si="11"/>
        <v>-3.4776469349049211E-4</v>
      </c>
      <c r="R21">
        <f t="shared" si="12"/>
        <v>-2.8708840121640165E-3</v>
      </c>
      <c r="S21">
        <f t="shared" si="13"/>
        <v>2.679188645126183E-4</v>
      </c>
    </row>
    <row r="22" spans="1:25">
      <c r="A22" s="1">
        <v>40936</v>
      </c>
      <c r="B22" s="15">
        <v>-0.100490806005962</v>
      </c>
      <c r="C22" s="15">
        <v>-0.13849042875495399</v>
      </c>
      <c r="D22" s="17">
        <v>-6.0680994000000002E-2</v>
      </c>
      <c r="E22" s="15">
        <v>-4.0183409873709702E-3</v>
      </c>
      <c r="F22" s="15">
        <f t="shared" si="0"/>
        <v>-0.11662679534802989</v>
      </c>
      <c r="G22" s="15">
        <f t="shared" si="4"/>
        <v>-0.16128724396214517</v>
      </c>
      <c r="H22" s="15">
        <f t="shared" si="1"/>
        <v>-8.009670439344263E-2</v>
      </c>
      <c r="I22" s="15">
        <f t="shared" si="2"/>
        <v>-3.6063025057461763E-2</v>
      </c>
      <c r="J22">
        <f t="shared" si="5"/>
        <v>1.3601809393151245E-2</v>
      </c>
      <c r="K22">
        <f t="shared" si="6"/>
        <v>2.6013575064904534E-2</v>
      </c>
      <c r="L22">
        <f t="shared" si="7"/>
        <v>6.4154820546905317E-3</v>
      </c>
      <c r="M22">
        <f t="shared" si="8"/>
        <v>1.3005417762951151E-3</v>
      </c>
      <c r="N22">
        <f t="shared" si="3"/>
        <v>1.8810414393820873E-2</v>
      </c>
      <c r="O22">
        <f t="shared" si="9"/>
        <v>9.3414219513456801E-3</v>
      </c>
      <c r="P22">
        <f t="shared" si="10"/>
        <v>4.2059150430074667E-3</v>
      </c>
      <c r="Q22">
        <f t="shared" si="11"/>
        <v>1.2918576702069006E-2</v>
      </c>
      <c r="R22">
        <f t="shared" si="12"/>
        <v>5.8165059204557893E-3</v>
      </c>
      <c r="S22">
        <f t="shared" si="13"/>
        <v>2.8885294575608294E-3</v>
      </c>
    </row>
    <row r="23" spans="1:25">
      <c r="A23" s="1">
        <v>40967</v>
      </c>
      <c r="B23" s="15">
        <v>-9.0465249856404306E-2</v>
      </c>
      <c r="C23" s="15">
        <v>-0.137889061982125</v>
      </c>
      <c r="D23" s="17">
        <v>-4.8025560000000004E-3</v>
      </c>
      <c r="E23" s="15">
        <v>3.7175820254299302E-2</v>
      </c>
      <c r="F23" s="15">
        <f t="shared" si="0"/>
        <v>-0.1066012391984722</v>
      </c>
      <c r="G23" s="15">
        <f t="shared" si="4"/>
        <v>-0.16068587718931618</v>
      </c>
      <c r="H23" s="15">
        <f t="shared" si="1"/>
        <v>-2.4218266393442621E-2</v>
      </c>
      <c r="I23" s="15">
        <f t="shared" si="2"/>
        <v>5.131136184208511E-3</v>
      </c>
      <c r="J23">
        <f t="shared" si="5"/>
        <v>1.1363824198649885E-2</v>
      </c>
      <c r="K23">
        <f t="shared" si="6"/>
        <v>2.58199511281E-2</v>
      </c>
      <c r="L23">
        <f t="shared" si="7"/>
        <v>5.8652442710375226E-4</v>
      </c>
      <c r="M23">
        <f t="shared" si="8"/>
        <v>2.6328558540893877E-5</v>
      </c>
      <c r="N23">
        <f t="shared" si="3"/>
        <v>1.7129313630074621E-2</v>
      </c>
      <c r="O23">
        <f t="shared" si="9"/>
        <v>2.5816972087796975E-3</v>
      </c>
      <c r="P23">
        <f t="shared" si="10"/>
        <v>-5.4698547573274741E-4</v>
      </c>
      <c r="Q23">
        <f t="shared" si="11"/>
        <v>3.8915333794348641E-3</v>
      </c>
      <c r="R23">
        <f t="shared" si="12"/>
        <v>-8.2450111873738521E-4</v>
      </c>
      <c r="S23">
        <f t="shared" si="13"/>
        <v>-1.2426722301019439E-4</v>
      </c>
      <c r="U23" s="16" t="s">
        <v>52</v>
      </c>
      <c r="V23" s="16"/>
      <c r="W23" s="16"/>
      <c r="X23" s="16"/>
      <c r="Y23" s="16"/>
    </row>
    <row r="24" spans="1:25">
      <c r="A24" s="1">
        <v>40998</v>
      </c>
      <c r="B24" s="15">
        <v>6.8519103252289298E-2</v>
      </c>
      <c r="C24" s="15">
        <v>6.66369581261647E-2</v>
      </c>
      <c r="D24" s="17">
        <v>2.9109637000000001E-2</v>
      </c>
      <c r="E24" s="15">
        <v>4.6679519495441898E-2</v>
      </c>
      <c r="F24" s="15">
        <f t="shared" si="0"/>
        <v>5.23831139102214E-2</v>
      </c>
      <c r="G24" s="15">
        <f t="shared" si="4"/>
        <v>4.3840142918973507E-2</v>
      </c>
      <c r="H24" s="15">
        <f t="shared" si="1"/>
        <v>9.6939266065573793E-3</v>
      </c>
      <c r="I24" s="15">
        <f t="shared" si="2"/>
        <v>1.4634835425351107E-2</v>
      </c>
      <c r="J24">
        <f t="shared" si="5"/>
        <v>2.7439906229312309E-3</v>
      </c>
      <c r="K24">
        <f t="shared" si="6"/>
        <v>1.921958131156023E-3</v>
      </c>
      <c r="L24">
        <f t="shared" si="7"/>
        <v>9.3972213053321066E-5</v>
      </c>
      <c r="M24">
        <f t="shared" si="8"/>
        <v>2.1417840792711172E-4</v>
      </c>
      <c r="N24">
        <f t="shared" si="3"/>
        <v>2.2964832003649753E-3</v>
      </c>
      <c r="O24">
        <f t="shared" si="9"/>
        <v>5.0779806166862122E-4</v>
      </c>
      <c r="P24">
        <f t="shared" si="10"/>
        <v>7.6661825114351055E-4</v>
      </c>
      <c r="Q24">
        <f t="shared" si="11"/>
        <v>4.2498312787751536E-4</v>
      </c>
      <c r="R24">
        <f t="shared" si="12"/>
        <v>6.4159327664304894E-4</v>
      </c>
      <c r="S24">
        <f t="shared" si="13"/>
        <v>1.4186902051239959E-4</v>
      </c>
      <c r="V24" s="26" t="s">
        <v>7</v>
      </c>
      <c r="W24" s="26" t="s">
        <v>8</v>
      </c>
      <c r="X24" s="26" t="s">
        <v>9</v>
      </c>
      <c r="Y24" s="27" t="s">
        <v>10</v>
      </c>
    </row>
    <row r="25" spans="1:25">
      <c r="A25" s="1">
        <v>41027</v>
      </c>
      <c r="B25" s="15">
        <v>1.08504692082112E-2</v>
      </c>
      <c r="C25" s="15">
        <v>-2.44071900650785E-2</v>
      </c>
      <c r="D25" s="17">
        <v>-6.4438101999999997E-2</v>
      </c>
      <c r="E25" s="15">
        <v>-9.2646620262629098E-2</v>
      </c>
      <c r="F25" s="15">
        <f t="shared" si="0"/>
        <v>-5.2855201338566984E-3</v>
      </c>
      <c r="G25" s="15">
        <f t="shared" si="4"/>
        <v>-4.7204005272269686E-2</v>
      </c>
      <c r="H25" s="15">
        <f t="shared" si="1"/>
        <v>-8.3853812393442612E-2</v>
      </c>
      <c r="I25" s="15">
        <f t="shared" si="2"/>
        <v>-0.12469130433271988</v>
      </c>
      <c r="J25">
        <f t="shared" si="5"/>
        <v>2.7936723085404532E-5</v>
      </c>
      <c r="K25">
        <f t="shared" si="6"/>
        <v>2.2282181137444645E-3</v>
      </c>
      <c r="L25">
        <f t="shared" si="7"/>
        <v>7.0314618529146696E-3</v>
      </c>
      <c r="M25">
        <f t="shared" si="8"/>
        <v>1.5547921376194969E-2</v>
      </c>
      <c r="N25">
        <f t="shared" si="3"/>
        <v>2.4949772026525916E-4</v>
      </c>
      <c r="O25">
        <f t="shared" si="9"/>
        <v>4.4321101370618327E-4</v>
      </c>
      <c r="P25">
        <f t="shared" si="10"/>
        <v>6.5905839956744393E-4</v>
      </c>
      <c r="Q25">
        <f t="shared" si="11"/>
        <v>3.9582358023199779E-3</v>
      </c>
      <c r="R25">
        <f t="shared" si="12"/>
        <v>5.8859289871278937E-3</v>
      </c>
      <c r="S25">
        <f t="shared" si="13"/>
        <v>1.045584124060955E-2</v>
      </c>
      <c r="U25" t="s">
        <v>7</v>
      </c>
      <c r="V25">
        <f>CORREL(atvi, atvi)</f>
        <v>1.0000000000000002</v>
      </c>
      <c r="W25">
        <f>CORREL(atvi, ntes)</f>
        <v>0.34346000816182326</v>
      </c>
      <c r="X25">
        <f>CORREL(atvi, ea)</f>
        <v>0.55303359623360782</v>
      </c>
      <c r="Y25">
        <f>CORREL(atvi, ttwo)</f>
        <v>0.47192532185346514</v>
      </c>
    </row>
    <row r="26" spans="1:25">
      <c r="A26" s="1">
        <v>41059</v>
      </c>
      <c r="B26" s="15">
        <v>0.13896132466024499</v>
      </c>
      <c r="C26" s="15">
        <v>0.26396588338235699</v>
      </c>
      <c r="D26" s="17">
        <v>0.24090545599999999</v>
      </c>
      <c r="E26" s="15">
        <v>0.13838502047981199</v>
      </c>
      <c r="F26" s="15">
        <f t="shared" si="0"/>
        <v>0.1228253353181771</v>
      </c>
      <c r="G26" s="15">
        <f t="shared" si="4"/>
        <v>0.24116906817516581</v>
      </c>
      <c r="H26" s="15">
        <f t="shared" si="1"/>
        <v>0.22148974560655738</v>
      </c>
      <c r="I26" s="15">
        <f t="shared" si="2"/>
        <v>0.10634033640972121</v>
      </c>
      <c r="J26">
        <f t="shared" si="5"/>
        <v>1.5086062996022644E-2</v>
      </c>
      <c r="K26">
        <f t="shared" si="6"/>
        <v>5.8162519444477777E-2</v>
      </c>
      <c r="L26">
        <f t="shared" si="7"/>
        <v>4.9057707408857502E-2</v>
      </c>
      <c r="M26">
        <f t="shared" si="8"/>
        <v>1.1308267147732679E-2</v>
      </c>
      <c r="N26">
        <f t="shared" si="3"/>
        <v>2.9621671666987055E-2</v>
      </c>
      <c r="O26">
        <f t="shared" si="9"/>
        <v>2.7204552273663155E-2</v>
      </c>
      <c r="P26">
        <f t="shared" si="10"/>
        <v>1.3061287477371765E-2</v>
      </c>
      <c r="Q26">
        <f t="shared" si="11"/>
        <v>5.3416475558287969E-2</v>
      </c>
      <c r="R26">
        <f t="shared" si="12"/>
        <v>2.5645999841366122E-2</v>
      </c>
      <c r="S26">
        <f t="shared" si="13"/>
        <v>2.3553294059104883E-2</v>
      </c>
      <c r="U26" t="s">
        <v>8</v>
      </c>
      <c r="W26">
        <f>CORREL(ntes, ntes)</f>
        <v>1.0000000000000002</v>
      </c>
      <c r="X26">
        <f>CORREL(ntes, ea)</f>
        <v>0.28652523821495651</v>
      </c>
      <c r="Y26">
        <f>CORREL(ntes, ttwo)</f>
        <v>8.2253067662986915E-2</v>
      </c>
    </row>
    <row r="27" spans="1:25">
      <c r="A27" s="1">
        <v>41089</v>
      </c>
      <c r="B27" s="15">
        <v>9.4244273777090992E-3</v>
      </c>
      <c r="C27" s="15">
        <v>8.2040686163200802E-2</v>
      </c>
      <c r="D27" s="17">
        <v>-1.2898997000000001E-2</v>
      </c>
      <c r="E27" s="15">
        <v>-2.5443382163967999E-2</v>
      </c>
      <c r="F27" s="15">
        <f t="shared" si="0"/>
        <v>-6.711561964358799E-3</v>
      </c>
      <c r="G27" s="15">
        <f t="shared" si="4"/>
        <v>5.9243870956009609E-2</v>
      </c>
      <c r="H27" s="15">
        <f t="shared" si="1"/>
        <v>-3.2314707393442624E-2</v>
      </c>
      <c r="I27" s="15">
        <f t="shared" si="2"/>
        <v>-5.7488066234058791E-2</v>
      </c>
      <c r="J27">
        <f t="shared" si="5"/>
        <v>4.504506400142774E-5</v>
      </c>
      <c r="K27">
        <f t="shared" si="6"/>
        <v>3.5098362458523191E-3</v>
      </c>
      <c r="L27">
        <f t="shared" si="7"/>
        <v>1.0442403139238154E-3</v>
      </c>
      <c r="M27">
        <f t="shared" si="8"/>
        <v>3.3048777593315303E-3</v>
      </c>
      <c r="N27">
        <f t="shared" si="3"/>
        <v>-3.9761891092973504E-4</v>
      </c>
      <c r="O27">
        <f t="shared" si="9"/>
        <v>2.1688216103121359E-4</v>
      </c>
      <c r="P27">
        <f t="shared" si="10"/>
        <v>3.8583471874104839E-4</v>
      </c>
      <c r="Q27">
        <f t="shared" si="11"/>
        <v>-1.9144483547983244E-3</v>
      </c>
      <c r="R27">
        <f t="shared" si="12"/>
        <v>-3.4058155774811124E-3</v>
      </c>
      <c r="S27">
        <f t="shared" si="13"/>
        <v>1.8577100389684589E-3</v>
      </c>
      <c r="U27" t="s">
        <v>9</v>
      </c>
      <c r="X27">
        <f>CORREL(ea, ea)</f>
        <v>1</v>
      </c>
      <c r="Y27">
        <f>CORREL(ea, ttwo)</f>
        <v>0.49794473626965952</v>
      </c>
    </row>
    <row r="28" spans="1:25">
      <c r="A28" s="1">
        <v>41118</v>
      </c>
      <c r="B28" s="15">
        <v>1.33736812169142E-2</v>
      </c>
      <c r="C28" s="15">
        <v>5.7188712052640998E-2</v>
      </c>
      <c r="D28" s="17">
        <v>7.3917369999999998E-3</v>
      </c>
      <c r="E28" s="15">
        <v>5.95992120041779E-2</v>
      </c>
      <c r="F28" s="15">
        <f t="shared" si="0"/>
        <v>-2.7623081251536979E-3</v>
      </c>
      <c r="G28" s="15">
        <f t="shared" si="4"/>
        <v>3.4391896845449813E-2</v>
      </c>
      <c r="H28" s="15">
        <f t="shared" si="1"/>
        <v>-1.2023973393442623E-2</v>
      </c>
      <c r="I28" s="15">
        <f t="shared" si="2"/>
        <v>2.7554527934087109E-2</v>
      </c>
      <c r="J28">
        <f t="shared" si="5"/>
        <v>7.6303461782901385E-6</v>
      </c>
      <c r="K28">
        <f t="shared" si="6"/>
        <v>1.1828025686280608E-3</v>
      </c>
      <c r="L28">
        <f t="shared" si="7"/>
        <v>1.4457593616621609E-4</v>
      </c>
      <c r="M28">
        <f t="shared" si="8"/>
        <v>7.5925200967038675E-4</v>
      </c>
      <c r="N28">
        <f t="shared" si="3"/>
        <v>-9.5001016095633853E-5</v>
      </c>
      <c r="O28">
        <f t="shared" si="9"/>
        <v>3.3213919401338436E-5</v>
      </c>
      <c r="P28">
        <f t="shared" si="10"/>
        <v>-7.6114096397103363E-5</v>
      </c>
      <c r="Q28">
        <f t="shared" si="11"/>
        <v>-4.1352725261971178E-4</v>
      </c>
      <c r="R28">
        <f t="shared" si="12"/>
        <v>9.4765248233418919E-4</v>
      </c>
      <c r="S28">
        <f t="shared" si="13"/>
        <v>-3.3131491074833491E-4</v>
      </c>
      <c r="U28" t="s">
        <v>10</v>
      </c>
      <c r="Y28">
        <f>CORREL(ttwo, ttwo)</f>
        <v>1.0000000000000002</v>
      </c>
    </row>
    <row r="29" spans="1:25">
      <c r="A29" s="1">
        <v>41151</v>
      </c>
      <c r="B29" s="15">
        <v>3.0129457171314801E-2</v>
      </c>
      <c r="C29" s="15">
        <v>3.7695191899051302E-2</v>
      </c>
      <c r="D29" s="17">
        <v>6.4334421000000003E-2</v>
      </c>
      <c r="E29" s="15">
        <v>8.1881557989049197E-2</v>
      </c>
      <c r="F29" s="15">
        <f t="shared" si="0"/>
        <v>1.3993467829246903E-2</v>
      </c>
      <c r="G29" s="15">
        <f t="shared" si="4"/>
        <v>1.4898376691860112E-2</v>
      </c>
      <c r="H29" s="15">
        <f t="shared" si="1"/>
        <v>4.4918710606557381E-2</v>
      </c>
      <c r="I29" s="15">
        <f t="shared" si="2"/>
        <v>4.9836873918958406E-2</v>
      </c>
      <c r="J29">
        <f t="shared" si="5"/>
        <v>1.9581714188816803E-4</v>
      </c>
      <c r="K29">
        <f t="shared" si="6"/>
        <v>2.2196162805256065E-4</v>
      </c>
      <c r="L29">
        <f t="shared" si="7"/>
        <v>2.0176905625556504E-3</v>
      </c>
      <c r="M29">
        <f t="shared" si="8"/>
        <v>2.4837140020141568E-3</v>
      </c>
      <c r="N29">
        <f t="shared" si="3"/>
        <v>2.0847995494554638E-4</v>
      </c>
      <c r="O29">
        <f t="shared" si="9"/>
        <v>6.2856853180411239E-4</v>
      </c>
      <c r="P29">
        <f t="shared" si="10"/>
        <v>6.9739069189517851E-4</v>
      </c>
      <c r="Q29">
        <f t="shared" si="11"/>
        <v>6.692158711291441E-4</v>
      </c>
      <c r="R29">
        <f t="shared" si="12"/>
        <v>7.4248852078938104E-4</v>
      </c>
      <c r="S29">
        <f t="shared" si="13"/>
        <v>2.2386081171011799E-3</v>
      </c>
    </row>
    <row r="30" spans="1:25">
      <c r="A30" s="1">
        <v>41181</v>
      </c>
      <c r="B30" s="15">
        <v>7.0824270505783701E-2</v>
      </c>
      <c r="C30" s="15">
        <v>0.13175087129611801</v>
      </c>
      <c r="D30" s="17">
        <v>5.1335698999999999E-2</v>
      </c>
      <c r="E30" s="15">
        <v>3.7037059189393498E-2</v>
      </c>
      <c r="F30" s="15">
        <f t="shared" si="0"/>
        <v>5.4688281163715803E-2</v>
      </c>
      <c r="G30" s="15">
        <f t="shared" si="4"/>
        <v>0.10895405608892682</v>
      </c>
      <c r="H30" s="15">
        <f t="shared" si="1"/>
        <v>3.1919988606557377E-2</v>
      </c>
      <c r="I30" s="15">
        <f t="shared" si="2"/>
        <v>4.9923751193027069E-3</v>
      </c>
      <c r="J30">
        <f t="shared" si="5"/>
        <v>2.9908080966416328E-3</v>
      </c>
      <c r="K30">
        <f t="shared" si="6"/>
        <v>1.1870986338229011E-2</v>
      </c>
      <c r="L30">
        <f t="shared" si="7"/>
        <v>1.0188856726427527E-3</v>
      </c>
      <c r="M30">
        <f t="shared" si="8"/>
        <v>2.4923809331832717E-5</v>
      </c>
      <c r="N30">
        <f t="shared" si="3"/>
        <v>5.9585100533184913E-3</v>
      </c>
      <c r="O30">
        <f t="shared" si="9"/>
        <v>1.7456493116580149E-3</v>
      </c>
      <c r="P30">
        <f t="shared" si="10"/>
        <v>2.7302441419916565E-4</v>
      </c>
      <c r="Q30">
        <f t="shared" si="11"/>
        <v>3.4778122289967576E-3</v>
      </c>
      <c r="R30">
        <f t="shared" si="12"/>
        <v>5.4393951876546983E-4</v>
      </c>
      <c r="S30">
        <f t="shared" si="13"/>
        <v>1.5935655692780293E-4</v>
      </c>
    </row>
    <row r="31" spans="1:25">
      <c r="A31" s="1">
        <v>41212</v>
      </c>
      <c r="B31" s="15">
        <v>-2.5507923826364E-2</v>
      </c>
      <c r="C31" s="15">
        <v>6.73228302488693E-2</v>
      </c>
      <c r="D31" s="17">
        <v>-8.0562118000000002E-2</v>
      </c>
      <c r="E31" s="15">
        <v>-1.5306188318270301E-2</v>
      </c>
      <c r="F31" s="15">
        <f t="shared" si="0"/>
        <v>-4.1643913168431898E-2</v>
      </c>
      <c r="G31" s="15">
        <f t="shared" si="4"/>
        <v>4.4526015041678108E-2</v>
      </c>
      <c r="H31" s="15">
        <f t="shared" si="1"/>
        <v>-9.997782839344263E-2</v>
      </c>
      <c r="I31" s="15">
        <f t="shared" si="2"/>
        <v>-4.7350872388361095E-2</v>
      </c>
      <c r="J31">
        <f t="shared" si="5"/>
        <v>1.7342155039798957E-3</v>
      </c>
      <c r="K31">
        <f t="shared" si="6"/>
        <v>1.9825660154917449E-3</v>
      </c>
      <c r="L31">
        <f t="shared" si="7"/>
        <v>9.9955661702686629E-3</v>
      </c>
      <c r="M31">
        <f t="shared" si="8"/>
        <v>2.2421051159388574E-3</v>
      </c>
      <c r="N31">
        <f t="shared" si="3"/>
        <v>-1.8542375041319357E-3</v>
      </c>
      <c r="O31">
        <f t="shared" si="9"/>
        <v>4.16346800438491E-3</v>
      </c>
      <c r="P31">
        <f t="shared" si="10"/>
        <v>1.9718756181904091E-3</v>
      </c>
      <c r="Q31">
        <f t="shared" si="11"/>
        <v>-4.4516142908807392E-3</v>
      </c>
      <c r="R31">
        <f t="shared" si="12"/>
        <v>-2.1083456562007467E-3</v>
      </c>
      <c r="S31">
        <f t="shared" si="13"/>
        <v>4.734037393923367E-3</v>
      </c>
    </row>
    <row r="32" spans="1:25">
      <c r="A32" s="1">
        <v>41242</v>
      </c>
      <c r="B32" s="15">
        <v>-0.15195731535590901</v>
      </c>
      <c r="C32" s="15">
        <v>-0.12798157624738599</v>
      </c>
      <c r="D32" s="17">
        <v>9.1696509999999991E-3</v>
      </c>
      <c r="E32" s="15">
        <v>0.109033591102356</v>
      </c>
      <c r="F32" s="15">
        <f t="shared" si="0"/>
        <v>-0.1680933046979769</v>
      </c>
      <c r="G32" s="15">
        <f t="shared" si="4"/>
        <v>-0.15077839145457717</v>
      </c>
      <c r="H32" s="15">
        <f t="shared" si="1"/>
        <v>-1.0246059393442622E-2</v>
      </c>
      <c r="I32" s="15">
        <f t="shared" si="2"/>
        <v>7.6988907032265214E-2</v>
      </c>
      <c r="J32">
        <f t="shared" si="5"/>
        <v>2.8255359084286901E-2</v>
      </c>
      <c r="K32">
        <f t="shared" si="6"/>
        <v>2.2734123329629707E-2</v>
      </c>
      <c r="L32">
        <f t="shared" si="7"/>
        <v>1.0498173309395379E-4</v>
      </c>
      <c r="M32">
        <f t="shared" si="8"/>
        <v>5.9272918060227758E-3</v>
      </c>
      <c r="N32">
        <f t="shared" si="3"/>
        <v>2.5344838096645075E-2</v>
      </c>
      <c r="O32">
        <f t="shared" si="9"/>
        <v>1.7222939835755192E-3</v>
      </c>
      <c r="P32">
        <f t="shared" si="10"/>
        <v>-1.2941319808138773E-2</v>
      </c>
      <c r="Q32">
        <f t="shared" si="11"/>
        <v>1.5448843540913392E-3</v>
      </c>
      <c r="R32">
        <f t="shared" si="12"/>
        <v>-1.1608263562170934E-2</v>
      </c>
      <c r="S32">
        <f t="shared" si="13"/>
        <v>-7.8883291408882172E-4</v>
      </c>
    </row>
    <row r="33" spans="1:19">
      <c r="A33" s="1">
        <v>41272</v>
      </c>
      <c r="B33" s="15">
        <v>-1.36574702633851E-2</v>
      </c>
      <c r="C33" s="15">
        <v>-4.24226687364994E-2</v>
      </c>
      <c r="D33" s="17">
        <v>-6.0574959999999999E-3</v>
      </c>
      <c r="E33" s="15">
        <v>1.21878935608377E-3</v>
      </c>
      <c r="F33" s="15">
        <f t="shared" si="0"/>
        <v>-2.9793459605452998E-2</v>
      </c>
      <c r="G33" s="15">
        <f t="shared" si="4"/>
        <v>-6.5219483943690593E-2</v>
      </c>
      <c r="H33" s="15">
        <f t="shared" si="1"/>
        <v>-2.547320639344262E-2</v>
      </c>
      <c r="I33" s="15">
        <f t="shared" si="2"/>
        <v>-3.082589471400702E-2</v>
      </c>
      <c r="J33">
        <f t="shared" si="5"/>
        <v>8.8765023526175954E-4</v>
      </c>
      <c r="K33">
        <f t="shared" si="6"/>
        <v>4.2535810858813153E-3</v>
      </c>
      <c r="L33">
        <f t="shared" si="7"/>
        <v>6.48884243962926E-4</v>
      </c>
      <c r="M33">
        <f t="shared" si="8"/>
        <v>9.502357849190459E-4</v>
      </c>
      <c r="N33">
        <f t="shared" si="3"/>
        <v>1.9431140603648361E-3</v>
      </c>
      <c r="O33">
        <f t="shared" si="9"/>
        <v>7.5893494570439973E-4</v>
      </c>
      <c r="P33">
        <f t="shared" si="10"/>
        <v>9.1841004896371528E-4</v>
      </c>
      <c r="Q33">
        <f t="shared" si="11"/>
        <v>1.6613493753714476E-3</v>
      </c>
      <c r="R33">
        <f t="shared" si="12"/>
        <v>2.0104489453500775E-3</v>
      </c>
      <c r="S33">
        <f t="shared" si="13"/>
        <v>7.852343783124327E-4</v>
      </c>
    </row>
    <row r="34" spans="1:19">
      <c r="A34" s="1">
        <v>41304</v>
      </c>
      <c r="B34" s="15">
        <v>0.113541896606427</v>
      </c>
      <c r="C34" s="15">
        <v>0.179065657640302</v>
      </c>
      <c r="D34" s="17">
        <v>5.9294030999999997E-2</v>
      </c>
      <c r="E34" s="15">
        <v>8.8456094776707198E-2</v>
      </c>
      <c r="F34" s="15">
        <f t="shared" si="0"/>
        <v>9.7405907264359104E-2</v>
      </c>
      <c r="G34" s="15">
        <f t="shared" si="4"/>
        <v>0.15626884243311082</v>
      </c>
      <c r="H34" s="15">
        <f t="shared" si="1"/>
        <v>3.9878320606557376E-2</v>
      </c>
      <c r="I34" s="15">
        <f t="shared" si="2"/>
        <v>5.6411410706616406E-2</v>
      </c>
      <c r="J34">
        <f t="shared" si="5"/>
        <v>9.4879107699929258E-3</v>
      </c>
      <c r="K34">
        <f t="shared" si="6"/>
        <v>2.4419951115384416E-2</v>
      </c>
      <c r="L34">
        <f t="shared" si="7"/>
        <v>1.5902804543993787E-3</v>
      </c>
      <c r="M34">
        <f t="shared" si="8"/>
        <v>3.1822472579105562E-3</v>
      </c>
      <c r="N34">
        <f t="shared" si="3"/>
        <v>1.5221508374348337E-2</v>
      </c>
      <c r="O34">
        <f t="shared" si="9"/>
        <v>3.8843839988607085E-3</v>
      </c>
      <c r="P34">
        <f t="shared" si="10"/>
        <v>5.4948046399403523E-3</v>
      </c>
      <c r="Q34">
        <f t="shared" si="11"/>
        <v>6.2317389993631908E-3</v>
      </c>
      <c r="R34">
        <f t="shared" si="12"/>
        <v>8.8153458511417392E-3</v>
      </c>
      <c r="S34">
        <f t="shared" si="13"/>
        <v>2.2495923220266323E-3</v>
      </c>
    </row>
    <row r="35" spans="1:19">
      <c r="A35" s="1">
        <v>41332</v>
      </c>
      <c r="B35" s="15">
        <v>0.122357675263806</v>
      </c>
      <c r="C35" s="15">
        <v>0.20149667274115801</v>
      </c>
      <c r="D35" s="17">
        <v>3.6797314999999997E-2</v>
      </c>
      <c r="E35" s="15">
        <v>6.2068925924737103E-2</v>
      </c>
      <c r="F35" s="15">
        <f t="shared" si="0"/>
        <v>0.10622168592173811</v>
      </c>
      <c r="G35" s="15">
        <f t="shared" si="4"/>
        <v>0.17869985753396683</v>
      </c>
      <c r="H35" s="15">
        <f t="shared" si="1"/>
        <v>1.7381604606557376E-2</v>
      </c>
      <c r="I35" s="15">
        <f t="shared" si="2"/>
        <v>3.0024241854646312E-2</v>
      </c>
      <c r="J35">
        <f t="shared" si="5"/>
        <v>1.1283046560056376E-2</v>
      </c>
      <c r="K35">
        <f t="shared" si="6"/>
        <v>3.1933639082660045E-2</v>
      </c>
      <c r="L35">
        <f t="shared" si="7"/>
        <v>3.0212017869869659E-4</v>
      </c>
      <c r="M35">
        <f t="shared" si="8"/>
        <v>9.0145509894629539E-4</v>
      </c>
      <c r="N35">
        <f t="shared" si="3"/>
        <v>1.898180014123237E-2</v>
      </c>
      <c r="O35">
        <f t="shared" si="9"/>
        <v>1.8463033453335739E-3</v>
      </c>
      <c r="P35">
        <f t="shared" si="10"/>
        <v>3.1892255883225443E-3</v>
      </c>
      <c r="Q35">
        <f t="shared" si="11"/>
        <v>3.1060902669035446E-3</v>
      </c>
      <c r="R35">
        <f t="shared" si="12"/>
        <v>5.3653277419906603E-3</v>
      </c>
      <c r="S35">
        <f t="shared" si="13"/>
        <v>5.2186950052911306E-4</v>
      </c>
    </row>
    <row r="36" spans="1:19">
      <c r="A36" s="1">
        <v>41363</v>
      </c>
      <c r="B36" s="15">
        <v>0.104808329164451</v>
      </c>
      <c r="C36" s="15">
        <v>-7.2107681720571595E-2</v>
      </c>
      <c r="D36" s="17">
        <v>3.4913260000000002E-2</v>
      </c>
      <c r="E36" s="15">
        <v>4.0189540189540199E-2</v>
      </c>
      <c r="F36" s="15">
        <f t="shared" ref="F36:F64" si="14">B36-$V$4</f>
        <v>8.8672339822383095E-2</v>
      </c>
      <c r="G36" s="15">
        <f t="shared" si="4"/>
        <v>-9.4904496927762788E-2</v>
      </c>
      <c r="H36" s="15">
        <f t="shared" ref="H36:H64" si="15">D36-$X$4</f>
        <v>1.549754960655738E-2</v>
      </c>
      <c r="I36" s="15">
        <f t="shared" ref="I36:I64" si="16">E36-$Y$4</f>
        <v>8.1448561194494076E-3</v>
      </c>
      <c r="J36">
        <f t="shared" si="5"/>
        <v>7.8627838495761871E-3</v>
      </c>
      <c r="K36">
        <f t="shared" si="6"/>
        <v>9.0068635371117357E-3</v>
      </c>
      <c r="L36">
        <f t="shared" si="7"/>
        <v>2.4017404380770679E-4</v>
      </c>
      <c r="M36">
        <f t="shared" si="8"/>
        <v>6.6338681206532467E-5</v>
      </c>
      <c r="N36">
        <f t="shared" ref="N36:N64" si="17">PRODUCT(F36,G36)</f>
        <v>-8.4154038022508943E-3</v>
      </c>
      <c r="O36">
        <f t="shared" si="9"/>
        <v>1.3742039851268955E-3</v>
      </c>
      <c r="P36">
        <f t="shared" si="10"/>
        <v>7.222234496282343E-4</v>
      </c>
      <c r="Q36">
        <f t="shared" si="11"/>
        <v>-1.4707871490233762E-3</v>
      </c>
      <c r="R36">
        <f t="shared" si="12"/>
        <v>-7.7298347256535629E-4</v>
      </c>
      <c r="S36">
        <f t="shared" si="13"/>
        <v>1.2622531174943965E-4</v>
      </c>
    </row>
    <row r="37" spans="1:19">
      <c r="A37" s="1">
        <v>41391</v>
      </c>
      <c r="B37" s="15">
        <v>4.1666645899787601E-2</v>
      </c>
      <c r="C37" s="15">
        <v>-6.5528116197183101E-2</v>
      </c>
      <c r="D37" s="17">
        <v>5.9204683000000001E-2</v>
      </c>
      <c r="E37" s="15">
        <v>6.0401518474776303E-2</v>
      </c>
      <c r="F37" s="15">
        <f t="shared" si="14"/>
        <v>2.5530656557719703E-2</v>
      </c>
      <c r="G37" s="15">
        <f t="shared" si="4"/>
        <v>-8.8324931404374293E-2</v>
      </c>
      <c r="H37" s="15">
        <f t="shared" si="15"/>
        <v>3.978897260655738E-2</v>
      </c>
      <c r="I37" s="15">
        <f t="shared" si="16"/>
        <v>2.8356834404685512E-2</v>
      </c>
      <c r="J37">
        <f t="shared" ref="J37:J64" si="18">POWER(F37, 2)</f>
        <v>6.5181442426823601E-4</v>
      </c>
      <c r="K37">
        <f t="shared" ref="K37:K64" si="19">POWER(G37, 2)</f>
        <v>7.8012935075874243E-3</v>
      </c>
      <c r="L37">
        <f t="shared" si="7"/>
        <v>1.5831623410853736E-3</v>
      </c>
      <c r="M37">
        <f t="shared" si="8"/>
        <v>8.0411005745475593E-4</v>
      </c>
      <c r="N37">
        <f t="shared" si="17"/>
        <v>-2.2549934891692314E-3</v>
      </c>
      <c r="O37">
        <f t="shared" si="9"/>
        <v>1.0158385944025337E-3</v>
      </c>
      <c r="P37">
        <f t="shared" si="10"/>
        <v>7.2396860025015586E-4</v>
      </c>
      <c r="Q37">
        <f t="shared" si="11"/>
        <v>-3.5143582761247086E-3</v>
      </c>
      <c r="R37">
        <f t="shared" si="12"/>
        <v>-2.5046154536390486E-3</v>
      </c>
      <c r="S37">
        <f t="shared" si="13"/>
        <v>1.1282893073367157E-3</v>
      </c>
    </row>
    <row r="38" spans="1:19">
      <c r="A38" s="1">
        <v>41424</v>
      </c>
      <c r="B38" s="15">
        <v>0.121148363636363</v>
      </c>
      <c r="C38" s="15">
        <v>7.3062221274602296E-2</v>
      </c>
      <c r="D38" s="17">
        <v>0.195212002</v>
      </c>
      <c r="E38" s="15">
        <v>0.22100239366753799</v>
      </c>
      <c r="F38" s="15">
        <f t="shared" si="14"/>
        <v>0.10501237429429511</v>
      </c>
      <c r="G38" s="15">
        <f t="shared" si="4"/>
        <v>5.0265406067411103E-2</v>
      </c>
      <c r="H38" s="15">
        <f t="shared" si="15"/>
        <v>0.17579629160655738</v>
      </c>
      <c r="I38" s="15">
        <f t="shared" si="16"/>
        <v>0.1889577095974472</v>
      </c>
      <c r="J38">
        <f t="shared" si="18"/>
        <v>1.1027598754925132E-2</v>
      </c>
      <c r="K38">
        <f t="shared" si="19"/>
        <v>2.526611047121729E-3</v>
      </c>
      <c r="L38">
        <f t="shared" si="7"/>
        <v>3.0904336142617755E-2</v>
      </c>
      <c r="M38">
        <f t="shared" si="8"/>
        <v>3.5705016016313193E-2</v>
      </c>
      <c r="N38">
        <f t="shared" si="17"/>
        <v>5.2784896360057072E-3</v>
      </c>
      <c r="O38">
        <f t="shared" si="9"/>
        <v>1.8460785973736852E-2</v>
      </c>
      <c r="P38">
        <f t="shared" si="10"/>
        <v>1.9842897726039845E-2</v>
      </c>
      <c r="Q38">
        <f t="shared" si="11"/>
        <v>8.8364719827486206E-3</v>
      </c>
      <c r="R38">
        <f t="shared" si="12"/>
        <v>9.4980360024836275E-3</v>
      </c>
      <c r="S38">
        <f t="shared" si="13"/>
        <v>3.3218064617700015E-2</v>
      </c>
    </row>
    <row r="39" spans="1:19">
      <c r="A39" s="1">
        <v>41454</v>
      </c>
      <c r="B39" s="15">
        <v>-1.7241412863044901E-2</v>
      </c>
      <c r="C39" s="15">
        <v>5.1668670159059099E-2</v>
      </c>
      <c r="D39" s="17">
        <v>-6.7149041000000007E-2</v>
      </c>
      <c r="E39" s="15">
        <v>-4.3784220583378101E-2</v>
      </c>
      <c r="F39" s="15">
        <f t="shared" si="14"/>
        <v>-3.3377402205112802E-2</v>
      </c>
      <c r="G39" s="15">
        <f t="shared" si="4"/>
        <v>2.887185495186791E-2</v>
      </c>
      <c r="H39" s="15">
        <f t="shared" si="15"/>
        <v>-8.6564751393442635E-2</v>
      </c>
      <c r="I39" s="15">
        <f t="shared" si="16"/>
        <v>-7.5828904653468893E-2</v>
      </c>
      <c r="J39">
        <f t="shared" si="18"/>
        <v>1.1140509779618689E-3</v>
      </c>
      <c r="K39">
        <f t="shared" si="19"/>
        <v>8.3358400836169952E-4</v>
      </c>
      <c r="L39">
        <f t="shared" si="7"/>
        <v>7.4934561838085282E-3</v>
      </c>
      <c r="M39">
        <f t="shared" si="8"/>
        <v>5.7500227809448761E-3</v>
      </c>
      <c r="N39">
        <f t="shared" si="17"/>
        <v>-9.6366751513617295E-4</v>
      </c>
      <c r="O39">
        <f t="shared" si="9"/>
        <v>2.8893065240445338E-3</v>
      </c>
      <c r="P39">
        <f t="shared" si="10"/>
        <v>2.5309718493919811E-3</v>
      </c>
      <c r="Q39">
        <f t="shared" si="11"/>
        <v>-2.4992849461759814E-3</v>
      </c>
      <c r="R39">
        <f t="shared" si="12"/>
        <v>-2.1893211363139754E-3</v>
      </c>
      <c r="S39">
        <f t="shared" si="13"/>
        <v>6.5641102797646001E-3</v>
      </c>
    </row>
    <row r="40" spans="1:19">
      <c r="A40" s="1">
        <v>41485</v>
      </c>
      <c r="B40" s="15">
        <v>7.3128348097967602E-2</v>
      </c>
      <c r="C40" s="15">
        <v>3.54255856796463E-2</v>
      </c>
      <c r="D40" s="17">
        <v>0.104237579</v>
      </c>
      <c r="E40" s="15">
        <v>8.3129003126015205E-2</v>
      </c>
      <c r="F40" s="15">
        <f t="shared" si="14"/>
        <v>5.6992358755899704E-2</v>
      </c>
      <c r="G40" s="15">
        <f t="shared" si="4"/>
        <v>1.2628770472455111E-2</v>
      </c>
      <c r="H40" s="15">
        <f t="shared" si="15"/>
        <v>8.4821868606557382E-2</v>
      </c>
      <c r="I40" s="15">
        <f t="shared" si="16"/>
        <v>5.1084319055924414E-2</v>
      </c>
      <c r="J40">
        <f t="shared" si="18"/>
        <v>3.2481289565611778E-3</v>
      </c>
      <c r="K40">
        <f t="shared" si="19"/>
        <v>1.5948584364595408E-4</v>
      </c>
      <c r="L40">
        <f t="shared" si="7"/>
        <v>7.1947493939080844E-3</v>
      </c>
      <c r="M40">
        <f t="shared" si="8"/>
        <v>2.6096076534074821E-3</v>
      </c>
      <c r="N40">
        <f t="shared" si="17"/>
        <v>7.1974341741207464E-4</v>
      </c>
      <c r="O40">
        <f t="shared" si="9"/>
        <v>4.8341983659707047E-3</v>
      </c>
      <c r="P40">
        <f t="shared" si="10"/>
        <v>2.911415838436088E-3</v>
      </c>
      <c r="Q40">
        <f t="shared" si="11"/>
        <v>1.071195909676959E-3</v>
      </c>
      <c r="R40">
        <f t="shared" si="12"/>
        <v>6.4513214009893417E-4</v>
      </c>
      <c r="S40">
        <f t="shared" si="13"/>
        <v>4.3330673988170761E-3</v>
      </c>
    </row>
    <row r="41" spans="1:19">
      <c r="A41" s="1">
        <v>41516</v>
      </c>
      <c r="B41" s="15">
        <v>6.1184834269744699E-2</v>
      </c>
      <c r="C41" s="15">
        <v>-0.113852490085622</v>
      </c>
      <c r="D41" s="17">
        <v>4.0774388000000002E-2</v>
      </c>
      <c r="E41" s="15">
        <v>0.230372386875727</v>
      </c>
      <c r="F41" s="15">
        <f t="shared" si="14"/>
        <v>4.5048844927676801E-2</v>
      </c>
      <c r="G41" s="15">
        <f t="shared" si="4"/>
        <v>-0.13664930529281319</v>
      </c>
      <c r="H41" s="15">
        <f t="shared" si="15"/>
        <v>2.135867760655738E-2</v>
      </c>
      <c r="I41" s="15">
        <f t="shared" si="16"/>
        <v>0.19832770280563622</v>
      </c>
      <c r="J41">
        <f t="shared" si="18"/>
        <v>2.029398429317872E-3</v>
      </c>
      <c r="K41">
        <f t="shared" si="19"/>
        <v>1.8673032637008462E-2</v>
      </c>
      <c r="L41">
        <f t="shared" si="7"/>
        <v>4.5619310910085571E-4</v>
      </c>
      <c r="M41">
        <f t="shared" si="8"/>
        <v>3.9333877700160766E-2</v>
      </c>
      <c r="N41">
        <f t="shared" si="17"/>
        <v>-6.1558933636107057E-3</v>
      </c>
      <c r="O41">
        <f t="shared" si="9"/>
        <v>9.6218375535804654E-4</v>
      </c>
      <c r="P41">
        <f t="shared" si="10"/>
        <v>8.9344339285534775E-3</v>
      </c>
      <c r="Q41">
        <f t="shared" si="11"/>
        <v>-2.9186484569092321E-3</v>
      </c>
      <c r="R41">
        <f t="shared" si="12"/>
        <v>-2.7101342808709707E-2</v>
      </c>
      <c r="S41">
        <f t="shared" si="13"/>
        <v>4.2360174646747092E-3</v>
      </c>
    </row>
    <row r="42" spans="1:19">
      <c r="A42" s="1">
        <v>41545</v>
      </c>
      <c r="B42" s="15">
        <v>-1.6015802807071301E-2</v>
      </c>
      <c r="C42" s="15">
        <v>-4.6481361137547902E-2</v>
      </c>
      <c r="D42" s="17">
        <v>-2.8312773999999999E-2</v>
      </c>
      <c r="E42" s="15">
        <v>4.5403435469849103E-2</v>
      </c>
      <c r="F42" s="15">
        <f t="shared" si="14"/>
        <v>-3.2151792149139199E-2</v>
      </c>
      <c r="G42" s="15">
        <f t="shared" si="4"/>
        <v>-6.9278176344739095E-2</v>
      </c>
      <c r="H42" s="15">
        <f t="shared" si="15"/>
        <v>-4.772848439344262E-2</v>
      </c>
      <c r="I42" s="15">
        <f t="shared" si="16"/>
        <v>1.3358751399758312E-2</v>
      </c>
      <c r="J42">
        <f t="shared" si="18"/>
        <v>1.033737738401449E-3</v>
      </c>
      <c r="K42">
        <f t="shared" si="19"/>
        <v>4.7994657176527672E-3</v>
      </c>
      <c r="L42">
        <f t="shared" si="7"/>
        <v>2.2780082224950959E-3</v>
      </c>
      <c r="M42">
        <f t="shared" si="8"/>
        <v>1.7845623896054464E-4</v>
      </c>
      <c r="N42">
        <f t="shared" si="17"/>
        <v>2.2274175263074635E-3</v>
      </c>
      <c r="O42">
        <f t="shared" si="9"/>
        <v>1.5345563098114012E-3</v>
      </c>
      <c r="P42">
        <f t="shared" si="10"/>
        <v>-4.2950779837705157E-4</v>
      </c>
      <c r="Q42">
        <f t="shared" si="11"/>
        <v>3.3065423584760457E-3</v>
      </c>
      <c r="R42">
        <f t="shared" si="12"/>
        <v>-9.2546993521798655E-4</v>
      </c>
      <c r="S42">
        <f t="shared" si="13"/>
        <v>-6.3759295769924432E-4</v>
      </c>
    </row>
    <row r="43" spans="1:19">
      <c r="A43" s="1">
        <v>41577</v>
      </c>
      <c r="B43" s="15">
        <v>1.5191380710234599E-2</v>
      </c>
      <c r="C43" s="15">
        <v>6.8647947906811099E-2</v>
      </c>
      <c r="D43" s="17">
        <v>1.3044215E-2</v>
      </c>
      <c r="E43" s="15">
        <v>8.2363286245819595E-2</v>
      </c>
      <c r="F43" s="15">
        <f t="shared" si="14"/>
        <v>-9.4460863183329878E-4</v>
      </c>
      <c r="G43" s="15">
        <f t="shared" si="4"/>
        <v>4.5851132699619906E-2</v>
      </c>
      <c r="H43" s="15">
        <f t="shared" si="15"/>
        <v>-6.3714953934426218E-3</v>
      </c>
      <c r="I43" s="15">
        <f t="shared" si="16"/>
        <v>5.0318602175728804E-2</v>
      </c>
      <c r="J43">
        <f t="shared" si="18"/>
        <v>8.9228546733397665E-7</v>
      </c>
      <c r="K43">
        <f t="shared" si="19"/>
        <v>2.1023263698381539E-3</v>
      </c>
      <c r="L43">
        <f t="shared" si="7"/>
        <v>4.059595354866055E-5</v>
      </c>
      <c r="M43">
        <f t="shared" si="8"/>
        <v>2.5319617249192593E-3</v>
      </c>
      <c r="N43">
        <f t="shared" si="17"/>
        <v>-4.331137572739499E-5</v>
      </c>
      <c r="O43">
        <f t="shared" si="9"/>
        <v>6.018569546332001E-6</v>
      </c>
      <c r="P43">
        <f t="shared" si="10"/>
        <v>-4.7531385956979236E-5</v>
      </c>
      <c r="Q43">
        <f t="shared" si="11"/>
        <v>-2.9214028077975462E-4</v>
      </c>
      <c r="R43">
        <f t="shared" si="12"/>
        <v>2.3071649056187241E-3</v>
      </c>
      <c r="S43">
        <f t="shared" si="13"/>
        <v>-3.2060474196712798E-4</v>
      </c>
    </row>
    <row r="44" spans="1:19">
      <c r="A44" s="1">
        <v>41607</v>
      </c>
      <c r="B44" s="15">
        <v>-4.7182716359221701E-2</v>
      </c>
      <c r="C44" s="15">
        <v>0.16596898354995401</v>
      </c>
      <c r="D44" s="17">
        <v>-0.11078595500000001</v>
      </c>
      <c r="E44" s="15">
        <v>8.1337639740848202E-3</v>
      </c>
      <c r="F44" s="15">
        <f t="shared" si="14"/>
        <v>-6.3318705701289599E-2</v>
      </c>
      <c r="G44" s="15">
        <f t="shared" si="4"/>
        <v>0.14317216834276283</v>
      </c>
      <c r="H44" s="15">
        <f t="shared" si="15"/>
        <v>-0.13020166539344263</v>
      </c>
      <c r="I44" s="15">
        <f t="shared" si="16"/>
        <v>-2.3910920096005969E-2</v>
      </c>
      <c r="J44">
        <f t="shared" si="18"/>
        <v>4.0092584916865239E-3</v>
      </c>
      <c r="K44">
        <f t="shared" si="19"/>
        <v>2.0498269787968419E-2</v>
      </c>
      <c r="L44">
        <f t="shared" si="7"/>
        <v>1.6952473671225998E-2</v>
      </c>
      <c r="M44">
        <f t="shared" si="8"/>
        <v>5.7173209983758214E-4</v>
      </c>
      <c r="N44">
        <f t="shared" si="17"/>
        <v>-9.065476391910892E-3</v>
      </c>
      <c r="O44">
        <f t="shared" si="9"/>
        <v>8.2442009328651776E-3</v>
      </c>
      <c r="P44">
        <f t="shared" si="10"/>
        <v>1.5140085126060532E-3</v>
      </c>
      <c r="Q44">
        <f t="shared" si="11"/>
        <v>-1.8641254756218046E-2</v>
      </c>
      <c r="R44">
        <f t="shared" si="12"/>
        <v>-3.4233782772157173E-3</v>
      </c>
      <c r="S44">
        <f t="shared" si="13"/>
        <v>3.1132416175895126E-3</v>
      </c>
    </row>
    <row r="45" spans="1:19">
      <c r="A45" s="1">
        <v>41636</v>
      </c>
      <c r="B45" s="15">
        <v>1.47435572197578E-2</v>
      </c>
      <c r="C45" s="15">
        <v>4.7475993161776003E-2</v>
      </c>
      <c r="D45" s="17">
        <v>-1.212976E-2</v>
      </c>
      <c r="E45" s="15">
        <v>-1.5867359501550101E-2</v>
      </c>
      <c r="F45" s="15">
        <f t="shared" si="14"/>
        <v>-1.3924321223100986E-3</v>
      </c>
      <c r="G45" s="15">
        <f t="shared" si="4"/>
        <v>2.4679177954584814E-2</v>
      </c>
      <c r="H45" s="15">
        <f t="shared" si="15"/>
        <v>-3.1545470393442618E-2</v>
      </c>
      <c r="I45" s="15">
        <f t="shared" si="16"/>
        <v>-4.7912043571640889E-2</v>
      </c>
      <c r="J45">
        <f t="shared" si="18"/>
        <v>1.9388672152410054E-6</v>
      </c>
      <c r="K45">
        <f t="shared" si="19"/>
        <v>6.0906182451406514E-4</v>
      </c>
      <c r="L45">
        <f t="shared" si="7"/>
        <v>9.951167023435647E-4</v>
      </c>
      <c r="M45">
        <f t="shared" si="8"/>
        <v>2.2955639192108151E-3</v>
      </c>
      <c r="N45">
        <f t="shared" si="17"/>
        <v>-3.4364080136171128E-5</v>
      </c>
      <c r="O45">
        <f t="shared" si="9"/>
        <v>4.3924926289211683E-5</v>
      </c>
      <c r="P45">
        <f t="shared" si="10"/>
        <v>6.6714268514673832E-5</v>
      </c>
      <c r="Q45">
        <f t="shared" si="11"/>
        <v>-7.7851627750085697E-4</v>
      </c>
      <c r="R45">
        <f t="shared" si="12"/>
        <v>-1.1824298494723469E-3</v>
      </c>
      <c r="S45">
        <f t="shared" si="13"/>
        <v>1.5114079519785303E-3</v>
      </c>
    </row>
    <row r="46" spans="1:19">
      <c r="A46" s="1">
        <v>41669</v>
      </c>
      <c r="B46" s="15">
        <v>0.170720104232469</v>
      </c>
      <c r="C46" s="15">
        <v>-7.2188258888579604E-2</v>
      </c>
      <c r="D46" s="17">
        <v>0.20845232599999999</v>
      </c>
      <c r="E46" s="15">
        <v>0.15385315315952899</v>
      </c>
      <c r="F46" s="15">
        <f t="shared" si="14"/>
        <v>0.15458411489040111</v>
      </c>
      <c r="G46" s="15">
        <f t="shared" si="4"/>
        <v>-9.4985074095770797E-2</v>
      </c>
      <c r="H46" s="15">
        <f t="shared" si="15"/>
        <v>0.18903661560655738</v>
      </c>
      <c r="I46" s="15">
        <f t="shared" si="16"/>
        <v>0.12180846908943821</v>
      </c>
      <c r="J46">
        <f t="shared" si="18"/>
        <v>2.3896248576448731E-2</v>
      </c>
      <c r="K46">
        <f t="shared" si="19"/>
        <v>9.022164300979069E-3</v>
      </c>
      <c r="L46">
        <f t="shared" si="7"/>
        <v>3.5734842039981334E-2</v>
      </c>
      <c r="M46">
        <f t="shared" si="8"/>
        <v>1.4837303141912624E-2</v>
      </c>
      <c r="N46">
        <f t="shared" si="17"/>
        <v>-1.4683183606893895E-2</v>
      </c>
      <c r="O46">
        <f t="shared" si="9"/>
        <v>2.9222057905416658E-2</v>
      </c>
      <c r="P46">
        <f t="shared" si="10"/>
        <v>1.882965438034559E-2</v>
      </c>
      <c r="Q46">
        <f t="shared" si="11"/>
        <v>-1.7955656940202593E-2</v>
      </c>
      <c r="R46">
        <f t="shared" si="12"/>
        <v>-1.1569986461952696E-2</v>
      </c>
      <c r="S46">
        <f t="shared" si="13"/>
        <v>2.3026260748883358E-2</v>
      </c>
    </row>
    <row r="47" spans="1:19">
      <c r="A47" s="1">
        <v>41697</v>
      </c>
      <c r="B47" s="15">
        <v>-1.3489815735457201E-2</v>
      </c>
      <c r="C47" s="15">
        <v>-8.3739373016749497E-2</v>
      </c>
      <c r="D47" s="17">
        <v>-2.5677394999999999E-2</v>
      </c>
      <c r="E47" s="15">
        <v>-0.116838992923959</v>
      </c>
      <c r="F47" s="15">
        <f t="shared" si="14"/>
        <v>-2.9625805077525099E-2</v>
      </c>
      <c r="G47" s="15">
        <f t="shared" si="4"/>
        <v>-0.10653618822394069</v>
      </c>
      <c r="H47" s="15">
        <f t="shared" si="15"/>
        <v>-4.509310539344262E-2</v>
      </c>
      <c r="I47" s="15">
        <f t="shared" si="16"/>
        <v>-0.14888367699404978</v>
      </c>
      <c r="J47">
        <f t="shared" si="18"/>
        <v>8.7768832649151194E-4</v>
      </c>
      <c r="K47">
        <f t="shared" si="19"/>
        <v>1.1349959401286918E-2</v>
      </c>
      <c r="L47">
        <f t="shared" si="7"/>
        <v>2.0333881540241239E-3</v>
      </c>
      <c r="M47">
        <f t="shared" si="8"/>
        <v>2.2166349275268546E-2</v>
      </c>
      <c r="N47">
        <f t="shared" si="17"/>
        <v>3.1562203460249916E-3</v>
      </c>
      <c r="O47">
        <f t="shared" si="9"/>
        <v>1.3359195507264268E-3</v>
      </c>
      <c r="P47">
        <f t="shared" si="10"/>
        <v>4.4107987938509265E-3</v>
      </c>
      <c r="Q47">
        <f t="shared" si="11"/>
        <v>4.804047563797798E-3</v>
      </c>
      <c r="R47">
        <f t="shared" si="12"/>
        <v>1.5861499435710476E-2</v>
      </c>
      <c r="S47">
        <f t="shared" si="13"/>
        <v>6.7136273380559554E-3</v>
      </c>
    </row>
    <row r="48" spans="1:19">
      <c r="A48" s="1">
        <v>41726</v>
      </c>
      <c r="B48" s="15">
        <v>-7.7533135957875199E-2</v>
      </c>
      <c r="C48" s="15">
        <v>-4.54158265328874E-2</v>
      </c>
      <c r="D48" s="17">
        <v>-1.9886814999999999E-2</v>
      </c>
      <c r="E48" s="15">
        <v>-0.12594979549611601</v>
      </c>
      <c r="F48" s="15">
        <f t="shared" si="14"/>
        <v>-9.366912529994309E-2</v>
      </c>
      <c r="G48" s="15">
        <f t="shared" si="4"/>
        <v>-6.8212641740078586E-2</v>
      </c>
      <c r="H48" s="15">
        <f t="shared" si="15"/>
        <v>-3.9302525393442617E-2</v>
      </c>
      <c r="I48" s="15">
        <f t="shared" si="16"/>
        <v>-0.1579944795662068</v>
      </c>
      <c r="J48">
        <f t="shared" si="18"/>
        <v>8.7739050344564379E-3</v>
      </c>
      <c r="K48">
        <f t="shared" si="19"/>
        <v>4.6529644931603111E-3</v>
      </c>
      <c r="L48">
        <f t="shared" si="7"/>
        <v>1.5446885023022018E-3</v>
      </c>
      <c r="M48">
        <f t="shared" si="8"/>
        <v>2.4962255573396538E-2</v>
      </c>
      <c r="N48">
        <f t="shared" si="17"/>
        <v>6.3894184861915488E-3</v>
      </c>
      <c r="O48">
        <f t="shared" si="9"/>
        <v>3.6814331756825714E-3</v>
      </c>
      <c r="P48">
        <f t="shared" si="10"/>
        <v>1.4799204703186323E-2</v>
      </c>
      <c r="Q48">
        <f t="shared" si="11"/>
        <v>2.6809290841432426E-3</v>
      </c>
      <c r="R48">
        <f t="shared" si="12"/>
        <v>1.077722083155983E-2</v>
      </c>
      <c r="S48">
        <f t="shared" si="13"/>
        <v>6.2095820451745932E-3</v>
      </c>
    </row>
    <row r="49" spans="1:19">
      <c r="A49" s="1">
        <v>41758</v>
      </c>
      <c r="B49" s="15">
        <v>-2.13864457431629E-2</v>
      </c>
      <c r="C49" s="15">
        <v>-8.3169894619820994E-2</v>
      </c>
      <c r="D49" s="17">
        <v>-2.6888775E-2</v>
      </c>
      <c r="E49" s="15">
        <v>1.9738187970322799E-2</v>
      </c>
      <c r="F49" s="15">
        <f t="shared" si="14"/>
        <v>-3.7522435085230801E-2</v>
      </c>
      <c r="G49" s="15">
        <f t="shared" si="4"/>
        <v>-0.10596670982701219</v>
      </c>
      <c r="H49" s="15">
        <f t="shared" si="15"/>
        <v>-4.6304485393442618E-2</v>
      </c>
      <c r="I49" s="15">
        <f t="shared" si="16"/>
        <v>-1.2306496099767993E-2</v>
      </c>
      <c r="J49">
        <f t="shared" si="18"/>
        <v>1.4079331347253594E-3</v>
      </c>
      <c r="K49">
        <f t="shared" si="19"/>
        <v>1.1228943591562202E-2</v>
      </c>
      <c r="L49">
        <f t="shared" si="7"/>
        <v>2.1441053675515407E-3</v>
      </c>
      <c r="M49">
        <f t="shared" si="8"/>
        <v>1.5144984625360482E-4</v>
      </c>
      <c r="N49">
        <f t="shared" si="17"/>
        <v>3.9761289906795538E-3</v>
      </c>
      <c r="O49">
        <f t="shared" si="9"/>
        <v>1.7374570473304685E-3</v>
      </c>
      <c r="P49">
        <f t="shared" si="10"/>
        <v>4.6176970103019055E-4</v>
      </c>
      <c r="Q49">
        <f t="shared" si="11"/>
        <v>4.9067339673760585E-3</v>
      </c>
      <c r="R49">
        <f t="shared" si="12"/>
        <v>1.3040789011913721E-3</v>
      </c>
      <c r="S49">
        <f t="shared" si="13"/>
        <v>5.6984596889616559E-4</v>
      </c>
    </row>
    <row r="50" spans="1:19">
      <c r="A50" s="1">
        <v>41789</v>
      </c>
      <c r="B50" s="15">
        <v>6.8726543141719401E-2</v>
      </c>
      <c r="C50" s="15">
        <v>-0.11183723972902</v>
      </c>
      <c r="D50" s="17">
        <v>0.10959485200000001</v>
      </c>
      <c r="E50" s="15">
        <v>0.12405980467415299</v>
      </c>
      <c r="F50" s="15">
        <f t="shared" si="14"/>
        <v>5.2590553799651503E-2</v>
      </c>
      <c r="G50" s="15">
        <f t="shared" si="4"/>
        <v>-0.13463405493621119</v>
      </c>
      <c r="H50" s="15">
        <f t="shared" si="15"/>
        <v>9.0179141606557378E-2</v>
      </c>
      <c r="I50" s="15">
        <f t="shared" si="16"/>
        <v>9.2015120604062195E-2</v>
      </c>
      <c r="J50">
        <f t="shared" si="18"/>
        <v>2.7657663489540391E-3</v>
      </c>
      <c r="K50">
        <f t="shared" si="19"/>
        <v>1.8126328748566733E-2</v>
      </c>
      <c r="L50">
        <f t="shared" si="7"/>
        <v>8.1322775808955281E-3</v>
      </c>
      <c r="M50">
        <f t="shared" si="8"/>
        <v>8.4667824197801108E-3</v>
      </c>
      <c r="N50">
        <f t="shared" si="17"/>
        <v>-7.0804795093880506E-3</v>
      </c>
      <c r="O50">
        <f t="shared" si="9"/>
        <v>4.7425709982660469E-3</v>
      </c>
      <c r="P50">
        <f t="shared" si="10"/>
        <v>4.8391261505093541E-3</v>
      </c>
      <c r="Q50">
        <f t="shared" si="11"/>
        <v>-1.2141183505157615E-2</v>
      </c>
      <c r="R50">
        <f t="shared" si="12"/>
        <v>-1.2388368802369407E-2</v>
      </c>
      <c r="S50">
        <f t="shared" si="13"/>
        <v>8.2978445908981797E-3</v>
      </c>
    </row>
    <row r="51" spans="1:19">
      <c r="A51" s="1">
        <v>41818</v>
      </c>
      <c r="B51" s="15">
        <v>7.6293832954796997E-2</v>
      </c>
      <c r="C51" s="15">
        <v>0.105534851285303</v>
      </c>
      <c r="D51" s="17">
        <v>7.7228627999999994E-2</v>
      </c>
      <c r="E51" s="15">
        <v>5.6031396216427602E-2</v>
      </c>
      <c r="F51" s="15">
        <f t="shared" si="14"/>
        <v>6.0157843612729099E-2</v>
      </c>
      <c r="G51" s="15">
        <f t="shared" si="4"/>
        <v>8.273803607811181E-2</v>
      </c>
      <c r="H51" s="15">
        <f t="shared" si="15"/>
        <v>5.7812917606557372E-2</v>
      </c>
      <c r="I51" s="15">
        <f t="shared" si="16"/>
        <v>2.3986712146336811E-2</v>
      </c>
      <c r="J51">
        <f t="shared" si="18"/>
        <v>3.6189661481335713E-3</v>
      </c>
      <c r="K51">
        <f t="shared" si="19"/>
        <v>6.8455826140629318E-3</v>
      </c>
      <c r="L51">
        <f t="shared" si="7"/>
        <v>3.3423334421825916E-3</v>
      </c>
      <c r="M51">
        <f t="shared" si="8"/>
        <v>5.7536235959122187E-4</v>
      </c>
      <c r="N51">
        <f t="shared" si="17"/>
        <v>4.9773418352113885E-3</v>
      </c>
      <c r="O51">
        <f t="shared" si="9"/>
        <v>3.477900456170871E-3</v>
      </c>
      <c r="P51">
        <f t="shared" si="10"/>
        <v>1.4429888780828795E-3</v>
      </c>
      <c r="Q51">
        <f t="shared" si="11"/>
        <v>4.7833272627122491E-3</v>
      </c>
      <c r="R51">
        <f t="shared" si="12"/>
        <v>1.9846134549588979E-3</v>
      </c>
      <c r="S51">
        <f t="shared" si="13"/>
        <v>1.386741812968379E-3</v>
      </c>
    </row>
    <row r="52" spans="1:19">
      <c r="A52" s="1">
        <v>41850</v>
      </c>
      <c r="B52" s="15">
        <v>-3.7997929769392001E-2</v>
      </c>
      <c r="C52" s="15">
        <v>2.1094716595517499E-2</v>
      </c>
      <c r="D52" s="17">
        <v>-8.7008960999999996E-2</v>
      </c>
      <c r="E52" s="15">
        <v>-4.51166268577506E-2</v>
      </c>
      <c r="F52" s="15">
        <f t="shared" si="14"/>
        <v>-5.4133919111459899E-2</v>
      </c>
      <c r="G52" s="15">
        <f t="shared" si="4"/>
        <v>-1.70209861167369E-3</v>
      </c>
      <c r="H52" s="15">
        <f t="shared" si="15"/>
        <v>-0.10642467139344261</v>
      </c>
      <c r="I52" s="15">
        <f t="shared" si="16"/>
        <v>-7.7161310927841398E-2</v>
      </c>
      <c r="J52">
        <f t="shared" si="18"/>
        <v>2.9304811983660835E-3</v>
      </c>
      <c r="K52">
        <f t="shared" si="19"/>
        <v>2.8971396838615031E-6</v>
      </c>
      <c r="L52">
        <f t="shared" si="7"/>
        <v>1.1326210681202242E-2</v>
      </c>
      <c r="M52">
        <f t="shared" si="8"/>
        <v>5.9538679041030163E-3</v>
      </c>
      <c r="N52">
        <f t="shared" si="17"/>
        <v>9.2141268564071722E-5</v>
      </c>
      <c r="O52">
        <f t="shared" si="9"/>
        <v>5.7611845526763222E-3</v>
      </c>
      <c r="P52">
        <f t="shared" si="10"/>
        <v>4.1770441643019726E-3</v>
      </c>
      <c r="Q52">
        <f t="shared" si="11"/>
        <v>1.8114528542660733E-4</v>
      </c>
      <c r="R52">
        <f t="shared" si="12"/>
        <v>1.3133616020520077E-4</v>
      </c>
      <c r="S52">
        <f t="shared" si="13"/>
        <v>8.2118671597827732E-3</v>
      </c>
    </row>
    <row r="53" spans="1:19">
      <c r="A53" s="1">
        <v>41881</v>
      </c>
      <c r="B53" s="15">
        <v>-1.79787528732974E-2</v>
      </c>
      <c r="C53" s="15">
        <v>-0.233682143410852</v>
      </c>
      <c r="D53" s="17">
        <v>-0.1191456</v>
      </c>
      <c r="E53" s="15">
        <v>0.181737759203798</v>
      </c>
      <c r="F53" s="15">
        <f t="shared" si="14"/>
        <v>-3.4114742215365298E-2</v>
      </c>
      <c r="G53" s="15">
        <f t="shared" si="4"/>
        <v>-0.25647895861804321</v>
      </c>
      <c r="H53" s="15">
        <f t="shared" si="15"/>
        <v>-0.13856131039344263</v>
      </c>
      <c r="I53" s="15">
        <f t="shared" si="16"/>
        <v>0.14969307513370722</v>
      </c>
      <c r="J53">
        <f t="shared" si="18"/>
        <v>1.1638156364208272E-3</v>
      </c>
      <c r="K53">
        <f t="shared" si="19"/>
        <v>6.5781456213795914E-2</v>
      </c>
      <c r="L53">
        <f t="shared" si="7"/>
        <v>1.9199236737947954E-2</v>
      </c>
      <c r="M53">
        <f t="shared" si="8"/>
        <v>2.2408016742985714E-2</v>
      </c>
      <c r="N53">
        <f t="shared" si="17"/>
        <v>8.7497135569198879E-3</v>
      </c>
      <c r="O53">
        <f t="shared" si="9"/>
        <v>4.7269833850955116E-3</v>
      </c>
      <c r="P53">
        <f t="shared" si="10"/>
        <v>-5.1067406696117309E-3</v>
      </c>
      <c r="Q53">
        <f t="shared" si="11"/>
        <v>3.5538060594461615E-2</v>
      </c>
      <c r="R53">
        <f t="shared" si="12"/>
        <v>-3.8393124022625728E-2</v>
      </c>
      <c r="S53">
        <f t="shared" si="13"/>
        <v>-2.0741668647350536E-2</v>
      </c>
    </row>
    <row r="54" spans="1:19">
      <c r="A54" s="1">
        <v>41909</v>
      </c>
      <c r="B54" s="15">
        <v>0.15381420676322299</v>
      </c>
      <c r="C54" s="15">
        <v>0.15091766813017399</v>
      </c>
      <c r="D54" s="17">
        <v>6.2428301999999998E-2</v>
      </c>
      <c r="E54" s="15">
        <v>3.31686662648795E-2</v>
      </c>
      <c r="F54" s="15">
        <f t="shared" si="14"/>
        <v>0.1376782174211551</v>
      </c>
      <c r="G54" s="15">
        <f t="shared" si="4"/>
        <v>0.12812085292298281</v>
      </c>
      <c r="H54" s="15">
        <f t="shared" si="15"/>
        <v>4.3012591606557377E-2</v>
      </c>
      <c r="I54" s="15">
        <f t="shared" si="16"/>
        <v>1.1239821947887085E-3</v>
      </c>
      <c r="J54">
        <f t="shared" si="18"/>
        <v>1.8955291552266856E-2</v>
      </c>
      <c r="K54">
        <f t="shared" si="19"/>
        <v>1.6414952953712592E-2</v>
      </c>
      <c r="L54">
        <f t="shared" si="7"/>
        <v>1.85008303671249E-3</v>
      </c>
      <c r="M54">
        <f t="shared" si="8"/>
        <v>1.2633359742020422E-6</v>
      </c>
      <c r="N54">
        <f t="shared" si="17"/>
        <v>1.7639450644914262E-2</v>
      </c>
      <c r="O54">
        <f t="shared" si="9"/>
        <v>5.9218969390549573E-3</v>
      </c>
      <c r="P54">
        <f t="shared" si="10"/>
        <v>1.5474786499162691E-4</v>
      </c>
      <c r="Q54">
        <f t="shared" si="11"/>
        <v>5.5108099230600626E-3</v>
      </c>
      <c r="R54">
        <f t="shared" si="12"/>
        <v>1.4400555746657553E-4</v>
      </c>
      <c r="S54">
        <f t="shared" si="13"/>
        <v>4.8345387117488746E-5</v>
      </c>
    </row>
    <row r="55" spans="1:19">
      <c r="A55" s="1">
        <v>41942</v>
      </c>
      <c r="B55" s="15">
        <v>-0.169972336339167</v>
      </c>
      <c r="C55" s="15">
        <v>-8.9375658269441299E-2</v>
      </c>
      <c r="D55" s="17">
        <v>-0.24491655300000001</v>
      </c>
      <c r="E55" s="15">
        <v>-6.6091815852894503E-2</v>
      </c>
      <c r="F55" s="15">
        <f t="shared" si="14"/>
        <v>-0.18610832568123489</v>
      </c>
      <c r="G55" s="15">
        <f t="shared" si="4"/>
        <v>-0.11217247347663249</v>
      </c>
      <c r="H55" s="15">
        <f t="shared" si="15"/>
        <v>-0.26433226339344262</v>
      </c>
      <c r="I55" s="15">
        <f t="shared" si="16"/>
        <v>-9.8136499922985287E-2</v>
      </c>
      <c r="J55">
        <f t="shared" si="18"/>
        <v>3.4636308887872592E-2</v>
      </c>
      <c r="K55">
        <f t="shared" si="19"/>
        <v>1.2582663805865819E-2</v>
      </c>
      <c r="L55">
        <f t="shared" si="7"/>
        <v>6.9871545470700333E-2</v>
      </c>
      <c r="M55">
        <f t="shared" si="8"/>
        <v>9.6307726171340913E-3</v>
      </c>
      <c r="N55">
        <f t="shared" si="17"/>
        <v>2.0876231226258802E-2</v>
      </c>
      <c r="O55">
        <f t="shared" si="9"/>
        <v>4.9194434963684787E-2</v>
      </c>
      <c r="P55">
        <f t="shared" si="10"/>
        <v>1.8264019688883429E-2</v>
      </c>
      <c r="Q55">
        <f t="shared" si="11"/>
        <v>2.9650803804519177E-2</v>
      </c>
      <c r="R55">
        <f t="shared" si="12"/>
        <v>1.1008213934700613E-2</v>
      </c>
      <c r="S55">
        <f t="shared" si="13"/>
        <v>2.594064314615311E-2</v>
      </c>
    </row>
    <row r="56" spans="1:19">
      <c r="A56" s="1">
        <v>41972</v>
      </c>
      <c r="B56" s="15">
        <v>-0.27762492638848901</v>
      </c>
      <c r="C56" s="15">
        <v>9.2470533775206906E-2</v>
      </c>
      <c r="D56" s="17">
        <v>-7.5950789000000005E-2</v>
      </c>
      <c r="E56" s="15">
        <v>-0.14898733409588399</v>
      </c>
      <c r="F56" s="15">
        <f t="shared" si="14"/>
        <v>-0.2937609157305569</v>
      </c>
      <c r="G56" s="15">
        <f t="shared" si="4"/>
        <v>6.9673718568015713E-2</v>
      </c>
      <c r="H56" s="15">
        <f t="shared" si="15"/>
        <v>-9.5366499393442633E-2</v>
      </c>
      <c r="I56" s="15">
        <f t="shared" si="16"/>
        <v>-0.18103201816597478</v>
      </c>
      <c r="J56">
        <f t="shared" si="18"/>
        <v>8.6295475610855349E-2</v>
      </c>
      <c r="K56">
        <f t="shared" si="19"/>
        <v>4.8544270590950575E-3</v>
      </c>
      <c r="L56">
        <f t="shared" si="7"/>
        <v>9.0947692065594943E-3</v>
      </c>
      <c r="M56">
        <f t="shared" si="8"/>
        <v>3.2772591601245821E-2</v>
      </c>
      <c r="N56">
        <f t="shared" si="17"/>
        <v>-2.0467415368893401E-2</v>
      </c>
      <c r="O56">
        <f t="shared" si="9"/>
        <v>2.8014950191835308E-2</v>
      </c>
      <c r="P56">
        <f t="shared" si="10"/>
        <v>5.3180131432987561E-2</v>
      </c>
      <c r="Q56">
        <f t="shared" si="11"/>
        <v>-6.6445386395555632E-3</v>
      </c>
      <c r="R56">
        <f t="shared" si="12"/>
        <v>-1.2613173885496034E-2</v>
      </c>
      <c r="S56">
        <f t="shared" si="13"/>
        <v>1.7264389850619129E-2</v>
      </c>
    </row>
    <row r="57" spans="1:19">
      <c r="A57" s="1">
        <v>42003</v>
      </c>
      <c r="B57" s="15">
        <v>-6.6359280947087401E-2</v>
      </c>
      <c r="C57" s="15">
        <v>3.4502407517946497E-2</v>
      </c>
      <c r="D57" s="17">
        <v>-6.1377375999999997E-2</v>
      </c>
      <c r="E57" s="15">
        <v>-6.1365880575651899E-2</v>
      </c>
      <c r="F57" s="15">
        <f t="shared" si="14"/>
        <v>-8.2495270289155292E-2</v>
      </c>
      <c r="G57" s="15">
        <f t="shared" si="4"/>
        <v>1.1705592310755308E-2</v>
      </c>
      <c r="H57" s="15">
        <f t="shared" si="15"/>
        <v>-8.0793086393442626E-2</v>
      </c>
      <c r="I57" s="15">
        <f t="shared" si="16"/>
        <v>-9.3410564645742683E-2</v>
      </c>
      <c r="J57">
        <f t="shared" si="18"/>
        <v>6.8054696200807877E-3</v>
      </c>
      <c r="K57">
        <f t="shared" si="19"/>
        <v>1.3702089134561379E-4</v>
      </c>
      <c r="L57">
        <f t="shared" si="7"/>
        <v>6.5275228089782837E-3</v>
      </c>
      <c r="M57">
        <f t="shared" si="8"/>
        <v>8.7255335874364733E-3</v>
      </c>
      <c r="N57">
        <f t="shared" si="17"/>
        <v>-9.6565600157041693E-4</v>
      </c>
      <c r="O57">
        <f t="shared" si="9"/>
        <v>6.6650474995221245E-3</v>
      </c>
      <c r="P57">
        <f t="shared" si="10"/>
        <v>7.7059297783131564E-3</v>
      </c>
      <c r="Q57">
        <f t="shared" si="11"/>
        <v>-9.4573093084927124E-4</v>
      </c>
      <c r="R57">
        <f t="shared" si="12"/>
        <v>-1.0934259872605171E-3</v>
      </c>
      <c r="S57">
        <f t="shared" si="13"/>
        <v>7.5469278194837458E-3</v>
      </c>
    </row>
    <row r="58" spans="1:19">
      <c r="A58" s="1">
        <v>42034</v>
      </c>
      <c r="B58" s="15">
        <v>1.43869873308997E-2</v>
      </c>
      <c r="C58" s="15">
        <v>7.0357302764951099E-2</v>
      </c>
      <c r="D58" s="17">
        <v>0.16892654100000001</v>
      </c>
      <c r="E58" s="15">
        <v>2.5354584702650299E-2</v>
      </c>
      <c r="F58" s="15">
        <f t="shared" si="14"/>
        <v>-1.7490020111681978E-3</v>
      </c>
      <c r="G58" s="15">
        <f t="shared" si="4"/>
        <v>4.7560487557759906E-2</v>
      </c>
      <c r="H58" s="15">
        <f t="shared" si="15"/>
        <v>0.1495108306065574</v>
      </c>
      <c r="I58" s="15">
        <f t="shared" si="16"/>
        <v>-6.6900993674404927E-3</v>
      </c>
      <c r="J58">
        <f t="shared" si="18"/>
        <v>3.0590080350704006E-6</v>
      </c>
      <c r="K58">
        <f t="shared" si="19"/>
        <v>2.2619999767318349E-3</v>
      </c>
      <c r="L58">
        <f t="shared" si="7"/>
        <v>2.23534884686627E-2</v>
      </c>
      <c r="M58">
        <f t="shared" si="8"/>
        <v>4.475742954622768E-5</v>
      </c>
      <c r="N58">
        <f t="shared" si="17"/>
        <v>-8.3183388390662127E-5</v>
      </c>
      <c r="O58">
        <f t="shared" si="9"/>
        <v>-2.6149474342229662E-4</v>
      </c>
      <c r="P58">
        <f t="shared" si="10"/>
        <v>1.170099724856851E-5</v>
      </c>
      <c r="Q58">
        <f t="shared" si="11"/>
        <v>7.1108079988135217E-3</v>
      </c>
      <c r="R58">
        <f t="shared" si="12"/>
        <v>-3.1818438772533096E-4</v>
      </c>
      <c r="S58">
        <f t="shared" si="13"/>
        <v>-1.0002423132664323E-3</v>
      </c>
    </row>
    <row r="59" spans="1:19">
      <c r="A59" s="1">
        <v>42062</v>
      </c>
      <c r="B59" s="15">
        <v>-0.107959415412387</v>
      </c>
      <c r="C59" s="15">
        <v>-0.113960198458783</v>
      </c>
      <c r="D59" s="17">
        <v>3.8378155999999997E-2</v>
      </c>
      <c r="E59" s="15">
        <v>-0.17328280890716699</v>
      </c>
      <c r="F59" s="15">
        <f t="shared" si="14"/>
        <v>-0.12409540475445491</v>
      </c>
      <c r="G59" s="15">
        <f t="shared" si="4"/>
        <v>-0.13675701366597418</v>
      </c>
      <c r="H59" s="15">
        <f t="shared" si="15"/>
        <v>1.8962445606557375E-2</v>
      </c>
      <c r="I59" s="15">
        <f t="shared" si="16"/>
        <v>-0.20532749297725778</v>
      </c>
      <c r="J59">
        <f t="shared" si="18"/>
        <v>1.5399669481171989E-2</v>
      </c>
      <c r="K59">
        <f t="shared" si="19"/>
        <v>1.8702480786835448E-2</v>
      </c>
      <c r="L59">
        <f t="shared" si="7"/>
        <v>3.595743433816471E-4</v>
      </c>
      <c r="M59">
        <f t="shared" si="8"/>
        <v>4.2159379372325841E-2</v>
      </c>
      <c r="N59">
        <f t="shared" si="17"/>
        <v>1.6970916963889585E-2</v>
      </c>
      <c r="O59">
        <f t="shared" si="9"/>
        <v>-2.3531523626800725E-3</v>
      </c>
      <c r="P59">
        <f t="shared" si="10"/>
        <v>2.5480198348230301E-2</v>
      </c>
      <c r="Q59">
        <f t="shared" si="11"/>
        <v>-2.5932474329562589E-3</v>
      </c>
      <c r="R59">
        <f t="shared" si="12"/>
        <v>2.807997476309106E-2</v>
      </c>
      <c r="S59">
        <f t="shared" si="13"/>
        <v>-3.8935114171120421E-3</v>
      </c>
    </row>
    <row r="60" spans="1:19">
      <c r="A60" s="1">
        <v>42091</v>
      </c>
      <c r="B60" s="15">
        <v>8.0446133850169396E-2</v>
      </c>
      <c r="C60" s="15">
        <v>8.1668291005876498E-2</v>
      </c>
      <c r="D60" s="17">
        <v>6.1077448999999999E-2</v>
      </c>
      <c r="E60" s="15">
        <v>8.1480642184720495E-2</v>
      </c>
      <c r="F60" s="15">
        <f t="shared" si="14"/>
        <v>6.4310144508101491E-2</v>
      </c>
      <c r="G60" s="15">
        <f t="shared" si="4"/>
        <v>5.8871475798685305E-2</v>
      </c>
      <c r="H60" s="15">
        <f t="shared" si="15"/>
        <v>4.1661738606557377E-2</v>
      </c>
      <c r="I60" s="15">
        <f t="shared" si="16"/>
        <v>4.9435958114629704E-2</v>
      </c>
      <c r="J60">
        <f t="shared" si="18"/>
        <v>4.1357946866528968E-3</v>
      </c>
      <c r="K60">
        <f t="shared" si="19"/>
        <v>3.4658506627151895E-3</v>
      </c>
      <c r="L60">
        <f t="shared" si="7"/>
        <v>1.7357004637211136E-3</v>
      </c>
      <c r="M60">
        <f t="shared" si="8"/>
        <v>2.4439139547114226E-3</v>
      </c>
      <c r="N60">
        <f t="shared" si="17"/>
        <v>3.7860331160186516E-3</v>
      </c>
      <c r="O60">
        <f t="shared" si="9"/>
        <v>2.679272430246456E-3</v>
      </c>
      <c r="P60">
        <f t="shared" si="10"/>
        <v>3.1792336102482886E-3</v>
      </c>
      <c r="Q60">
        <f t="shared" si="11"/>
        <v>2.4526880361070958E-3</v>
      </c>
      <c r="R60">
        <f t="shared" si="12"/>
        <v>2.910367811730243E-3</v>
      </c>
      <c r="S60">
        <f t="shared" si="13"/>
        <v>2.0595879647364217E-3</v>
      </c>
    </row>
    <row r="61" spans="1:19">
      <c r="A61" s="1">
        <v>42123</v>
      </c>
      <c r="B61" s="15">
        <v>5.03267984820654E-2</v>
      </c>
      <c r="C61" s="15">
        <v>0.17608400168747901</v>
      </c>
      <c r="D61" s="17">
        <v>-6.8680460999999998E-2</v>
      </c>
      <c r="E61" s="15">
        <v>2.6067594805523099E-2</v>
      </c>
      <c r="F61" s="15">
        <f t="shared" si="14"/>
        <v>3.4190809139997502E-2</v>
      </c>
      <c r="G61" s="15">
        <f t="shared" si="4"/>
        <v>0.15328718648028783</v>
      </c>
      <c r="H61" s="15">
        <f t="shared" si="15"/>
        <v>-8.8096171393442613E-2</v>
      </c>
      <c r="I61" s="15">
        <f t="shared" si="16"/>
        <v>-5.9770892645676921E-3</v>
      </c>
      <c r="J61">
        <f t="shared" si="18"/>
        <v>1.1690114296477368E-3</v>
      </c>
      <c r="K61">
        <f t="shared" si="19"/>
        <v>2.3496961539042537E-2</v>
      </c>
      <c r="L61">
        <f t="shared" si="7"/>
        <v>7.7609354141828166E-3</v>
      </c>
      <c r="M61">
        <f t="shared" si="8"/>
        <v>3.5725596076610354E-5</v>
      </c>
      <c r="N61">
        <f t="shared" si="17"/>
        <v>5.2410129365547268E-3</v>
      </c>
      <c r="O61">
        <f t="shared" si="9"/>
        <v>-3.0120793820777041E-3</v>
      </c>
      <c r="P61">
        <f t="shared" si="10"/>
        <v>-2.0436151825756199E-4</v>
      </c>
      <c r="Q61">
        <f t="shared" si="11"/>
        <v>-1.3504014252586035E-2</v>
      </c>
      <c r="R61">
        <f t="shared" si="12"/>
        <v>-9.1621119670711425E-4</v>
      </c>
      <c r="S61">
        <f t="shared" si="13"/>
        <v>5.2655868028526128E-4</v>
      </c>
    </row>
    <row r="62" spans="1:19">
      <c r="A62" s="1">
        <v>42154</v>
      </c>
      <c r="B62" s="15">
        <v>-0.100394111188427</v>
      </c>
      <c r="C62" s="15">
        <v>-0.126243271803477</v>
      </c>
      <c r="D62" s="17">
        <v>-1.6587426999999998E-2</v>
      </c>
      <c r="E62" s="15">
        <v>0.116905915172861</v>
      </c>
      <c r="F62" s="15">
        <f t="shared" si="14"/>
        <v>-0.1165301005304949</v>
      </c>
      <c r="G62" s="15">
        <f t="shared" si="4"/>
        <v>-0.14904008701066818</v>
      </c>
      <c r="H62" s="15">
        <f t="shared" si="15"/>
        <v>-3.6003137393442616E-2</v>
      </c>
      <c r="I62" s="15">
        <f t="shared" si="16"/>
        <v>8.4861231102770218E-2</v>
      </c>
      <c r="J62">
        <f t="shared" si="18"/>
        <v>1.3579264329647248E-2</v>
      </c>
      <c r="K62">
        <f t="shared" si="19"/>
        <v>2.221294753614754E-2</v>
      </c>
      <c r="L62">
        <f t="shared" si="7"/>
        <v>1.2962259021711061E-3</v>
      </c>
      <c r="M62">
        <f t="shared" si="8"/>
        <v>7.2014285442777758E-3</v>
      </c>
      <c r="N62">
        <f t="shared" si="17"/>
        <v>1.7367656322426869E-2</v>
      </c>
      <c r="O62">
        <f t="shared" si="9"/>
        <v>4.1954492198710879E-3</v>
      </c>
      <c r="P62">
        <f t="shared" si="10"/>
        <v>-9.8888877915473735E-3</v>
      </c>
      <c r="Q62">
        <f t="shared" si="11"/>
        <v>5.3659107297757283E-3</v>
      </c>
      <c r="R62">
        <f t="shared" si="12"/>
        <v>-1.2647725267389293E-2</v>
      </c>
      <c r="S62">
        <f t="shared" si="13"/>
        <v>-3.055270562769722E-3</v>
      </c>
    </row>
    <row r="63" spans="1:19">
      <c r="A63" s="1">
        <v>42182</v>
      </c>
      <c r="B63" s="15">
        <v>8.8309939781183705E-2</v>
      </c>
      <c r="C63" s="15">
        <v>2.59526793985052E-2</v>
      </c>
      <c r="D63" s="17">
        <v>8.7881390000000004E-2</v>
      </c>
      <c r="E63" s="15">
        <v>4.9745694872941303E-2</v>
      </c>
      <c r="F63" s="15">
        <f t="shared" si="14"/>
        <v>7.2173950439115814E-2</v>
      </c>
      <c r="G63" s="15">
        <f t="shared" si="4"/>
        <v>3.1558641913140111E-3</v>
      </c>
      <c r="H63" s="15">
        <f t="shared" si="15"/>
        <v>6.8465679606557389E-2</v>
      </c>
      <c r="I63" s="15">
        <f t="shared" si="16"/>
        <v>1.7701010802850511E-2</v>
      </c>
      <c r="J63">
        <f t="shared" si="18"/>
        <v>5.2090791219879459E-3</v>
      </c>
      <c r="K63">
        <f t="shared" si="19"/>
        <v>9.9594787940180376E-6</v>
      </c>
      <c r="L63">
        <f t="shared" si="7"/>
        <v>4.6875492839877683E-3</v>
      </c>
      <c r="M63">
        <f t="shared" si="8"/>
        <v>3.1332578344263053E-4</v>
      </c>
      <c r="N63">
        <f t="shared" si="17"/>
        <v>2.2777118573647775E-4</v>
      </c>
      <c r="O63">
        <f t="shared" si="9"/>
        <v>4.9414385667040555E-3</v>
      </c>
      <c r="P63">
        <f t="shared" si="10"/>
        <v>1.2775518764071864E-3</v>
      </c>
      <c r="Q63">
        <f t="shared" si="11"/>
        <v>2.1606838660431243E-4</v>
      </c>
      <c r="R63">
        <f t="shared" si="12"/>
        <v>5.5861986142778404E-5</v>
      </c>
      <c r="S63">
        <f t="shared" si="13"/>
        <v>1.2119117343401744E-3</v>
      </c>
    </row>
    <row r="64" spans="1:19">
      <c r="A64" s="1">
        <v>42215</v>
      </c>
      <c r="B64" s="15">
        <v>3.26271391392556E-2</v>
      </c>
      <c r="C64" s="15">
        <v>-9.7548565546411795E-2</v>
      </c>
      <c r="D64" s="17">
        <v>-8.6509991999999994E-2</v>
      </c>
      <c r="E64" s="15">
        <v>7.9186101287642904E-2</v>
      </c>
      <c r="F64" s="15">
        <f t="shared" si="14"/>
        <v>1.6491149797187701E-2</v>
      </c>
      <c r="G64" s="15">
        <f t="shared" si="4"/>
        <v>-0.12034538075360299</v>
      </c>
      <c r="H64" s="15">
        <f t="shared" si="15"/>
        <v>-0.10592570239344262</v>
      </c>
      <c r="I64" s="15">
        <f t="shared" si="16"/>
        <v>4.7141417217552113E-2</v>
      </c>
      <c r="J64">
        <f t="shared" si="18"/>
        <v>2.7195802163328396E-4</v>
      </c>
      <c r="K64">
        <f t="shared" si="19"/>
        <v>1.4483010668729677E-2</v>
      </c>
      <c r="L64">
        <f t="shared" si="7"/>
        <v>1.1220254427544176E-2</v>
      </c>
      <c r="M64">
        <f t="shared" si="8"/>
        <v>2.2223132172793187E-3</v>
      </c>
      <c r="N64">
        <f t="shared" si="17"/>
        <v>-1.9846337014072565E-3</v>
      </c>
      <c r="O64">
        <f t="shared" si="9"/>
        <v>-1.7468366255425861E-3</v>
      </c>
      <c r="P64">
        <f t="shared" si="10"/>
        <v>7.7741617298637529E-4</v>
      </c>
      <c r="Q64">
        <f t="shared" si="11"/>
        <v>1.2747668986131687E-2</v>
      </c>
      <c r="R64">
        <f t="shared" si="12"/>
        <v>-5.6732518043107645E-3</v>
      </c>
      <c r="S64">
        <f t="shared" si="13"/>
        <v>-4.9934877305915374E-3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3"/>
  <sheetViews>
    <sheetView topLeftCell="A11" workbookViewId="0">
      <selection activeCell="A2" sqref="A2:I14"/>
    </sheetView>
  </sheetViews>
  <sheetFormatPr baseColWidth="10" defaultRowHeight="15" x14ac:dyDescent="0"/>
  <cols>
    <col min="2" max="5" width="10.83203125" style="2"/>
    <col min="8" max="8" width="12" customWidth="1"/>
    <col min="9" max="9" width="14.6640625" customWidth="1"/>
  </cols>
  <sheetData>
    <row r="2" spans="1:22">
      <c r="A2" s="24" t="s">
        <v>50</v>
      </c>
      <c r="B2" s="24"/>
      <c r="C2" s="30" t="s">
        <v>53</v>
      </c>
      <c r="D2" s="30"/>
      <c r="E2" s="31" t="s">
        <v>54</v>
      </c>
      <c r="F2" s="31"/>
      <c r="G2" s="31"/>
      <c r="H2" s="18" t="s">
        <v>56</v>
      </c>
      <c r="I2" s="16" t="s">
        <v>57</v>
      </c>
      <c r="Q2" s="3"/>
      <c r="R2" s="3"/>
      <c r="S2" s="3"/>
      <c r="T2" s="3"/>
      <c r="U2" s="3"/>
    </row>
    <row r="3" spans="1:22" ht="16" thickBot="1">
      <c r="A3" s="6" t="s">
        <v>7</v>
      </c>
      <c r="B3" s="6" t="s">
        <v>8</v>
      </c>
      <c r="C3" s="6" t="s">
        <v>7</v>
      </c>
      <c r="D3" s="6" t="s">
        <v>8</v>
      </c>
      <c r="E3" s="32" t="s">
        <v>7</v>
      </c>
      <c r="F3" s="32" t="s">
        <v>8</v>
      </c>
      <c r="G3" s="32" t="s">
        <v>55</v>
      </c>
      <c r="H3" s="32" t="s">
        <v>31</v>
      </c>
      <c r="I3" s="32" t="s">
        <v>58</v>
      </c>
      <c r="N3" s="15"/>
      <c r="Q3" s="15"/>
      <c r="R3" s="15"/>
      <c r="S3" s="15"/>
      <c r="T3" s="15"/>
      <c r="U3" s="15"/>
      <c r="V3" s="15"/>
    </row>
    <row r="4" spans="1:22" ht="16" thickTop="1">
      <c r="A4" s="15">
        <v>1</v>
      </c>
      <c r="B4" s="15">
        <v>0</v>
      </c>
      <c r="C4" s="15">
        <f>ATVIavg</f>
        <v>1.6135989342067898E-2</v>
      </c>
      <c r="D4" s="15">
        <f>NTESavg</f>
        <v>2.2796815207191189E-2</v>
      </c>
      <c r="E4" s="29">
        <f>_xlfn.VAR.S(atvi)</f>
        <v>7.5148217542618852E-3</v>
      </c>
      <c r="F4" s="29">
        <f>_xlfn.VAR.S(ntes)</f>
        <v>1.2166786833229777E-2</v>
      </c>
      <c r="G4" s="29">
        <f>_xlfn.COVARIANCE.S(atvi, ntes)</f>
        <v>3.2841536493631086E-3</v>
      </c>
      <c r="H4" s="15">
        <f>(A4^2*$E$4 + B4^2*$F$4 + 2*A4*B4*$G$4)^(1/2)</f>
        <v>8.6688071580015472E-2</v>
      </c>
      <c r="I4" s="15">
        <f>A4*$C$4 + B4*$D$4</f>
        <v>1.6135989342067898E-2</v>
      </c>
      <c r="N4" s="15"/>
    </row>
    <row r="5" spans="1:22">
      <c r="A5" s="15">
        <v>0.9</v>
      </c>
      <c r="B5" s="15">
        <v>0.1</v>
      </c>
      <c r="C5"/>
      <c r="D5"/>
      <c r="F5" s="2"/>
      <c r="G5" s="2"/>
      <c r="H5" s="15">
        <f t="shared" ref="H5:H14" si="0">(A5^2*$E$4 + B5^2*$F$4 + 2*A5*B5*$G$4)^(1/2)</f>
        <v>8.2461028044584703E-2</v>
      </c>
      <c r="I5" s="15">
        <f t="shared" ref="I5:I14" si="1">A5*$C$4 + B5*$D$4</f>
        <v>1.6802071928580228E-2</v>
      </c>
      <c r="N5" s="15"/>
      <c r="Q5" s="15"/>
      <c r="R5" s="15"/>
      <c r="S5" s="15"/>
      <c r="T5" s="15"/>
      <c r="U5" s="15"/>
    </row>
    <row r="6" spans="1:22">
      <c r="A6" s="15">
        <v>0.8</v>
      </c>
      <c r="B6" s="15">
        <v>0.2</v>
      </c>
      <c r="C6"/>
      <c r="D6"/>
      <c r="F6" s="2"/>
      <c r="G6" s="2"/>
      <c r="H6" s="15">
        <f t="shared" si="0"/>
        <v>7.9668604631015064E-2</v>
      </c>
      <c r="I6" s="15">
        <f t="shared" si="1"/>
        <v>1.7468154515092559E-2</v>
      </c>
      <c r="N6" s="15"/>
      <c r="Q6" s="15"/>
    </row>
    <row r="7" spans="1:22">
      <c r="A7" s="15">
        <v>0.7</v>
      </c>
      <c r="B7" s="15">
        <v>0.3</v>
      </c>
      <c r="C7"/>
      <c r="D7"/>
      <c r="F7" s="2"/>
      <c r="G7" s="2"/>
      <c r="H7" s="15">
        <f t="shared" si="0"/>
        <v>7.84641192349185E-2</v>
      </c>
      <c r="I7" s="15">
        <f t="shared" si="1"/>
        <v>1.8134237101604885E-2</v>
      </c>
      <c r="N7" s="15"/>
    </row>
    <row r="8" spans="1:22">
      <c r="A8" s="15">
        <v>0.6</v>
      </c>
      <c r="B8" s="15">
        <v>0.4</v>
      </c>
      <c r="C8"/>
      <c r="D8"/>
      <c r="F8" s="2"/>
      <c r="G8" s="2"/>
      <c r="H8" s="15">
        <f t="shared" si="0"/>
        <v>7.8920310925295625E-2</v>
      </c>
      <c r="I8" s="15">
        <f t="shared" si="1"/>
        <v>1.8800319688117212E-2</v>
      </c>
      <c r="N8" s="15"/>
    </row>
    <row r="9" spans="1:22">
      <c r="A9" s="15">
        <v>0.5</v>
      </c>
      <c r="B9" s="15">
        <v>0.5</v>
      </c>
      <c r="C9"/>
      <c r="D9"/>
      <c r="F9" s="2"/>
      <c r="G9" s="2"/>
      <c r="H9" s="15">
        <f t="shared" si="0"/>
        <v>8.1009128939610681E-2</v>
      </c>
      <c r="I9" s="15">
        <f t="shared" si="1"/>
        <v>1.9466402274629542E-2</v>
      </c>
      <c r="N9" s="15"/>
    </row>
    <row r="10" spans="1:22">
      <c r="A10" s="15">
        <v>0.4</v>
      </c>
      <c r="B10" s="15">
        <v>0.6</v>
      </c>
      <c r="C10"/>
      <c r="D10"/>
      <c r="F10" s="2"/>
      <c r="G10" s="2"/>
      <c r="H10" s="15">
        <f t="shared" si="0"/>
        <v>8.4609742301574906E-2</v>
      </c>
      <c r="I10" s="15">
        <f t="shared" si="1"/>
        <v>2.0132484861141872E-2</v>
      </c>
      <c r="N10" s="15"/>
      <c r="R10" s="25"/>
    </row>
    <row r="11" spans="1:22">
      <c r="A11" s="15">
        <v>0.3</v>
      </c>
      <c r="B11" s="15">
        <v>0.7</v>
      </c>
      <c r="C11"/>
      <c r="D11"/>
      <c r="F11" s="2"/>
      <c r="G11" s="2"/>
      <c r="H11" s="15">
        <f t="shared" si="0"/>
        <v>8.9539957778070597E-2</v>
      </c>
      <c r="I11" s="15">
        <f t="shared" si="1"/>
        <v>2.0798567447654202E-2</v>
      </c>
      <c r="N11" s="15"/>
    </row>
    <row r="12" spans="1:22">
      <c r="A12" s="15">
        <v>0.2</v>
      </c>
      <c r="B12" s="15">
        <v>0.8</v>
      </c>
      <c r="C12"/>
      <c r="D12"/>
      <c r="F12" s="2"/>
      <c r="G12" s="2"/>
      <c r="H12" s="15">
        <f t="shared" si="0"/>
        <v>9.5594276038022952E-2</v>
      </c>
      <c r="I12" s="15">
        <f t="shared" si="1"/>
        <v>2.1464650034166532E-2</v>
      </c>
      <c r="N12" s="15"/>
    </row>
    <row r="13" spans="1:22">
      <c r="A13" s="15">
        <v>0.1</v>
      </c>
      <c r="B13" s="15">
        <v>0.9</v>
      </c>
      <c r="C13"/>
      <c r="D13"/>
      <c r="F13" s="2"/>
      <c r="G13" s="2"/>
      <c r="H13" s="15">
        <f t="shared" si="0"/>
        <v>0.10257384271510987</v>
      </c>
      <c r="I13" s="15">
        <f t="shared" si="1"/>
        <v>2.2130732620678859E-2</v>
      </c>
      <c r="N13" s="15"/>
    </row>
    <row r="14" spans="1:22">
      <c r="A14" s="15">
        <v>0</v>
      </c>
      <c r="B14" s="15">
        <v>1</v>
      </c>
      <c r="C14"/>
      <c r="D14"/>
      <c r="F14" s="2"/>
      <c r="G14" s="2"/>
      <c r="H14" s="15">
        <f t="shared" si="0"/>
        <v>0.1103031587636083</v>
      </c>
      <c r="I14" s="15">
        <f t="shared" si="1"/>
        <v>2.2796815207191189E-2</v>
      </c>
      <c r="N14" s="15"/>
    </row>
    <row r="15" spans="1:22">
      <c r="A15" s="1"/>
      <c r="B15" s="15"/>
      <c r="C15" s="15"/>
      <c r="D15" s="15"/>
      <c r="E15" s="15"/>
      <c r="J15" s="15"/>
      <c r="K15" s="15"/>
      <c r="L15" s="15"/>
      <c r="M15" s="15"/>
      <c r="N15" s="15"/>
    </row>
    <row r="16" spans="1:22">
      <c r="A16" s="1"/>
      <c r="B16" s="15"/>
      <c r="C16" s="15"/>
      <c r="D16" s="15"/>
      <c r="E16" s="15"/>
      <c r="J16" s="15"/>
      <c r="K16" s="15"/>
      <c r="L16" s="15"/>
      <c r="M16" s="15"/>
      <c r="N16" s="15"/>
    </row>
    <row r="17" spans="1:14">
      <c r="A17" s="1"/>
      <c r="B17" s="15"/>
      <c r="C17" s="15"/>
      <c r="D17" s="15"/>
      <c r="E17" s="15"/>
      <c r="J17" s="15"/>
      <c r="K17" s="15"/>
      <c r="L17" s="15"/>
      <c r="M17" s="15"/>
      <c r="N17" s="15"/>
    </row>
    <row r="18" spans="1:14">
      <c r="A18" s="1"/>
      <c r="B18" s="15"/>
      <c r="C18" s="15"/>
      <c r="D18" s="15"/>
      <c r="E18" s="15"/>
      <c r="J18" s="15"/>
      <c r="K18" s="15"/>
      <c r="L18" s="15"/>
      <c r="M18" s="15"/>
      <c r="N18" s="15"/>
    </row>
    <row r="19" spans="1:14">
      <c r="A19" s="1"/>
      <c r="B19" s="15"/>
      <c r="C19" s="15"/>
      <c r="D19" s="15"/>
      <c r="E19" s="15"/>
      <c r="J19" s="15"/>
      <c r="K19" s="15"/>
      <c r="L19" s="15"/>
      <c r="M19" s="15"/>
      <c r="N19" s="15"/>
    </row>
    <row r="20" spans="1:14">
      <c r="A20" s="1"/>
      <c r="B20" s="15"/>
      <c r="C20" s="15"/>
      <c r="D20" s="15"/>
      <c r="E20" s="15"/>
      <c r="J20" s="15"/>
      <c r="K20" s="15"/>
      <c r="L20" s="15"/>
      <c r="M20" s="15"/>
      <c r="N20" s="15"/>
    </row>
    <row r="21" spans="1:14">
      <c r="A21" s="1"/>
      <c r="B21" s="15"/>
      <c r="C21" s="15"/>
      <c r="D21" s="15"/>
      <c r="E21" s="15"/>
      <c r="J21" s="15"/>
      <c r="K21" s="15"/>
      <c r="L21" s="15"/>
      <c r="M21" s="15"/>
      <c r="N21" s="15"/>
    </row>
    <row r="22" spans="1:14">
      <c r="A22" s="1"/>
      <c r="B22" s="15"/>
      <c r="C22" s="15"/>
      <c r="D22" s="15"/>
      <c r="E22" s="15"/>
      <c r="J22" s="15"/>
      <c r="K22" s="15"/>
      <c r="L22" s="15"/>
      <c r="M22" s="15"/>
      <c r="N22" s="15"/>
    </row>
    <row r="23" spans="1:14">
      <c r="A23" s="1"/>
      <c r="B23" s="15"/>
      <c r="C23" s="15"/>
      <c r="D23" s="15"/>
      <c r="E23" s="15"/>
      <c r="J23" s="15"/>
      <c r="K23" s="15"/>
      <c r="L23" s="15"/>
      <c r="M23" s="15"/>
      <c r="N23" s="15"/>
    </row>
    <row r="24" spans="1:14">
      <c r="A24" s="1"/>
      <c r="B24" s="15"/>
      <c r="C24" s="15"/>
      <c r="D24" s="15"/>
      <c r="E24" s="15"/>
      <c r="J24" s="15"/>
      <c r="K24" s="15"/>
      <c r="L24" s="15"/>
      <c r="M24" s="15"/>
      <c r="N24" s="15"/>
    </row>
    <row r="25" spans="1:14">
      <c r="A25" s="1"/>
      <c r="B25" s="15"/>
      <c r="C25" s="15"/>
      <c r="D25" s="15"/>
      <c r="E25" s="15"/>
      <c r="J25" s="15"/>
      <c r="K25" s="15"/>
      <c r="L25" s="15"/>
      <c r="M25" s="15"/>
      <c r="N25" s="15"/>
    </row>
    <row r="26" spans="1:14">
      <c r="A26" s="1"/>
      <c r="B26" s="15"/>
      <c r="C26" s="15"/>
      <c r="D26" s="15"/>
      <c r="E26" s="15"/>
      <c r="J26" s="15"/>
      <c r="K26" s="15"/>
      <c r="L26" s="15"/>
      <c r="M26" s="15"/>
      <c r="N26" s="15"/>
    </row>
    <row r="27" spans="1:14">
      <c r="A27" s="1"/>
      <c r="B27" s="15"/>
      <c r="C27" s="15"/>
      <c r="D27" s="15"/>
      <c r="E27" s="15"/>
      <c r="J27" s="15"/>
      <c r="K27" s="15"/>
      <c r="L27" s="15"/>
      <c r="M27" s="15"/>
      <c r="N27" s="15"/>
    </row>
    <row r="28" spans="1:14">
      <c r="A28" s="1"/>
      <c r="B28" s="15"/>
      <c r="C28" s="15"/>
      <c r="D28" s="15"/>
      <c r="E28" s="15"/>
      <c r="J28" s="15"/>
      <c r="K28" s="15"/>
      <c r="L28" s="15"/>
      <c r="M28" s="15"/>
      <c r="N28" s="15"/>
    </row>
    <row r="29" spans="1:14">
      <c r="A29" s="1"/>
      <c r="B29" s="15"/>
      <c r="C29" s="15"/>
      <c r="D29" s="15"/>
      <c r="E29" s="15"/>
      <c r="J29" s="15"/>
      <c r="K29" s="15"/>
      <c r="L29" s="15"/>
      <c r="M29" s="15"/>
      <c r="N29" s="15"/>
    </row>
    <row r="30" spans="1:14">
      <c r="A30" s="1"/>
      <c r="B30" s="15"/>
      <c r="C30" s="15"/>
      <c r="D30" s="15"/>
      <c r="E30" s="15"/>
      <c r="J30" s="15"/>
      <c r="K30" s="15"/>
      <c r="L30" s="15"/>
      <c r="M30" s="15"/>
      <c r="N30" s="15"/>
    </row>
    <row r="31" spans="1:14">
      <c r="A31" s="1"/>
      <c r="B31" s="15"/>
      <c r="C31" s="15"/>
      <c r="D31" s="15"/>
      <c r="E31" s="15"/>
      <c r="J31" s="15"/>
      <c r="K31" s="15"/>
      <c r="L31" s="15"/>
      <c r="M31" s="15"/>
      <c r="N31" s="15"/>
    </row>
    <row r="32" spans="1:14">
      <c r="A32" s="1"/>
      <c r="B32" s="15"/>
      <c r="C32" s="15"/>
      <c r="D32" s="15"/>
      <c r="E32" s="15"/>
      <c r="J32" s="15"/>
      <c r="K32" s="15"/>
      <c r="L32" s="15"/>
      <c r="M32" s="15"/>
      <c r="N32" s="15"/>
    </row>
    <row r="33" spans="1:14">
      <c r="A33" s="1"/>
      <c r="B33" s="15"/>
      <c r="C33" s="15"/>
      <c r="D33" s="15"/>
      <c r="E33" s="15"/>
      <c r="J33" s="15"/>
      <c r="K33" s="15"/>
      <c r="L33" s="15"/>
      <c r="M33" s="15"/>
      <c r="N33" s="15"/>
    </row>
    <row r="34" spans="1:14">
      <c r="A34" s="1"/>
      <c r="B34" s="15"/>
      <c r="C34" s="15"/>
      <c r="D34" s="15"/>
      <c r="E34" s="15"/>
      <c r="J34" s="15"/>
      <c r="K34" s="15"/>
      <c r="L34" s="15"/>
      <c r="M34" s="15"/>
      <c r="N34" s="15"/>
    </row>
    <row r="35" spans="1:14">
      <c r="A35" s="1"/>
      <c r="B35" s="15"/>
      <c r="C35" s="15"/>
      <c r="D35" s="15"/>
      <c r="E35" s="15"/>
      <c r="J35" s="15"/>
      <c r="K35" s="15"/>
      <c r="L35" s="15"/>
      <c r="M35" s="15"/>
      <c r="N35" s="15"/>
    </row>
    <row r="36" spans="1:14">
      <c r="A36" s="1"/>
      <c r="B36" s="15"/>
      <c r="C36" s="15"/>
      <c r="D36" s="15"/>
      <c r="E36" s="15"/>
      <c r="J36" s="15"/>
      <c r="K36" s="15"/>
      <c r="L36" s="15"/>
      <c r="M36" s="15"/>
      <c r="N36" s="15"/>
    </row>
    <row r="37" spans="1:14">
      <c r="A37" s="1"/>
      <c r="B37" s="15"/>
      <c r="C37" s="15"/>
      <c r="D37" s="15"/>
      <c r="E37" s="15"/>
      <c r="J37" s="15"/>
      <c r="K37" s="15"/>
      <c r="L37" s="15"/>
      <c r="M37" s="15"/>
      <c r="N37" s="15"/>
    </row>
    <row r="38" spans="1:14">
      <c r="A38" s="1"/>
      <c r="B38" s="15"/>
      <c r="C38" s="15"/>
      <c r="D38" s="15"/>
      <c r="E38" s="15"/>
      <c r="J38" s="15"/>
      <c r="K38" s="15"/>
      <c r="L38" s="15"/>
      <c r="M38" s="15"/>
      <c r="N38" s="15"/>
    </row>
    <row r="39" spans="1:14">
      <c r="A39" s="1"/>
      <c r="B39" s="15"/>
      <c r="C39" s="15"/>
      <c r="D39" s="15"/>
      <c r="E39" s="15"/>
      <c r="J39" s="15"/>
      <c r="K39" s="15"/>
      <c r="L39" s="15"/>
      <c r="M39" s="15"/>
      <c r="N39" s="15"/>
    </row>
    <row r="40" spans="1:14">
      <c r="A40" s="1"/>
      <c r="B40" s="15"/>
      <c r="C40" s="15"/>
      <c r="D40" s="15"/>
      <c r="E40" s="15"/>
      <c r="J40" s="15"/>
      <c r="K40" s="15"/>
      <c r="L40" s="15"/>
      <c r="M40" s="15"/>
      <c r="N40" s="15"/>
    </row>
    <row r="41" spans="1:14">
      <c r="A41" s="1"/>
      <c r="B41" s="15"/>
      <c r="C41" s="15"/>
      <c r="D41" s="15"/>
      <c r="E41" s="15"/>
      <c r="J41" s="15"/>
      <c r="K41" s="15"/>
      <c r="L41" s="15"/>
      <c r="M41" s="15"/>
      <c r="N41" s="15"/>
    </row>
    <row r="42" spans="1:14">
      <c r="A42" s="1"/>
      <c r="B42" s="15"/>
      <c r="C42" s="15"/>
      <c r="D42" s="15"/>
      <c r="E42" s="15"/>
      <c r="J42" s="15"/>
      <c r="K42" s="15"/>
      <c r="L42" s="15"/>
      <c r="M42" s="15"/>
      <c r="N42" s="15"/>
    </row>
    <row r="43" spans="1:14">
      <c r="A43" s="1"/>
      <c r="B43" s="15"/>
      <c r="C43" s="15"/>
      <c r="D43" s="15"/>
      <c r="E43" s="15"/>
      <c r="J43" s="15"/>
      <c r="K43" s="15"/>
      <c r="L43" s="15"/>
      <c r="M43" s="15"/>
      <c r="N43" s="15"/>
    </row>
    <row r="44" spans="1:14">
      <c r="A44" s="1"/>
      <c r="B44" s="15"/>
      <c r="C44" s="15"/>
      <c r="D44" s="15"/>
      <c r="E44" s="15"/>
      <c r="J44" s="15"/>
      <c r="K44" s="15"/>
      <c r="L44" s="15"/>
      <c r="M44" s="15"/>
      <c r="N44" s="15"/>
    </row>
    <row r="45" spans="1:14">
      <c r="A45" s="1"/>
      <c r="B45" s="15"/>
      <c r="C45" s="15"/>
      <c r="D45" s="15"/>
      <c r="E45" s="15"/>
      <c r="J45" s="15"/>
      <c r="K45" s="15"/>
      <c r="L45" s="15"/>
      <c r="M45" s="15"/>
      <c r="N45" s="15"/>
    </row>
    <row r="46" spans="1:14">
      <c r="A46" s="1"/>
      <c r="B46" s="15"/>
      <c r="C46" s="15"/>
      <c r="D46" s="15"/>
      <c r="E46" s="15"/>
      <c r="J46" s="15"/>
      <c r="K46" s="15"/>
      <c r="L46" s="15"/>
      <c r="M46" s="15"/>
      <c r="N46" s="15"/>
    </row>
    <row r="47" spans="1:14">
      <c r="A47" s="1"/>
      <c r="B47" s="15"/>
      <c r="C47" s="15"/>
      <c r="D47" s="15"/>
      <c r="E47" s="15"/>
      <c r="J47" s="15"/>
      <c r="K47" s="15"/>
      <c r="L47" s="15"/>
      <c r="M47" s="15"/>
      <c r="N47" s="15"/>
    </row>
    <row r="48" spans="1:14">
      <c r="A48" s="1"/>
      <c r="B48" s="15"/>
      <c r="C48" s="15"/>
      <c r="D48" s="15"/>
      <c r="E48" s="15"/>
      <c r="J48" s="15"/>
      <c r="K48" s="15"/>
      <c r="L48" s="15"/>
      <c r="M48" s="15"/>
      <c r="N48" s="15"/>
    </row>
    <row r="49" spans="1:14">
      <c r="A49" s="1"/>
      <c r="B49" s="15"/>
      <c r="C49" s="15"/>
      <c r="D49" s="15"/>
      <c r="E49" s="15"/>
      <c r="J49" s="15"/>
      <c r="K49" s="15"/>
      <c r="L49" s="15"/>
      <c r="M49" s="15"/>
      <c r="N49" s="15"/>
    </row>
    <row r="50" spans="1:14">
      <c r="A50" s="1"/>
      <c r="B50" s="15"/>
      <c r="C50" s="15"/>
      <c r="D50" s="15"/>
      <c r="E50" s="15"/>
      <c r="J50" s="15"/>
      <c r="K50" s="15"/>
      <c r="L50" s="15"/>
      <c r="M50" s="15"/>
      <c r="N50" s="15"/>
    </row>
    <row r="51" spans="1:14">
      <c r="A51" s="1"/>
      <c r="B51" s="15"/>
      <c r="C51" s="15"/>
      <c r="D51" s="15"/>
      <c r="E51" s="15"/>
      <c r="J51" s="15"/>
      <c r="K51" s="15"/>
      <c r="L51" s="15"/>
      <c r="M51" s="15"/>
      <c r="N51" s="15"/>
    </row>
    <row r="52" spans="1:14">
      <c r="A52" s="1"/>
      <c r="B52" s="15"/>
      <c r="C52" s="15"/>
      <c r="D52" s="15"/>
      <c r="E52" s="15"/>
      <c r="J52" s="15"/>
      <c r="K52" s="15"/>
      <c r="L52" s="15"/>
      <c r="M52" s="15"/>
      <c r="N52" s="15"/>
    </row>
    <row r="53" spans="1:14">
      <c r="A53" s="1"/>
      <c r="B53" s="15"/>
      <c r="C53" s="15"/>
      <c r="D53" s="15"/>
      <c r="E53" s="15"/>
      <c r="J53" s="15"/>
      <c r="K53" s="15"/>
      <c r="L53" s="15"/>
      <c r="M53" s="15"/>
      <c r="N53" s="15"/>
    </row>
    <row r="54" spans="1:14">
      <c r="A54" s="1"/>
      <c r="B54" s="15"/>
      <c r="C54" s="15"/>
      <c r="D54" s="15"/>
      <c r="E54" s="15"/>
      <c r="J54" s="15"/>
      <c r="K54" s="15"/>
      <c r="L54" s="15"/>
      <c r="M54" s="15"/>
      <c r="N54" s="15"/>
    </row>
    <row r="55" spans="1:14">
      <c r="A55" s="1"/>
      <c r="B55" s="15"/>
      <c r="C55" s="15"/>
      <c r="D55" s="15"/>
      <c r="E55" s="15"/>
      <c r="J55" s="15"/>
      <c r="K55" s="15"/>
      <c r="L55" s="15"/>
      <c r="M55" s="15"/>
      <c r="N55" s="15"/>
    </row>
    <row r="56" spans="1:14">
      <c r="A56" s="1"/>
      <c r="B56" s="15"/>
      <c r="C56" s="15"/>
      <c r="D56" s="15"/>
      <c r="E56" s="15"/>
      <c r="J56" s="15"/>
      <c r="K56" s="15"/>
      <c r="L56" s="15"/>
      <c r="M56" s="15"/>
      <c r="N56" s="15"/>
    </row>
    <row r="57" spans="1:14">
      <c r="A57" s="1"/>
      <c r="B57" s="15"/>
      <c r="C57" s="15"/>
      <c r="D57" s="15"/>
      <c r="E57" s="15"/>
      <c r="J57" s="15"/>
      <c r="K57" s="15"/>
      <c r="L57" s="15"/>
      <c r="M57" s="15"/>
      <c r="N57" s="15"/>
    </row>
    <row r="58" spans="1:14">
      <c r="A58" s="1"/>
      <c r="B58" s="15"/>
      <c r="C58" s="15"/>
      <c r="D58" s="15"/>
      <c r="E58" s="15"/>
      <c r="J58" s="15"/>
      <c r="K58" s="15"/>
      <c r="L58" s="15"/>
      <c r="M58" s="15"/>
      <c r="N58" s="15"/>
    </row>
    <row r="59" spans="1:14">
      <c r="A59" s="1"/>
      <c r="B59" s="15"/>
      <c r="C59" s="15"/>
      <c r="D59" s="15"/>
      <c r="E59" s="15"/>
      <c r="J59" s="15"/>
      <c r="K59" s="15"/>
      <c r="L59" s="15"/>
      <c r="M59" s="15"/>
      <c r="N59" s="15"/>
    </row>
    <row r="60" spans="1:14">
      <c r="A60" s="1"/>
      <c r="B60" s="15"/>
      <c r="C60" s="15"/>
      <c r="D60" s="15"/>
      <c r="E60" s="15"/>
      <c r="J60" s="15"/>
      <c r="K60" s="15"/>
      <c r="L60" s="15"/>
      <c r="M60" s="15"/>
      <c r="N60" s="15"/>
    </row>
    <row r="61" spans="1:14">
      <c r="A61" s="1"/>
      <c r="B61" s="15"/>
      <c r="C61" s="15"/>
      <c r="D61" s="15"/>
      <c r="E61" s="15"/>
      <c r="J61" s="15"/>
      <c r="K61" s="15"/>
      <c r="L61" s="15"/>
      <c r="M61" s="15"/>
      <c r="N61" s="15"/>
    </row>
    <row r="62" spans="1:14">
      <c r="A62" s="1"/>
      <c r="B62" s="15"/>
      <c r="C62" s="15"/>
      <c r="D62" s="15"/>
      <c r="E62" s="15"/>
      <c r="J62" s="15"/>
      <c r="K62" s="15"/>
      <c r="L62" s="15"/>
      <c r="M62" s="15"/>
      <c r="N62" s="15"/>
    </row>
    <row r="63" spans="1:14">
      <c r="A63" s="1"/>
      <c r="B63" s="15"/>
      <c r="C63" s="15"/>
      <c r="D63" s="15"/>
      <c r="E63" s="15"/>
      <c r="J63" s="15"/>
      <c r="K63" s="15"/>
      <c r="L63" s="15"/>
      <c r="M63" s="15"/>
      <c r="N63" s="1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G4" sqref="G4"/>
    </sheetView>
  </sheetViews>
  <sheetFormatPr baseColWidth="10" defaultRowHeight="15" x14ac:dyDescent="0"/>
  <sheetData>
    <row r="2" spans="1:9">
      <c r="A2" s="24" t="s">
        <v>50</v>
      </c>
      <c r="B2" s="24"/>
      <c r="C2" s="30" t="s">
        <v>53</v>
      </c>
      <c r="D2" s="30"/>
      <c r="E2" s="31" t="s">
        <v>54</v>
      </c>
      <c r="F2" s="31"/>
      <c r="G2" s="31"/>
      <c r="H2" s="18" t="s">
        <v>56</v>
      </c>
      <c r="I2" s="16" t="s">
        <v>57</v>
      </c>
    </row>
    <row r="3" spans="1:9" ht="16" thickBot="1">
      <c r="A3" s="6" t="s">
        <v>7</v>
      </c>
      <c r="B3" s="6" t="s">
        <v>9</v>
      </c>
      <c r="C3" s="6" t="s">
        <v>7</v>
      </c>
      <c r="D3" s="6" t="s">
        <v>9</v>
      </c>
      <c r="E3" s="32" t="s">
        <v>7</v>
      </c>
      <c r="F3" s="32" t="s">
        <v>9</v>
      </c>
      <c r="G3" s="32" t="s">
        <v>59</v>
      </c>
      <c r="H3" s="32" t="s">
        <v>31</v>
      </c>
      <c r="I3" s="32" t="s">
        <v>58</v>
      </c>
    </row>
    <row r="4" spans="1:9" ht="16" thickTop="1">
      <c r="A4" s="15">
        <v>1</v>
      </c>
      <c r="B4" s="15">
        <v>0</v>
      </c>
      <c r="C4" s="15">
        <f>ATVIavg</f>
        <v>1.6135989342067898E-2</v>
      </c>
      <c r="D4" s="15">
        <f>EAavg</f>
        <v>1.9415710393442621E-2</v>
      </c>
      <c r="E4" s="29">
        <f>_xlfn.VAR.S(atvi)</f>
        <v>7.5148217542618852E-3</v>
      </c>
      <c r="F4" s="29">
        <f>_xlfn.VAR.S(ea)</f>
        <v>7.7407499501955497E-3</v>
      </c>
      <c r="G4" s="29">
        <f>_xlfn.COVARIANCE.S(atvi, ea)</f>
        <v>4.2179592176261856E-3</v>
      </c>
      <c r="H4" s="15">
        <f>(A4^2*$E$4 + B4^2*$F$4 + 2*A4*B4*$G$4)^(1/2)</f>
        <v>8.6688071580015472E-2</v>
      </c>
      <c r="I4" s="15">
        <f>A4*$C$4 + B4*$D$4</f>
        <v>1.6135989342067898E-2</v>
      </c>
    </row>
    <row r="5" spans="1:9">
      <c r="A5" s="15">
        <v>0.9</v>
      </c>
      <c r="B5" s="15">
        <v>0.1</v>
      </c>
      <c r="E5" s="2"/>
      <c r="F5" s="2"/>
      <c r="G5" s="2"/>
      <c r="H5" s="15">
        <f t="shared" ref="H5:H14" si="0">(A5^2*$E$4 + B5^2*$F$4 + 2*A5*B5*$G$4)^(1/2)</f>
        <v>8.3208447765997867E-2</v>
      </c>
      <c r="I5" s="15">
        <f t="shared" ref="I5:I14" si="1">A5*$C$4 + B5*$D$4</f>
        <v>1.6463961447205373E-2</v>
      </c>
    </row>
    <row r="6" spans="1:9">
      <c r="A6" s="15">
        <v>0.8</v>
      </c>
      <c r="B6" s="15">
        <v>0.2</v>
      </c>
      <c r="E6" s="2"/>
      <c r="F6" s="2"/>
      <c r="G6" s="2"/>
      <c r="H6" s="15">
        <f t="shared" si="0"/>
        <v>8.0429241388787251E-2</v>
      </c>
      <c r="I6" s="15">
        <f t="shared" si="1"/>
        <v>1.6791933552342844E-2</v>
      </c>
    </row>
    <row r="7" spans="1:9">
      <c r="A7" s="15">
        <v>0.7</v>
      </c>
      <c r="B7" s="15">
        <v>0.3</v>
      </c>
      <c r="E7" s="2"/>
      <c r="F7" s="2"/>
      <c r="G7" s="2"/>
      <c r="H7" s="15">
        <f t="shared" si="0"/>
        <v>7.8424951555668296E-2</v>
      </c>
      <c r="I7" s="15">
        <f t="shared" si="1"/>
        <v>1.7119905657480314E-2</v>
      </c>
    </row>
    <row r="8" spans="1:9">
      <c r="A8" s="15">
        <v>0.6</v>
      </c>
      <c r="B8" s="15">
        <v>0.4</v>
      </c>
      <c r="E8" s="2"/>
      <c r="F8" s="2"/>
      <c r="G8" s="2"/>
      <c r="H8" s="15">
        <f t="shared" si="0"/>
        <v>7.7255914000328385E-2</v>
      </c>
      <c r="I8" s="15">
        <f t="shared" si="1"/>
        <v>1.7447877762617789E-2</v>
      </c>
    </row>
    <row r="9" spans="1:9">
      <c r="A9" s="15">
        <v>0.5</v>
      </c>
      <c r="B9" s="15">
        <v>0.5</v>
      </c>
      <c r="E9" s="2"/>
      <c r="F9" s="2"/>
      <c r="G9" s="2"/>
      <c r="H9" s="15">
        <f t="shared" si="0"/>
        <v>7.6960200980295337E-2</v>
      </c>
      <c r="I9" s="15">
        <f t="shared" si="1"/>
        <v>1.777584986775526E-2</v>
      </c>
    </row>
    <row r="10" spans="1:9">
      <c r="A10" s="15">
        <v>0.4</v>
      </c>
      <c r="B10" s="15">
        <v>0.6</v>
      </c>
      <c r="E10" s="2"/>
      <c r="F10" s="2"/>
      <c r="G10" s="2"/>
      <c r="H10" s="15">
        <f t="shared" si="0"/>
        <v>7.7547803883880995E-2</v>
      </c>
      <c r="I10" s="15">
        <f t="shared" si="1"/>
        <v>1.8103821972892731E-2</v>
      </c>
    </row>
    <row r="11" spans="1:9">
      <c r="A11" s="15">
        <v>0.3</v>
      </c>
      <c r="B11" s="15">
        <v>0.7</v>
      </c>
      <c r="E11" s="2"/>
      <c r="F11" s="2"/>
      <c r="G11" s="2"/>
      <c r="H11" s="15">
        <f t="shared" si="0"/>
        <v>7.8999014581717319E-2</v>
      </c>
      <c r="I11" s="15">
        <f t="shared" si="1"/>
        <v>1.8431794078030202E-2</v>
      </c>
    </row>
    <row r="12" spans="1:9">
      <c r="A12" s="15">
        <v>0.2</v>
      </c>
      <c r="B12" s="15">
        <v>0.8</v>
      </c>
      <c r="E12" s="2"/>
      <c r="F12" s="2"/>
      <c r="G12" s="2"/>
      <c r="H12" s="15">
        <f t="shared" si="0"/>
        <v>8.1267581408185199E-2</v>
      </c>
      <c r="I12" s="15">
        <f t="shared" si="1"/>
        <v>1.875976618316768E-2</v>
      </c>
    </row>
    <row r="13" spans="1:9">
      <c r="A13" s="15">
        <v>0.1</v>
      </c>
      <c r="B13" s="15">
        <v>0.9</v>
      </c>
      <c r="E13" s="2"/>
      <c r="F13" s="2"/>
      <c r="G13" s="2"/>
      <c r="H13" s="15">
        <f t="shared" si="0"/>
        <v>8.4287533694928626E-2</v>
      </c>
      <c r="I13" s="15">
        <f t="shared" si="1"/>
        <v>1.9087738288305151E-2</v>
      </c>
    </row>
    <row r="14" spans="1:9">
      <c r="A14" s="15">
        <v>0</v>
      </c>
      <c r="B14" s="15">
        <v>1</v>
      </c>
      <c r="E14" s="2"/>
      <c r="F14" s="2"/>
      <c r="G14" s="2"/>
      <c r="H14" s="15">
        <f t="shared" si="0"/>
        <v>8.7981531870021168E-2</v>
      </c>
      <c r="I14" s="15">
        <f t="shared" si="1"/>
        <v>1.9415710393442621E-2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H4" sqref="H4"/>
    </sheetView>
  </sheetViews>
  <sheetFormatPr baseColWidth="10" defaultRowHeight="15" x14ac:dyDescent="0"/>
  <sheetData>
    <row r="2" spans="1:9">
      <c r="A2" s="24" t="s">
        <v>50</v>
      </c>
      <c r="B2" s="24"/>
      <c r="C2" s="30" t="s">
        <v>53</v>
      </c>
      <c r="D2" s="30"/>
      <c r="E2" s="31" t="s">
        <v>54</v>
      </c>
      <c r="F2" s="31"/>
      <c r="G2" s="31"/>
      <c r="H2" s="18" t="s">
        <v>56</v>
      </c>
      <c r="I2" s="16" t="s">
        <v>57</v>
      </c>
    </row>
    <row r="3" spans="1:9" ht="16" thickBot="1">
      <c r="A3" s="6" t="s">
        <v>7</v>
      </c>
      <c r="B3" s="6" t="s">
        <v>10</v>
      </c>
      <c r="C3" s="6" t="s">
        <v>7</v>
      </c>
      <c r="D3" s="6" t="s">
        <v>60</v>
      </c>
      <c r="E3" s="32" t="s">
        <v>7</v>
      </c>
      <c r="F3" s="32" t="s">
        <v>10</v>
      </c>
      <c r="G3" s="32" t="s">
        <v>61</v>
      </c>
      <c r="H3" s="32" t="s">
        <v>31</v>
      </c>
      <c r="I3" s="32" t="s">
        <v>58</v>
      </c>
    </row>
    <row r="4" spans="1:9" ht="16" thickTop="1">
      <c r="A4" s="15">
        <v>1</v>
      </c>
      <c r="B4" s="15">
        <v>0</v>
      </c>
      <c r="C4" s="15">
        <f>ATVIavg</f>
        <v>1.6135989342067898E-2</v>
      </c>
      <c r="D4" s="15">
        <f>TTWOavg</f>
        <v>3.2044684070090791E-2</v>
      </c>
      <c r="E4" s="29">
        <f>_xlfn.VAR.S(atvi)</f>
        <v>7.5148217542618852E-3</v>
      </c>
      <c r="F4" s="29">
        <f>_xlfn.VAR.S(ttwo)</f>
        <v>7.6238462041953127E-3</v>
      </c>
      <c r="G4" s="29">
        <f>_xlfn.COVARIANCE.S(atvi, ttwo)</f>
        <v>3.5720677385192461E-3</v>
      </c>
      <c r="H4" s="15">
        <f>(A4^2*$E$4 + B4^2*$F$4 + 2*A4*B4*$G$4)^(1/2)</f>
        <v>8.6688071580015472E-2</v>
      </c>
      <c r="I4" s="15">
        <f>A4*$C$4 + B4*$D$4</f>
        <v>1.6135989342067898E-2</v>
      </c>
    </row>
    <row r="5" spans="1:9">
      <c r="A5" s="15">
        <v>0.9</v>
      </c>
      <c r="B5" s="15">
        <v>0.1</v>
      </c>
      <c r="E5" s="2"/>
      <c r="F5" s="2"/>
      <c r="G5" s="2"/>
      <c r="H5" s="15">
        <f t="shared" ref="H5:H14" si="0">(A5^2*$E$4 + B5^2*$F$4 + 2*A5*B5*$G$4)^(1/2)</f>
        <v>8.2499795611428922E-2</v>
      </c>
      <c r="I5" s="15">
        <f t="shared" ref="I5:I14" si="1">A5*$C$4 + B5*$D$4</f>
        <v>1.772685881487019E-2</v>
      </c>
    </row>
    <row r="6" spans="1:9">
      <c r="A6" s="15">
        <v>0.8</v>
      </c>
      <c r="B6" s="15">
        <v>0.2</v>
      </c>
      <c r="E6" s="2"/>
      <c r="F6" s="2"/>
      <c r="G6" s="2"/>
      <c r="H6" s="15">
        <f t="shared" si="0"/>
        <v>7.9104370594939813E-2</v>
      </c>
      <c r="I6" s="15">
        <f t="shared" si="1"/>
        <v>1.9317728287672479E-2</v>
      </c>
    </row>
    <row r="7" spans="1:9">
      <c r="A7" s="15">
        <v>0.7</v>
      </c>
      <c r="B7" s="15">
        <v>0.3</v>
      </c>
      <c r="E7" s="2"/>
      <c r="F7" s="2"/>
      <c r="G7" s="2"/>
      <c r="H7" s="15">
        <f t="shared" si="0"/>
        <v>7.6607292525868481E-2</v>
      </c>
      <c r="I7" s="15">
        <f t="shared" si="1"/>
        <v>2.0908597760474764E-2</v>
      </c>
    </row>
    <row r="8" spans="1:9">
      <c r="A8" s="15">
        <v>0.6</v>
      </c>
      <c r="B8" s="15">
        <v>0.4</v>
      </c>
      <c r="E8" s="2"/>
      <c r="F8" s="2"/>
      <c r="G8" s="2"/>
      <c r="H8" s="15">
        <f t="shared" si="0"/>
        <v>7.5098227267324805E-2</v>
      </c>
      <c r="I8" s="15">
        <f t="shared" si="1"/>
        <v>2.2499467233277056E-2</v>
      </c>
    </row>
    <row r="9" spans="1:9">
      <c r="A9" s="15">
        <v>0.5</v>
      </c>
      <c r="B9" s="15">
        <v>0.5</v>
      </c>
      <c r="E9" s="2"/>
      <c r="F9" s="2"/>
      <c r="G9" s="2"/>
      <c r="H9" s="15">
        <f t="shared" si="0"/>
        <v>7.4637127884678967E-2</v>
      </c>
      <c r="I9" s="15">
        <f t="shared" si="1"/>
        <v>2.4090336706079345E-2</v>
      </c>
    </row>
    <row r="10" spans="1:9">
      <c r="A10" s="15">
        <v>0.4</v>
      </c>
      <c r="B10" s="15">
        <v>0.6</v>
      </c>
      <c r="E10" s="2"/>
      <c r="F10" s="2"/>
      <c r="G10" s="2"/>
      <c r="H10" s="15">
        <f t="shared" si="0"/>
        <v>7.5243263011923217E-2</v>
      </c>
      <c r="I10" s="15">
        <f t="shared" si="1"/>
        <v>2.5681206178881633E-2</v>
      </c>
    </row>
    <row r="11" spans="1:9">
      <c r="A11" s="15">
        <v>0.3</v>
      </c>
      <c r="B11" s="15">
        <v>0.7</v>
      </c>
      <c r="E11" s="2"/>
      <c r="F11" s="2"/>
      <c r="G11" s="2"/>
      <c r="H11" s="15">
        <f t="shared" si="0"/>
        <v>7.6891397751096685E-2</v>
      </c>
      <c r="I11" s="15">
        <f t="shared" si="1"/>
        <v>2.7272075651683922E-2</v>
      </c>
    </row>
    <row r="12" spans="1:9">
      <c r="A12" s="15">
        <v>0.2</v>
      </c>
      <c r="B12" s="15">
        <v>0.8</v>
      </c>
      <c r="E12" s="2"/>
      <c r="F12" s="2"/>
      <c r="G12" s="2"/>
      <c r="H12" s="15">
        <f t="shared" si="0"/>
        <v>7.9516766264616387E-2</v>
      </c>
      <c r="I12" s="15">
        <f t="shared" si="1"/>
        <v>2.8862945124486214E-2</v>
      </c>
    </row>
    <row r="13" spans="1:9">
      <c r="A13" s="15">
        <v>0.1</v>
      </c>
      <c r="B13" s="15">
        <v>0.9</v>
      </c>
      <c r="E13" s="2"/>
      <c r="F13" s="2"/>
      <c r="G13" s="2"/>
      <c r="H13" s="15">
        <f t="shared" si="0"/>
        <v>8.302671760267466E-2</v>
      </c>
      <c r="I13" s="15">
        <f t="shared" si="1"/>
        <v>3.0453814597288503E-2</v>
      </c>
    </row>
    <row r="14" spans="1:9">
      <c r="A14" s="15">
        <v>0</v>
      </c>
      <c r="B14" s="15">
        <v>1</v>
      </c>
      <c r="E14" s="2"/>
      <c r="F14" s="2"/>
      <c r="G14" s="2"/>
      <c r="H14" s="15">
        <f t="shared" si="0"/>
        <v>8.7314639117362855E-2</v>
      </c>
      <c r="I14" s="15">
        <f t="shared" si="1"/>
        <v>3.2044684070090791E-2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A2" sqref="A2:I14"/>
    </sheetView>
  </sheetViews>
  <sheetFormatPr baseColWidth="10" defaultRowHeight="15" x14ac:dyDescent="0"/>
  <cols>
    <col min="9" max="9" width="14.5" customWidth="1"/>
  </cols>
  <sheetData>
    <row r="2" spans="1:9">
      <c r="A2" s="33" t="s">
        <v>50</v>
      </c>
      <c r="B2" s="33"/>
      <c r="C2" s="34" t="s">
        <v>53</v>
      </c>
      <c r="D2" s="34"/>
      <c r="E2" s="35" t="s">
        <v>54</v>
      </c>
      <c r="F2" s="35"/>
      <c r="G2" s="35"/>
      <c r="H2" s="36" t="s">
        <v>56</v>
      </c>
      <c r="I2" s="37" t="s">
        <v>57</v>
      </c>
    </row>
    <row r="3" spans="1:9" ht="16" thickBot="1">
      <c r="A3" s="38" t="s">
        <v>8</v>
      </c>
      <c r="B3" s="38" t="s">
        <v>9</v>
      </c>
      <c r="C3" s="38" t="s">
        <v>8</v>
      </c>
      <c r="D3" s="38" t="s">
        <v>9</v>
      </c>
      <c r="E3" s="39" t="s">
        <v>8</v>
      </c>
      <c r="F3" s="39" t="s">
        <v>9</v>
      </c>
      <c r="G3" s="39" t="s">
        <v>62</v>
      </c>
      <c r="H3" s="39" t="s">
        <v>31</v>
      </c>
      <c r="I3" s="39" t="s">
        <v>58</v>
      </c>
    </row>
    <row r="4" spans="1:9" ht="16" thickTop="1">
      <c r="A4" s="17">
        <v>1</v>
      </c>
      <c r="B4" s="17">
        <v>0</v>
      </c>
      <c r="C4" s="17">
        <f>NTESavg</f>
        <v>2.2796815207191189E-2</v>
      </c>
      <c r="D4" s="17">
        <f>EAavg</f>
        <v>1.9415710393442621E-2</v>
      </c>
      <c r="E4" s="40">
        <f>_xlfn.VAR.S(ntes)</f>
        <v>1.2166786833229777E-2</v>
      </c>
      <c r="F4" s="40">
        <f>_xlfn.VAR.S(ea)</f>
        <v>7.7407499501955497E-3</v>
      </c>
      <c r="G4" s="40">
        <f>_xlfn.COVARIANCE.S(ntes, ea)</f>
        <v>2.7806245393952023E-3</v>
      </c>
      <c r="H4" s="17">
        <f>(A4^2*$E$4 + B4^2*$F$4 + 2*A4*B4*$G$4)^(1/2)</f>
        <v>0.1103031587636083</v>
      </c>
      <c r="I4" s="17">
        <f>A4*$C$4+ B4*$D$4</f>
        <v>2.2796815207191189E-2</v>
      </c>
    </row>
    <row r="5" spans="1:9">
      <c r="A5" s="17">
        <v>0.9</v>
      </c>
      <c r="B5" s="17">
        <v>0.1</v>
      </c>
      <c r="C5" s="3"/>
      <c r="D5" s="3"/>
      <c r="E5" s="3"/>
      <c r="F5" s="3"/>
      <c r="G5" s="3"/>
      <c r="H5" s="17">
        <f t="shared" ref="H5:H14" si="0">(A5^2*$E$4 + B5^2*$F$4 + 2*A5*B5*$G$4)^(1/2)</f>
        <v>0.10214214238750434</v>
      </c>
      <c r="I5" s="17">
        <f t="shared" ref="I5:I14" si="1">A5*$C$4+ B5*$D$4</f>
        <v>2.2458704725816334E-2</v>
      </c>
    </row>
    <row r="6" spans="1:9">
      <c r="A6" s="17">
        <v>0.8</v>
      </c>
      <c r="B6" s="17">
        <v>0.2</v>
      </c>
      <c r="C6" s="3"/>
      <c r="D6" s="3"/>
      <c r="E6" s="3"/>
      <c r="F6" s="3"/>
      <c r="G6" s="3"/>
      <c r="H6" s="17">
        <f t="shared" si="0"/>
        <v>9.4795429340666773E-2</v>
      </c>
      <c r="I6" s="17">
        <f t="shared" si="1"/>
        <v>2.2120594244441474E-2</v>
      </c>
    </row>
    <row r="7" spans="1:9">
      <c r="A7" s="17">
        <v>0.7</v>
      </c>
      <c r="B7" s="17">
        <v>0.3</v>
      </c>
      <c r="C7" s="3"/>
      <c r="D7" s="3"/>
      <c r="E7" s="3"/>
      <c r="F7" s="3"/>
      <c r="G7" s="3"/>
      <c r="H7" s="17">
        <f t="shared" si="0"/>
        <v>8.8466125439888993E-2</v>
      </c>
      <c r="I7" s="17">
        <f t="shared" si="1"/>
        <v>2.1782483763066619E-2</v>
      </c>
    </row>
    <row r="8" spans="1:9">
      <c r="A8" s="17">
        <v>0.6</v>
      </c>
      <c r="B8" s="17">
        <v>0.4</v>
      </c>
      <c r="C8" s="3"/>
      <c r="D8" s="3"/>
      <c r="E8" s="3"/>
      <c r="F8" s="3"/>
      <c r="G8" s="3"/>
      <c r="H8" s="17">
        <f t="shared" si="0"/>
        <v>8.3386228064973089E-2</v>
      </c>
      <c r="I8" s="17">
        <f t="shared" si="1"/>
        <v>2.1444373281691763E-2</v>
      </c>
    </row>
    <row r="9" spans="1:9">
      <c r="A9" s="17">
        <v>0.5</v>
      </c>
      <c r="B9" s="17">
        <v>0.5</v>
      </c>
      <c r="C9" s="3"/>
      <c r="D9" s="3"/>
      <c r="E9" s="3"/>
      <c r="F9" s="3"/>
      <c r="G9" s="3"/>
      <c r="H9" s="17">
        <f t="shared" si="0"/>
        <v>7.9794714521413845E-2</v>
      </c>
      <c r="I9" s="17">
        <f t="shared" si="1"/>
        <v>2.1106262800316904E-2</v>
      </c>
    </row>
    <row r="10" spans="1:9">
      <c r="A10" s="17">
        <v>0.4</v>
      </c>
      <c r="B10" s="17">
        <v>0.6</v>
      </c>
      <c r="C10" s="3"/>
      <c r="D10" s="3"/>
      <c r="E10" s="3"/>
      <c r="F10" s="3"/>
      <c r="G10" s="3"/>
      <c r="H10" s="17">
        <f t="shared" si="0"/>
        <v>7.7897725604133397E-2</v>
      </c>
      <c r="I10" s="17">
        <f t="shared" si="1"/>
        <v>2.0768152318942048E-2</v>
      </c>
    </row>
    <row r="11" spans="1:9">
      <c r="A11" s="17">
        <v>0.3</v>
      </c>
      <c r="B11" s="17">
        <v>0.7</v>
      </c>
      <c r="C11" s="3"/>
      <c r="D11" s="3"/>
      <c r="E11" s="3"/>
      <c r="F11" s="3"/>
      <c r="G11" s="3"/>
      <c r="H11" s="17">
        <f t="shared" si="0"/>
        <v>7.7819281653922281E-2</v>
      </c>
      <c r="I11" s="17">
        <f t="shared" si="1"/>
        <v>2.0430041837567192E-2</v>
      </c>
    </row>
    <row r="12" spans="1:9">
      <c r="A12" s="17">
        <v>0.2</v>
      </c>
      <c r="B12" s="17">
        <v>0.8</v>
      </c>
      <c r="C12" s="3"/>
      <c r="D12" s="3"/>
      <c r="E12" s="3"/>
      <c r="F12" s="3"/>
      <c r="G12" s="3"/>
      <c r="H12" s="17">
        <f t="shared" si="0"/>
        <v>7.9564761635166167E-2</v>
      </c>
      <c r="I12" s="17">
        <f t="shared" si="1"/>
        <v>2.0091931356192336E-2</v>
      </c>
    </row>
    <row r="13" spans="1:9">
      <c r="A13" s="17">
        <v>0.1</v>
      </c>
      <c r="B13" s="17">
        <v>0.9</v>
      </c>
      <c r="C13" s="3"/>
      <c r="D13" s="3"/>
      <c r="E13" s="3"/>
      <c r="F13" s="3"/>
      <c r="G13" s="3"/>
      <c r="H13" s="17">
        <f t="shared" si="0"/>
        <v>8.3019201062656769E-2</v>
      </c>
      <c r="I13" s="17">
        <f t="shared" si="1"/>
        <v>1.9753820874817481E-2</v>
      </c>
    </row>
    <row r="14" spans="1:9">
      <c r="A14" s="17">
        <v>0</v>
      </c>
      <c r="B14" s="17">
        <v>1</v>
      </c>
      <c r="C14" s="3"/>
      <c r="D14" s="3"/>
      <c r="E14" s="3"/>
      <c r="F14" s="3"/>
      <c r="G14" s="3"/>
      <c r="H14" s="17">
        <f t="shared" si="0"/>
        <v>8.7981531870021168E-2</v>
      </c>
      <c r="I14" s="17">
        <f t="shared" si="1"/>
        <v>1.9415710393442621E-2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A2" sqref="A2:I14"/>
    </sheetView>
  </sheetViews>
  <sheetFormatPr baseColWidth="10" defaultRowHeight="15" x14ac:dyDescent="0"/>
  <sheetData>
    <row r="2" spans="1:9">
      <c r="A2" s="33" t="s">
        <v>50</v>
      </c>
      <c r="B2" s="33"/>
      <c r="C2" s="34" t="s">
        <v>53</v>
      </c>
      <c r="D2" s="34"/>
      <c r="E2" s="35" t="s">
        <v>54</v>
      </c>
      <c r="F2" s="35"/>
      <c r="G2" s="35"/>
      <c r="H2" s="36" t="s">
        <v>56</v>
      </c>
      <c r="I2" s="37" t="s">
        <v>57</v>
      </c>
    </row>
    <row r="3" spans="1:9" ht="16" thickBot="1">
      <c r="A3" s="38" t="s">
        <v>8</v>
      </c>
      <c r="B3" s="38" t="s">
        <v>10</v>
      </c>
      <c r="C3" s="38" t="s">
        <v>8</v>
      </c>
      <c r="D3" s="38" t="s">
        <v>10</v>
      </c>
      <c r="E3" s="39" t="s">
        <v>8</v>
      </c>
      <c r="F3" s="38" t="s">
        <v>10</v>
      </c>
      <c r="G3" s="39" t="s">
        <v>63</v>
      </c>
      <c r="H3" s="39" t="s">
        <v>31</v>
      </c>
      <c r="I3" s="39" t="s">
        <v>58</v>
      </c>
    </row>
    <row r="4" spans="1:9" ht="16" thickTop="1">
      <c r="A4" s="17">
        <v>1</v>
      </c>
      <c r="B4" s="17">
        <v>0</v>
      </c>
      <c r="C4" s="17">
        <f>NTESavg</f>
        <v>2.2796815207191189E-2</v>
      </c>
      <c r="D4" s="17">
        <f>TTWOavg</f>
        <v>3.2044684070090791E-2</v>
      </c>
      <c r="E4" s="40">
        <f>_xlfn.VAR.S(ntes)</f>
        <v>1.2166786833229777E-2</v>
      </c>
      <c r="F4" s="40">
        <f>_xlfn.VAR.S(ttwo)</f>
        <v>7.6238462041953127E-3</v>
      </c>
      <c r="G4" s="40">
        <f>_xlfn.COVARIANCE.S(ntes, ttwo)</f>
        <v>7.9218591611228504E-4</v>
      </c>
      <c r="H4" s="17">
        <f>(A4^2*$E$4 + B4^2*$F$4 + 2*A4*B4*$G$4)^(1/2)</f>
        <v>0.1103031587636083</v>
      </c>
      <c r="I4" s="17">
        <f>A4*$C$4+ B4*$D$4</f>
        <v>2.2796815207191189E-2</v>
      </c>
    </row>
    <row r="5" spans="1:9">
      <c r="A5" s="17">
        <v>0.9</v>
      </c>
      <c r="B5" s="17">
        <v>0.1</v>
      </c>
      <c r="C5" s="3"/>
      <c r="D5" s="3"/>
      <c r="E5" s="3"/>
      <c r="F5" s="3"/>
      <c r="G5" s="3"/>
      <c r="H5" s="17">
        <f t="shared" ref="H5:H14" si="0">(A5^2*$E$4 + B5^2*$F$4 + 2*A5*B5*$G$4)^(1/2)</f>
        <v>0.10036896563110674</v>
      </c>
      <c r="I5" s="17">
        <f t="shared" ref="I5:I14" si="1">A5*$C$4+ B5*$D$4</f>
        <v>2.3721602093481148E-2</v>
      </c>
    </row>
    <row r="6" spans="1:9">
      <c r="A6" s="17">
        <v>0.8</v>
      </c>
      <c r="B6" s="17">
        <v>0.2</v>
      </c>
      <c r="C6" s="3"/>
      <c r="D6" s="3"/>
      <c r="E6" s="3"/>
      <c r="F6" s="3"/>
      <c r="G6" s="3"/>
      <c r="H6" s="17">
        <f t="shared" si="0"/>
        <v>9.1352049317958942E-2</v>
      </c>
      <c r="I6" s="17">
        <f t="shared" si="1"/>
        <v>2.464638897977111E-2</v>
      </c>
    </row>
    <row r="7" spans="1:9">
      <c r="A7" s="17">
        <v>0.7</v>
      </c>
      <c r="B7" s="17">
        <v>0.3</v>
      </c>
      <c r="C7" s="3"/>
      <c r="D7" s="3"/>
      <c r="E7" s="3"/>
      <c r="F7" s="3"/>
      <c r="G7" s="3"/>
      <c r="H7" s="17">
        <f t="shared" si="0"/>
        <v>8.3549923946268964E-2</v>
      </c>
      <c r="I7" s="17">
        <f t="shared" si="1"/>
        <v>2.5571175866061068E-2</v>
      </c>
    </row>
    <row r="8" spans="1:9">
      <c r="A8" s="17">
        <v>0.6</v>
      </c>
      <c r="B8" s="17">
        <v>0.4</v>
      </c>
      <c r="C8" s="3"/>
      <c r="D8" s="3"/>
      <c r="E8" s="3"/>
      <c r="F8" s="3"/>
      <c r="G8" s="3"/>
      <c r="H8" s="17">
        <f t="shared" si="0"/>
        <v>7.7331157319465146E-2</v>
      </c>
      <c r="I8" s="17">
        <f t="shared" si="1"/>
        <v>2.6495962752351034E-2</v>
      </c>
    </row>
    <row r="9" spans="1:9">
      <c r="A9" s="17">
        <v>0.5</v>
      </c>
      <c r="B9" s="17">
        <v>0.5</v>
      </c>
      <c r="C9" s="3"/>
      <c r="D9" s="3"/>
      <c r="E9" s="3"/>
      <c r="F9" s="3"/>
      <c r="G9" s="3"/>
      <c r="H9" s="17">
        <f t="shared" si="0"/>
        <v>7.3100965912991978E-2</v>
      </c>
      <c r="I9" s="17">
        <f t="shared" si="1"/>
        <v>2.7420749638640989E-2</v>
      </c>
    </row>
    <row r="10" spans="1:9">
      <c r="A10" s="17">
        <v>0.4</v>
      </c>
      <c r="B10" s="17">
        <v>0.6</v>
      </c>
      <c r="C10" s="3"/>
      <c r="D10" s="3"/>
      <c r="E10" s="3"/>
      <c r="F10" s="3"/>
      <c r="G10" s="3"/>
      <c r="H10" s="17">
        <f t="shared" si="0"/>
        <v>7.1214603604604687E-2</v>
      </c>
      <c r="I10" s="17">
        <f t="shared" si="1"/>
        <v>2.834553652493095E-2</v>
      </c>
    </row>
    <row r="11" spans="1:9">
      <c r="A11" s="17">
        <v>0.3</v>
      </c>
      <c r="B11" s="17">
        <v>0.7</v>
      </c>
      <c r="C11" s="3"/>
      <c r="D11" s="3"/>
      <c r="E11" s="3"/>
      <c r="F11" s="3"/>
      <c r="G11" s="3"/>
      <c r="H11" s="17">
        <f t="shared" si="0"/>
        <v>7.1856896257864789E-2</v>
      </c>
      <c r="I11" s="17">
        <f t="shared" si="1"/>
        <v>2.9270323411220909E-2</v>
      </c>
    </row>
    <row r="12" spans="1:9">
      <c r="A12" s="17">
        <v>0.2</v>
      </c>
      <c r="B12" s="17">
        <v>0.8</v>
      </c>
      <c r="C12" s="3"/>
      <c r="D12" s="3"/>
      <c r="E12" s="3"/>
      <c r="F12" s="3"/>
      <c r="G12" s="3"/>
      <c r="H12" s="17">
        <f t="shared" si="0"/>
        <v>7.4962874392395892E-2</v>
      </c>
      <c r="I12" s="17">
        <f t="shared" si="1"/>
        <v>3.0195110297510874E-2</v>
      </c>
    </row>
    <row r="13" spans="1:9">
      <c r="A13" s="17">
        <v>0.1</v>
      </c>
      <c r="B13" s="17">
        <v>0.9</v>
      </c>
      <c r="C13" s="3"/>
      <c r="D13" s="3"/>
      <c r="E13" s="3"/>
      <c r="F13" s="3"/>
      <c r="G13" s="3"/>
      <c r="H13" s="17">
        <f t="shared" si="0"/>
        <v>8.0246973516953979E-2</v>
      </c>
      <c r="I13" s="17">
        <f t="shared" si="1"/>
        <v>3.1119897183800833E-2</v>
      </c>
    </row>
    <row r="14" spans="1:9">
      <c r="A14" s="17">
        <v>0</v>
      </c>
      <c r="B14" s="17">
        <v>1</v>
      </c>
      <c r="C14" s="3"/>
      <c r="D14" s="3"/>
      <c r="E14" s="3"/>
      <c r="F14" s="3"/>
      <c r="G14" s="3"/>
      <c r="H14" s="17">
        <f t="shared" si="0"/>
        <v>8.7314639117362855E-2</v>
      </c>
      <c r="I14" s="17">
        <f t="shared" si="1"/>
        <v>3.2044684070090791E-2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L24" sqref="L24"/>
    </sheetView>
  </sheetViews>
  <sheetFormatPr baseColWidth="10" defaultRowHeight="15" x14ac:dyDescent="0"/>
  <sheetData>
    <row r="2" spans="1:9">
      <c r="A2" s="33" t="s">
        <v>50</v>
      </c>
      <c r="B2" s="33"/>
      <c r="C2" s="34" t="s">
        <v>53</v>
      </c>
      <c r="D2" s="34"/>
      <c r="E2" s="35" t="s">
        <v>54</v>
      </c>
      <c r="F2" s="35"/>
      <c r="G2" s="35"/>
      <c r="H2" s="36" t="s">
        <v>56</v>
      </c>
      <c r="I2" s="37" t="s">
        <v>57</v>
      </c>
    </row>
    <row r="3" spans="1:9" ht="16" thickBot="1">
      <c r="A3" s="38" t="s">
        <v>9</v>
      </c>
      <c r="B3" s="38" t="s">
        <v>10</v>
      </c>
      <c r="C3" s="38" t="s">
        <v>9</v>
      </c>
      <c r="D3" s="38" t="s">
        <v>10</v>
      </c>
      <c r="E3" s="38" t="s">
        <v>9</v>
      </c>
      <c r="F3" s="38" t="s">
        <v>10</v>
      </c>
      <c r="G3" s="39" t="s">
        <v>64</v>
      </c>
      <c r="H3" s="39" t="s">
        <v>31</v>
      </c>
      <c r="I3" s="39" t="s">
        <v>58</v>
      </c>
    </row>
    <row r="4" spans="1:9" ht="16" thickTop="1">
      <c r="A4" s="17">
        <v>1</v>
      </c>
      <c r="B4" s="17">
        <v>0</v>
      </c>
      <c r="C4" s="17">
        <f>EAavg</f>
        <v>1.9415710393442621E-2</v>
      </c>
      <c r="D4" s="17">
        <f>TTWOavg</f>
        <v>3.2044684070090791E-2</v>
      </c>
      <c r="E4" s="40">
        <f>_xlfn.VAR.S(ea)</f>
        <v>7.7407499501955497E-3</v>
      </c>
      <c r="F4" s="40">
        <f>_xlfn.VAR.S(ttwo)</f>
        <v>7.6238462041953127E-3</v>
      </c>
      <c r="G4" s="40">
        <f>_xlfn.COVARIANCE.S(ea, ttwo)</f>
        <v>3.8252491605432091E-3</v>
      </c>
      <c r="H4" s="17">
        <f>(A4^2*$E$4 + B4^2*$F$4 + 2*A4*B4*$G$4)^(1/2)</f>
        <v>8.7981531870021168E-2</v>
      </c>
      <c r="I4" s="17">
        <f>A4*$C$4+ B4*$D$4</f>
        <v>1.9415710393442621E-2</v>
      </c>
    </row>
    <row r="5" spans="1:9">
      <c r="A5" s="17">
        <v>0.9</v>
      </c>
      <c r="B5" s="17">
        <v>0.1</v>
      </c>
      <c r="C5" s="3"/>
      <c r="D5" s="3"/>
      <c r="E5" s="3"/>
      <c r="F5" s="3"/>
      <c r="G5" s="3"/>
      <c r="H5" s="17">
        <f t="shared" ref="H5:H14" si="0">(A5^2*$E$4 + B5^2*$F$4 + 2*A5*B5*$G$4)^(1/2)</f>
        <v>8.3873659575567153E-2</v>
      </c>
      <c r="I5" s="17">
        <f t="shared" ref="I5:I14" si="1">A5*$C$4+ B5*$D$4</f>
        <v>2.0678607761107443E-2</v>
      </c>
    </row>
    <row r="6" spans="1:9">
      <c r="A6" s="17">
        <v>0.8</v>
      </c>
      <c r="B6" s="17">
        <v>0.2</v>
      </c>
      <c r="C6" s="3"/>
      <c r="D6" s="3"/>
      <c r="E6" s="3"/>
      <c r="F6" s="3"/>
      <c r="G6" s="3"/>
      <c r="H6" s="17">
        <f t="shared" si="0"/>
        <v>8.0517784045928589E-2</v>
      </c>
      <c r="I6" s="17">
        <f t="shared" si="1"/>
        <v>2.1941505128772257E-2</v>
      </c>
    </row>
    <row r="7" spans="1:9">
      <c r="A7" s="17">
        <v>0.7</v>
      </c>
      <c r="B7" s="17">
        <v>0.3</v>
      </c>
      <c r="C7" s="3"/>
      <c r="D7" s="3"/>
      <c r="E7" s="3"/>
      <c r="F7" s="3"/>
      <c r="G7" s="3"/>
      <c r="H7" s="17">
        <f t="shared" si="0"/>
        <v>7.8011013846773877E-2</v>
      </c>
      <c r="I7" s="17">
        <f t="shared" si="1"/>
        <v>2.3204402496437071E-2</v>
      </c>
    </row>
    <row r="8" spans="1:9">
      <c r="A8" s="17">
        <v>0.6</v>
      </c>
      <c r="B8" s="17">
        <v>0.4</v>
      </c>
      <c r="C8" s="3"/>
      <c r="D8" s="3"/>
      <c r="E8" s="3"/>
      <c r="F8" s="3"/>
      <c r="G8" s="3"/>
      <c r="H8" s="17">
        <f t="shared" si="0"/>
        <v>7.6436934604956444E-2</v>
      </c>
      <c r="I8" s="17">
        <f t="shared" si="1"/>
        <v>2.4467299864101892E-2</v>
      </c>
    </row>
    <row r="9" spans="1:9">
      <c r="A9" s="17">
        <v>0.5</v>
      </c>
      <c r="B9" s="17">
        <v>0.5</v>
      </c>
      <c r="C9" s="3"/>
      <c r="D9" s="3"/>
      <c r="E9" s="3"/>
      <c r="F9" s="3"/>
      <c r="G9" s="3"/>
      <c r="H9" s="17">
        <f t="shared" si="0"/>
        <v>7.5853632865336917E-2</v>
      </c>
      <c r="I9" s="17">
        <f t="shared" si="1"/>
        <v>2.5730197231766706E-2</v>
      </c>
    </row>
    <row r="10" spans="1:9">
      <c r="A10" s="17">
        <v>0.4</v>
      </c>
      <c r="B10" s="17">
        <v>0.6</v>
      </c>
      <c r="C10" s="3"/>
      <c r="D10" s="3"/>
      <c r="E10" s="3"/>
      <c r="F10" s="3"/>
      <c r="G10" s="3"/>
      <c r="H10" s="17">
        <f t="shared" si="0"/>
        <v>7.6283839852240923E-2</v>
      </c>
      <c r="I10" s="17">
        <f t="shared" si="1"/>
        <v>2.6993094599431521E-2</v>
      </c>
    </row>
    <row r="11" spans="1:9">
      <c r="A11" s="17">
        <v>0.3</v>
      </c>
      <c r="B11" s="17">
        <v>0.7</v>
      </c>
      <c r="C11" s="3"/>
      <c r="D11" s="3"/>
      <c r="E11" s="3"/>
      <c r="F11" s="3"/>
      <c r="G11" s="3"/>
      <c r="H11" s="17">
        <f t="shared" si="0"/>
        <v>7.7710725019146804E-2</v>
      </c>
      <c r="I11" s="17">
        <f t="shared" si="1"/>
        <v>2.8255991967096338E-2</v>
      </c>
    </row>
    <row r="12" spans="1:9">
      <c r="A12" s="17">
        <v>0.2</v>
      </c>
      <c r="B12" s="17">
        <v>0.8</v>
      </c>
      <c r="C12" s="3"/>
      <c r="D12" s="3"/>
      <c r="E12" s="3"/>
      <c r="F12" s="3"/>
      <c r="G12" s="3"/>
      <c r="H12" s="17">
        <f t="shared" si="0"/>
        <v>8.0081029589202019E-2</v>
      </c>
      <c r="I12" s="17">
        <f t="shared" si="1"/>
        <v>2.9518889334761159E-2</v>
      </c>
    </row>
    <row r="13" spans="1:9">
      <c r="A13" s="17">
        <v>0.1</v>
      </c>
      <c r="B13" s="17">
        <v>0.9</v>
      </c>
      <c r="C13" s="3"/>
      <c r="D13" s="3"/>
      <c r="E13" s="3"/>
      <c r="F13" s="3"/>
      <c r="G13" s="3"/>
      <c r="H13" s="17">
        <f t="shared" si="0"/>
        <v>8.3314271129248538E-2</v>
      </c>
      <c r="I13" s="17">
        <f t="shared" si="1"/>
        <v>3.0781786702425977E-2</v>
      </c>
    </row>
    <row r="14" spans="1:9">
      <c r="A14" s="17">
        <v>0</v>
      </c>
      <c r="B14" s="17">
        <v>1</v>
      </c>
      <c r="C14" s="3"/>
      <c r="D14" s="3"/>
      <c r="E14" s="3"/>
      <c r="F14" s="3"/>
      <c r="G14" s="3"/>
      <c r="H14" s="17">
        <f t="shared" si="0"/>
        <v>8.7314639117362855E-2</v>
      </c>
      <c r="I14" s="17">
        <f t="shared" si="1"/>
        <v>3.2044684070090791E-2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:AE59"/>
  <sheetViews>
    <sheetView zoomScale="50" zoomScaleNormal="50" zoomScalePageLayoutView="50" workbookViewId="0">
      <selection activeCell="L47" sqref="L47"/>
    </sheetView>
  </sheetViews>
  <sheetFormatPr baseColWidth="10" defaultRowHeight="15" x14ac:dyDescent="0"/>
  <sheetData>
    <row r="2" spans="17:31" ht="16" thickBot="1">
      <c r="Q2" s="57" t="s">
        <v>74</v>
      </c>
      <c r="R2" s="57"/>
      <c r="S2" s="57"/>
      <c r="T2" s="57"/>
      <c r="U2" s="57"/>
      <c r="V2" s="57"/>
      <c r="W2" s="57"/>
      <c r="Y2" s="57" t="s">
        <v>74</v>
      </c>
      <c r="Z2" s="57"/>
      <c r="AA2" s="57"/>
      <c r="AB2" s="57"/>
      <c r="AC2" s="57"/>
      <c r="AD2" s="57"/>
      <c r="AE2" s="57"/>
    </row>
    <row r="3" spans="17:31">
      <c r="Q3" s="41"/>
      <c r="R3" s="41"/>
      <c r="S3" s="41"/>
      <c r="T3" s="41"/>
      <c r="U3" s="41"/>
      <c r="V3" s="41"/>
      <c r="W3" s="41"/>
      <c r="Y3" s="41"/>
      <c r="Z3" s="41"/>
      <c r="AA3" s="41"/>
      <c r="AB3" s="41"/>
      <c r="AC3" s="41"/>
      <c r="AD3" s="41"/>
      <c r="AE3" s="41"/>
    </row>
    <row r="4" spans="17:31" ht="16" thickBot="1">
      <c r="Q4" s="58" t="s">
        <v>75</v>
      </c>
      <c r="R4" s="58"/>
      <c r="S4" s="58"/>
      <c r="T4" s="58"/>
      <c r="U4" s="42"/>
      <c r="V4" s="42"/>
      <c r="W4" s="42"/>
      <c r="Y4" s="58" t="s">
        <v>75</v>
      </c>
      <c r="Z4" s="58"/>
      <c r="AA4" s="58"/>
      <c r="AB4" s="58"/>
      <c r="AC4" s="42"/>
      <c r="AD4" s="42"/>
      <c r="AE4" s="42"/>
    </row>
    <row r="5" spans="17:31">
      <c r="Q5" s="56" t="s">
        <v>76</v>
      </c>
      <c r="R5" s="56"/>
      <c r="S5" s="43">
        <v>0.79920572651059696</v>
      </c>
      <c r="T5" s="41"/>
      <c r="U5" s="41"/>
      <c r="V5" s="41"/>
      <c r="W5" s="41"/>
      <c r="Y5" s="56" t="s">
        <v>76</v>
      </c>
      <c r="Z5" s="56"/>
      <c r="AA5" s="43">
        <v>0.64279138628183796</v>
      </c>
      <c r="AB5" s="41"/>
      <c r="AC5" s="41"/>
      <c r="AD5" s="41"/>
      <c r="AE5" s="41"/>
    </row>
    <row r="6" spans="17:31">
      <c r="Q6" s="56" t="s">
        <v>77</v>
      </c>
      <c r="R6" s="56"/>
      <c r="S6" s="43">
        <v>0.63872979328733104</v>
      </c>
      <c r="T6" s="41"/>
      <c r="U6" s="41"/>
      <c r="V6" s="41"/>
      <c r="W6" s="41"/>
      <c r="Y6" s="56" t="s">
        <v>77</v>
      </c>
      <c r="Z6" s="56"/>
      <c r="AA6" s="43">
        <v>0.413180766278127</v>
      </c>
      <c r="AB6" s="41"/>
      <c r="AC6" s="41"/>
      <c r="AD6" s="41"/>
      <c r="AE6" s="41"/>
    </row>
    <row r="7" spans="17:31">
      <c r="Q7" s="56" t="s">
        <v>78</v>
      </c>
      <c r="R7" s="56"/>
      <c r="S7" s="43">
        <v>0.63260656944474303</v>
      </c>
      <c r="T7" s="41"/>
      <c r="U7" s="41"/>
      <c r="V7" s="41"/>
      <c r="W7" s="41"/>
      <c r="Y7" s="56" t="s">
        <v>78</v>
      </c>
      <c r="Z7" s="56"/>
      <c r="AA7" s="43">
        <v>0.40323467757097697</v>
      </c>
      <c r="AB7" s="41"/>
      <c r="AC7" s="41"/>
      <c r="AD7" s="41"/>
      <c r="AE7" s="41"/>
    </row>
    <row r="8" spans="17:31">
      <c r="Q8" s="56" t="s">
        <v>79</v>
      </c>
      <c r="R8" s="56"/>
      <c r="S8" s="43">
        <v>5.2544230361758502E-2</v>
      </c>
      <c r="T8" s="41"/>
      <c r="U8" s="41"/>
      <c r="V8" s="41"/>
      <c r="W8" s="41"/>
      <c r="Y8" s="56" t="s">
        <v>79</v>
      </c>
      <c r="Z8" s="56"/>
      <c r="AA8" s="43">
        <v>8.5209837856069004E-2</v>
      </c>
      <c r="AB8" s="41"/>
      <c r="AC8" s="41"/>
      <c r="AD8" s="41"/>
      <c r="AE8" s="41"/>
    </row>
    <row r="9" spans="17:31">
      <c r="Q9" s="56" t="s">
        <v>80</v>
      </c>
      <c r="R9" s="56"/>
      <c r="S9" s="43">
        <v>2.7608961443095501E-3</v>
      </c>
      <c r="T9" s="41"/>
      <c r="U9" s="41"/>
      <c r="V9" s="41"/>
      <c r="W9" s="41"/>
      <c r="Y9" s="56" t="s">
        <v>80</v>
      </c>
      <c r="Z9" s="56"/>
      <c r="AA9" s="43">
        <v>7.2607164674575696E-3</v>
      </c>
      <c r="AB9" s="41"/>
      <c r="AC9" s="41"/>
      <c r="AD9" s="41"/>
      <c r="AE9" s="41"/>
    </row>
    <row r="10" spans="17:31">
      <c r="Q10" s="56" t="s">
        <v>81</v>
      </c>
      <c r="R10" s="56"/>
      <c r="S10" s="43">
        <v>5.2544230361758502E-2</v>
      </c>
      <c r="T10" s="41"/>
      <c r="U10" s="41"/>
      <c r="V10" s="41"/>
      <c r="W10" s="41"/>
      <c r="Y10" s="56" t="s">
        <v>81</v>
      </c>
      <c r="Z10" s="56"/>
      <c r="AA10" s="43">
        <v>8.5209837856069004E-2</v>
      </c>
      <c r="AB10" s="41"/>
      <c r="AC10" s="41"/>
      <c r="AD10" s="41"/>
      <c r="AE10" s="41"/>
    </row>
    <row r="11" spans="17:31">
      <c r="Q11" s="56" t="s">
        <v>82</v>
      </c>
      <c r="R11" s="56"/>
      <c r="S11" s="43">
        <v>84.735605353151996</v>
      </c>
      <c r="T11" s="41"/>
      <c r="U11" s="41"/>
      <c r="V11" s="41"/>
      <c r="W11" s="41"/>
      <c r="Y11" s="56" t="s">
        <v>82</v>
      </c>
      <c r="Z11" s="56"/>
      <c r="AA11" s="43">
        <v>81.224955326132303</v>
      </c>
      <c r="AB11" s="41"/>
      <c r="AC11" s="41"/>
      <c r="AD11" s="41"/>
      <c r="AE11" s="41"/>
    </row>
    <row r="12" spans="17:31">
      <c r="Q12" s="56" t="s">
        <v>83</v>
      </c>
      <c r="R12" s="56"/>
      <c r="S12" s="43">
        <v>1.7245490714859599</v>
      </c>
      <c r="T12" s="41"/>
      <c r="U12" s="41"/>
      <c r="V12" s="41"/>
      <c r="W12" s="41"/>
      <c r="Y12" s="56" t="s">
        <v>83</v>
      </c>
      <c r="Z12" s="56"/>
      <c r="AA12" s="43">
        <v>1.71048696730417</v>
      </c>
      <c r="AB12" s="41"/>
      <c r="AC12" s="41"/>
      <c r="AD12" s="41"/>
      <c r="AE12" s="41"/>
    </row>
    <row r="13" spans="17:31">
      <c r="Q13" s="56" t="s">
        <v>84</v>
      </c>
      <c r="R13" s="56"/>
      <c r="S13" s="43">
        <v>0.17726352742397</v>
      </c>
      <c r="T13" s="41"/>
      <c r="U13" s="41"/>
      <c r="V13" s="41"/>
      <c r="W13" s="41"/>
      <c r="Y13" s="56" t="s">
        <v>84</v>
      </c>
      <c r="Z13" s="56"/>
      <c r="AA13" s="43">
        <v>0.46012022578040701</v>
      </c>
      <c r="AB13" s="41"/>
      <c r="AC13" s="41"/>
      <c r="AD13" s="41"/>
      <c r="AE13" s="41"/>
    </row>
    <row r="14" spans="17:31">
      <c r="Q14" s="56" t="s">
        <v>85</v>
      </c>
      <c r="R14" s="56"/>
      <c r="S14" s="43">
        <v>5.3906951926135899E-2</v>
      </c>
      <c r="T14" s="41"/>
      <c r="U14" s="41"/>
      <c r="V14" s="41"/>
      <c r="W14" s="41"/>
      <c r="Y14" s="56" t="s">
        <v>85</v>
      </c>
      <c r="Z14" s="56"/>
      <c r="AA14" s="43">
        <v>8.6850184346322995E-2</v>
      </c>
      <c r="AB14" s="41"/>
      <c r="AC14" s="41"/>
      <c r="AD14" s="41"/>
      <c r="AE14" s="41"/>
    </row>
    <row r="15" spans="17:31">
      <c r="Q15" s="56" t="s">
        <v>86</v>
      </c>
      <c r="R15" s="56"/>
      <c r="S15" s="43">
        <v>0.60685799073580005</v>
      </c>
      <c r="T15" s="41"/>
      <c r="U15" s="41"/>
      <c r="V15" s="41"/>
      <c r="W15" s="41"/>
      <c r="Y15" s="56" t="s">
        <v>86</v>
      </c>
      <c r="Z15" s="56"/>
      <c r="AA15" s="43">
        <v>0.36970454609027298</v>
      </c>
      <c r="AB15" s="41"/>
      <c r="AC15" s="41"/>
      <c r="AD15" s="41"/>
      <c r="AE15" s="41"/>
    </row>
    <row r="16" spans="17:31">
      <c r="Q16" s="56" t="s">
        <v>87</v>
      </c>
      <c r="R16" s="56"/>
      <c r="S16" s="44">
        <v>61</v>
      </c>
      <c r="T16" s="41"/>
      <c r="U16" s="41"/>
      <c r="V16" s="41"/>
      <c r="W16" s="41"/>
      <c r="Y16" s="56" t="s">
        <v>87</v>
      </c>
      <c r="Z16" s="56"/>
      <c r="AA16" s="44">
        <v>61</v>
      </c>
      <c r="AB16" s="41"/>
      <c r="AC16" s="41"/>
      <c r="AD16" s="41"/>
      <c r="AE16" s="41"/>
    </row>
    <row r="17" spans="17:31" ht="16" thickBot="1">
      <c r="Q17" s="57" t="s">
        <v>93</v>
      </c>
      <c r="R17" s="57"/>
      <c r="S17" s="57"/>
      <c r="T17" s="57"/>
      <c r="U17" s="57"/>
      <c r="V17" s="57"/>
      <c r="W17" s="57"/>
      <c r="Y17" s="57" t="s">
        <v>94</v>
      </c>
      <c r="Z17" s="57"/>
      <c r="AA17" s="57"/>
      <c r="AB17" s="57"/>
      <c r="AC17" s="57"/>
      <c r="AD17" s="57"/>
      <c r="AE17" s="57"/>
    </row>
    <row r="18" spans="17:31" ht="16" thickBot="1">
      <c r="Q18" s="59"/>
      <c r="R18" s="59"/>
      <c r="S18" s="59"/>
      <c r="T18" s="59"/>
      <c r="U18" s="59"/>
      <c r="V18" s="59"/>
      <c r="W18" s="59"/>
      <c r="Y18" s="59"/>
      <c r="Z18" s="59"/>
      <c r="AA18" s="59"/>
      <c r="AB18" s="59"/>
      <c r="AC18" s="59"/>
      <c r="AD18" s="59"/>
      <c r="AE18" s="59"/>
    </row>
    <row r="19" spans="17:31">
      <c r="Q19" s="41"/>
      <c r="R19" s="41"/>
      <c r="S19" s="41"/>
      <c r="T19" s="41"/>
      <c r="U19" s="41"/>
      <c r="V19" s="41"/>
      <c r="W19" s="41"/>
      <c r="Y19" s="41"/>
      <c r="Z19" s="41"/>
      <c r="AA19" s="41"/>
      <c r="AB19" s="41"/>
      <c r="AC19" s="41"/>
      <c r="AD19" s="41"/>
      <c r="AE19" s="41"/>
    </row>
    <row r="20" spans="17:31">
      <c r="Q20" s="41"/>
      <c r="R20" s="41"/>
      <c r="S20" s="41"/>
      <c r="T20" s="41"/>
      <c r="U20" s="41"/>
      <c r="V20" s="41"/>
      <c r="W20" s="41"/>
      <c r="Y20" s="41"/>
      <c r="Z20" s="41"/>
      <c r="AA20" s="41"/>
      <c r="AB20" s="41"/>
      <c r="AC20" s="41"/>
      <c r="AD20" s="41"/>
      <c r="AE20" s="41"/>
    </row>
    <row r="21" spans="17:31" ht="16" thickBot="1">
      <c r="Q21" s="58" t="s">
        <v>68</v>
      </c>
      <c r="R21" s="58"/>
      <c r="S21" s="58"/>
      <c r="T21" s="58"/>
      <c r="U21" s="42"/>
      <c r="V21" s="42"/>
      <c r="W21" s="42"/>
      <c r="Y21" s="58" t="s">
        <v>68</v>
      </c>
      <c r="Z21" s="58"/>
      <c r="AA21" s="58"/>
      <c r="AB21" s="58"/>
      <c r="AC21" s="42"/>
      <c r="AD21" s="42"/>
      <c r="AE21" s="42"/>
    </row>
    <row r="22" spans="17:31">
      <c r="Q22" s="45"/>
      <c r="R22" s="45" t="s">
        <v>88</v>
      </c>
      <c r="S22" s="45" t="s">
        <v>69</v>
      </c>
      <c r="T22" s="45" t="s">
        <v>70</v>
      </c>
      <c r="U22" s="45" t="s">
        <v>71</v>
      </c>
      <c r="V22" s="45" t="s">
        <v>65</v>
      </c>
      <c r="W22" s="46"/>
      <c r="Y22" s="45"/>
      <c r="Z22" s="45" t="s">
        <v>88</v>
      </c>
      <c r="AA22" s="45" t="s">
        <v>69</v>
      </c>
      <c r="AB22" s="45" t="s">
        <v>70</v>
      </c>
      <c r="AC22" s="45" t="s">
        <v>71</v>
      </c>
      <c r="AD22" s="45" t="s">
        <v>65</v>
      </c>
      <c r="AE22" s="46"/>
    </row>
    <row r="23" spans="17:31">
      <c r="Q23" s="47" t="s">
        <v>72</v>
      </c>
      <c r="R23" s="43">
        <v>1</v>
      </c>
      <c r="S23" s="43">
        <v>0.28799643274144998</v>
      </c>
      <c r="T23" s="43">
        <v>0.28799643274144998</v>
      </c>
      <c r="U23" s="43">
        <v>104.312664326413</v>
      </c>
      <c r="V23" s="43">
        <v>1.1591042795716699E-14</v>
      </c>
      <c r="W23" s="41"/>
      <c r="Y23" s="47" t="s">
        <v>72</v>
      </c>
      <c r="Z23" s="43">
        <v>1</v>
      </c>
      <c r="AA23" s="43">
        <v>0.30162493841379001</v>
      </c>
      <c r="AB23" s="43">
        <v>0.30162493841379001</v>
      </c>
      <c r="AC23" s="43">
        <v>41.542035109850303</v>
      </c>
      <c r="AD23" s="53">
        <v>2.3328325637113999E-8</v>
      </c>
      <c r="AE23" s="41"/>
    </row>
    <row r="24" spans="17:31">
      <c r="Q24" s="47" t="s">
        <v>73</v>
      </c>
      <c r="R24" s="43">
        <v>59</v>
      </c>
      <c r="S24" s="43">
        <v>0.16289287251426299</v>
      </c>
      <c r="T24" s="43">
        <v>2.7608961443095501E-3</v>
      </c>
      <c r="U24" s="41"/>
      <c r="V24" s="41"/>
      <c r="W24" s="41"/>
      <c r="Y24" s="47" t="s">
        <v>73</v>
      </c>
      <c r="Z24" s="43">
        <v>59</v>
      </c>
      <c r="AA24" s="43">
        <v>0.42838227157999598</v>
      </c>
      <c r="AB24" s="43">
        <v>7.2607164674575696E-3</v>
      </c>
      <c r="AC24" s="41"/>
      <c r="AD24" s="41"/>
      <c r="AE24" s="41"/>
    </row>
    <row r="25" spans="17:31" ht="16" thickBot="1">
      <c r="Q25" s="48" t="s">
        <v>13</v>
      </c>
      <c r="R25" s="49">
        <v>60</v>
      </c>
      <c r="S25" s="49">
        <v>0.45088930525571302</v>
      </c>
      <c r="T25" s="42"/>
      <c r="U25" s="42"/>
      <c r="V25" s="42"/>
      <c r="W25" s="42"/>
      <c r="Y25" s="48" t="s">
        <v>13</v>
      </c>
      <c r="Z25" s="49">
        <v>60</v>
      </c>
      <c r="AA25" s="49">
        <v>0.73000720999378699</v>
      </c>
      <c r="AB25" s="42"/>
      <c r="AC25" s="42"/>
      <c r="AD25" s="42"/>
      <c r="AE25" s="42"/>
    </row>
    <row r="26" spans="17:31" ht="16" thickBot="1">
      <c r="Q26" s="42"/>
      <c r="R26" s="42"/>
      <c r="S26" s="42"/>
      <c r="T26" s="42"/>
      <c r="U26" s="42"/>
      <c r="V26" s="42"/>
      <c r="W26" s="42"/>
      <c r="Y26" s="42"/>
      <c r="Z26" s="42"/>
      <c r="AA26" s="42"/>
      <c r="AB26" s="42"/>
      <c r="AC26" s="42"/>
      <c r="AD26" s="42"/>
      <c r="AE26" s="42"/>
    </row>
    <row r="27" spans="17:31">
      <c r="Q27" s="45"/>
      <c r="R27" s="45" t="s">
        <v>89</v>
      </c>
      <c r="S27" s="45" t="s">
        <v>67</v>
      </c>
      <c r="T27" s="45" t="s">
        <v>90</v>
      </c>
      <c r="U27" s="45" t="s">
        <v>91</v>
      </c>
      <c r="V27" s="45" t="s">
        <v>92</v>
      </c>
      <c r="W27" s="45" t="s">
        <v>65</v>
      </c>
      <c r="Y27" s="45"/>
      <c r="Z27" s="45" t="s">
        <v>89</v>
      </c>
      <c r="AA27" s="45" t="s">
        <v>67</v>
      </c>
      <c r="AB27" s="45" t="s">
        <v>90</v>
      </c>
      <c r="AC27" s="45" t="s">
        <v>91</v>
      </c>
      <c r="AD27" s="45" t="s">
        <v>92</v>
      </c>
      <c r="AE27" s="45" t="s">
        <v>65</v>
      </c>
    </row>
    <row r="28" spans="17:31">
      <c r="Q28" s="50" t="s">
        <v>66</v>
      </c>
      <c r="R28" s="43">
        <v>-7.2047996125727204E-3</v>
      </c>
      <c r="S28" s="43">
        <v>7.1051586785304396E-3</v>
      </c>
      <c r="T28" s="43">
        <v>-2.1422189288895901E-2</v>
      </c>
      <c r="U28" s="43">
        <v>7.0125900637504398E-3</v>
      </c>
      <c r="V28" s="43">
        <v>-1.0140237450774101</v>
      </c>
      <c r="W28" s="43">
        <v>0.31471189622523099</v>
      </c>
      <c r="Y28" s="50" t="s">
        <v>66</v>
      </c>
      <c r="Z28" s="43">
        <v>-1.0898542965363501E-3</v>
      </c>
      <c r="AA28" s="43">
        <v>1.15222816048677E-2</v>
      </c>
      <c r="AB28" s="43">
        <v>-2.4145886532908101E-2</v>
      </c>
      <c r="AC28" s="43">
        <v>2.19661779398353E-2</v>
      </c>
      <c r="AD28" s="43">
        <v>-9.4586674229167902E-2</v>
      </c>
      <c r="AE28" s="43">
        <v>0.92496364175649404</v>
      </c>
    </row>
    <row r="29" spans="17:31">
      <c r="Q29" s="51" t="s">
        <v>11</v>
      </c>
      <c r="R29" s="52">
        <v>1.03285597640865</v>
      </c>
      <c r="S29" s="52">
        <v>0.101127960275674</v>
      </c>
      <c r="T29" s="52">
        <v>0.83049939530152905</v>
      </c>
      <c r="U29" s="52">
        <v>1.23521255751576</v>
      </c>
      <c r="V29" s="52">
        <v>10.213357152592501</v>
      </c>
      <c r="W29" s="52">
        <v>1.1591042795716699E-14</v>
      </c>
      <c r="Y29" s="51" t="s">
        <v>11</v>
      </c>
      <c r="Z29" s="52">
        <v>1.0570118003024001</v>
      </c>
      <c r="AA29" s="52">
        <v>0.163997018102232</v>
      </c>
      <c r="AB29" s="52">
        <v>0.72885452505958004</v>
      </c>
      <c r="AC29" s="52">
        <v>1.3851690755452299</v>
      </c>
      <c r="AD29" s="52">
        <v>6.4453110948852004</v>
      </c>
      <c r="AE29" s="54">
        <v>2.3328325637113999E-8</v>
      </c>
    </row>
    <row r="32" spans="17:31" ht="16" thickBot="1">
      <c r="Q32" s="57" t="s">
        <v>74</v>
      </c>
      <c r="R32" s="57"/>
      <c r="S32" s="57"/>
      <c r="T32" s="57"/>
      <c r="U32" s="57"/>
      <c r="V32" s="57"/>
      <c r="W32" s="57"/>
      <c r="Y32" s="57" t="s">
        <v>74</v>
      </c>
      <c r="Z32" s="57"/>
      <c r="AA32" s="57"/>
      <c r="AB32" s="57"/>
      <c r="AC32" s="57"/>
      <c r="AD32" s="57"/>
      <c r="AE32" s="57"/>
    </row>
    <row r="33" spans="17:31">
      <c r="Q33" s="41"/>
      <c r="R33" s="41"/>
      <c r="S33" s="41"/>
      <c r="T33" s="41"/>
      <c r="U33" s="41"/>
      <c r="V33" s="41"/>
      <c r="W33" s="41"/>
      <c r="Y33" s="41"/>
      <c r="Z33" s="41"/>
      <c r="AA33" s="41"/>
      <c r="AB33" s="41"/>
      <c r="AC33" s="41"/>
      <c r="AD33" s="41"/>
      <c r="AE33" s="41"/>
    </row>
    <row r="34" spans="17:31" ht="16" thickBot="1">
      <c r="Q34" s="58" t="s">
        <v>75</v>
      </c>
      <c r="R34" s="58"/>
      <c r="S34" s="58"/>
      <c r="T34" s="58"/>
      <c r="U34" s="42"/>
      <c r="V34" s="42"/>
      <c r="W34" s="42"/>
      <c r="Y34" s="58" t="s">
        <v>75</v>
      </c>
      <c r="Z34" s="58"/>
      <c r="AA34" s="58"/>
      <c r="AB34" s="58"/>
      <c r="AC34" s="42"/>
      <c r="AD34" s="42"/>
      <c r="AE34" s="42"/>
    </row>
    <row r="35" spans="17:31">
      <c r="Q35" s="56" t="s">
        <v>76</v>
      </c>
      <c r="R35" s="56"/>
      <c r="S35" s="43">
        <v>0.78642176142373799</v>
      </c>
      <c r="T35" s="41"/>
      <c r="U35" s="41"/>
      <c r="V35" s="41"/>
      <c r="W35" s="41"/>
      <c r="Y35" s="56" t="s">
        <v>76</v>
      </c>
      <c r="Z35" s="56"/>
      <c r="AA35" s="43">
        <v>0.67499202167662098</v>
      </c>
      <c r="AB35" s="41"/>
      <c r="AC35" s="41"/>
      <c r="AD35" s="41"/>
      <c r="AE35" s="41"/>
    </row>
    <row r="36" spans="17:31">
      <c r="Q36" s="56" t="s">
        <v>77</v>
      </c>
      <c r="R36" s="56"/>
      <c r="S36" s="43">
        <v>0.61845918684081502</v>
      </c>
      <c r="T36" s="41"/>
      <c r="U36" s="41"/>
      <c r="V36" s="41"/>
      <c r="W36" s="41"/>
      <c r="Y36" s="56" t="s">
        <v>77</v>
      </c>
      <c r="Z36" s="56"/>
      <c r="AA36" s="43">
        <v>0.455614229327092</v>
      </c>
      <c r="AB36" s="41"/>
      <c r="AC36" s="41"/>
      <c r="AD36" s="41"/>
      <c r="AE36" s="41"/>
    </row>
    <row r="37" spans="17:31">
      <c r="Q37" s="56" t="s">
        <v>78</v>
      </c>
      <c r="R37" s="56"/>
      <c r="S37" s="43">
        <v>0.61199239339743905</v>
      </c>
      <c r="T37" s="41"/>
      <c r="U37" s="41"/>
      <c r="V37" s="41"/>
      <c r="W37" s="41"/>
      <c r="Y37" s="56" t="s">
        <v>78</v>
      </c>
      <c r="Z37" s="56"/>
      <c r="AA37" s="43">
        <v>0.44638735185806</v>
      </c>
      <c r="AB37" s="41"/>
      <c r="AC37" s="41"/>
      <c r="AD37" s="41"/>
      <c r="AE37" s="41"/>
    </row>
    <row r="38" spans="17:31">
      <c r="Q38" s="56" t="s">
        <v>79</v>
      </c>
      <c r="R38" s="56"/>
      <c r="S38" s="43">
        <v>5.4803921953490403E-2</v>
      </c>
      <c r="T38" s="41"/>
      <c r="U38" s="41"/>
      <c r="V38" s="41"/>
      <c r="W38" s="41"/>
      <c r="Y38" s="56" t="s">
        <v>79</v>
      </c>
      <c r="Z38" s="56"/>
      <c r="AA38" s="43">
        <v>6.4966588998741803E-2</v>
      </c>
      <c r="AB38" s="41"/>
      <c r="AC38" s="41"/>
      <c r="AD38" s="41"/>
      <c r="AE38" s="41"/>
    </row>
    <row r="39" spans="17:31">
      <c r="Q39" s="56" t="s">
        <v>80</v>
      </c>
      <c r="R39" s="56"/>
      <c r="S39" s="43">
        <v>3.0034698614842701E-3</v>
      </c>
      <c r="T39" s="41"/>
      <c r="U39" s="41"/>
      <c r="V39" s="41"/>
      <c r="W39" s="41"/>
      <c r="Y39" s="56" t="s">
        <v>80</v>
      </c>
      <c r="Z39" s="56"/>
      <c r="AA39" s="43">
        <v>4.2206576861314503E-3</v>
      </c>
      <c r="AB39" s="41"/>
      <c r="AC39" s="41"/>
      <c r="AD39" s="41"/>
      <c r="AE39" s="41"/>
    </row>
    <row r="40" spans="17:31">
      <c r="Q40" s="56" t="s">
        <v>81</v>
      </c>
      <c r="R40" s="56"/>
      <c r="S40" s="43">
        <v>5.4803921953490403E-2</v>
      </c>
      <c r="T40" s="41"/>
      <c r="U40" s="41"/>
      <c r="V40" s="41"/>
      <c r="W40" s="41"/>
      <c r="Y40" s="56" t="s">
        <v>81</v>
      </c>
      <c r="Z40" s="56"/>
      <c r="AA40" s="43">
        <v>6.4966588998741803E-2</v>
      </c>
      <c r="AB40" s="41"/>
      <c r="AC40" s="41"/>
      <c r="AD40" s="41"/>
      <c r="AE40" s="41"/>
    </row>
    <row r="41" spans="17:31">
      <c r="Q41" s="56" t="s">
        <v>82</v>
      </c>
      <c r="R41" s="56"/>
      <c r="S41" s="43">
        <v>112.65442773288299</v>
      </c>
      <c r="T41" s="41"/>
      <c r="U41" s="41"/>
      <c r="V41" s="41"/>
      <c r="W41" s="41"/>
      <c r="Y41" s="56" t="s">
        <v>82</v>
      </c>
      <c r="Z41" s="56"/>
      <c r="AA41" s="43">
        <v>112.36604129360001</v>
      </c>
      <c r="AB41" s="41"/>
      <c r="AC41" s="41"/>
      <c r="AD41" s="41"/>
      <c r="AE41" s="41"/>
    </row>
    <row r="42" spans="17:31">
      <c r="Q42" s="56" t="s">
        <v>83</v>
      </c>
      <c r="R42" s="56"/>
      <c r="S42" s="43">
        <v>1.50456586434581</v>
      </c>
      <c r="T42" s="41"/>
      <c r="U42" s="41"/>
      <c r="V42" s="41"/>
      <c r="W42" s="41"/>
      <c r="Y42" s="56" t="s">
        <v>83</v>
      </c>
      <c r="Z42" s="56"/>
      <c r="AA42" s="43">
        <v>2.0178552083500101</v>
      </c>
      <c r="AB42" s="41"/>
      <c r="AC42" s="41"/>
      <c r="AD42" s="41"/>
      <c r="AE42" s="41"/>
    </row>
    <row r="43" spans="17:31">
      <c r="Q43" s="56" t="s">
        <v>84</v>
      </c>
      <c r="R43" s="56"/>
      <c r="S43" s="43">
        <v>0.19185985697008001</v>
      </c>
      <c r="T43" s="41"/>
      <c r="U43" s="41"/>
      <c r="V43" s="41"/>
      <c r="W43" s="41"/>
      <c r="Y43" s="56" t="s">
        <v>84</v>
      </c>
      <c r="Z43" s="56"/>
      <c r="AA43" s="43">
        <v>0.26690866183999401</v>
      </c>
      <c r="AB43" s="41"/>
      <c r="AC43" s="41"/>
      <c r="AD43" s="41"/>
      <c r="AE43" s="41"/>
    </row>
    <row r="44" spans="17:31">
      <c r="Q44" s="56" t="s">
        <v>85</v>
      </c>
      <c r="R44" s="56"/>
      <c r="S44" s="43">
        <v>5.6082471030497197E-2</v>
      </c>
      <c r="T44" s="41"/>
      <c r="U44" s="41"/>
      <c r="V44" s="41"/>
      <c r="W44" s="41"/>
      <c r="Y44" s="56" t="s">
        <v>85</v>
      </c>
      <c r="Z44" s="56"/>
      <c r="AA44" s="43">
        <v>6.6147954113808596E-2</v>
      </c>
      <c r="AB44" s="41"/>
      <c r="AC44" s="41"/>
      <c r="AD44" s="41"/>
      <c r="AE44" s="41"/>
    </row>
    <row r="45" spans="17:31">
      <c r="Q45" s="56" t="s">
        <v>86</v>
      </c>
      <c r="R45" s="56"/>
      <c r="S45" s="43">
        <v>0.58690510565402199</v>
      </c>
      <c r="T45" s="41"/>
      <c r="U45" s="41"/>
      <c r="V45" s="41"/>
      <c r="W45" s="41"/>
      <c r="Y45" s="56" t="s">
        <v>86</v>
      </c>
      <c r="Z45" s="56"/>
      <c r="AA45" s="43">
        <v>0.41650479584894001</v>
      </c>
      <c r="AB45" s="41"/>
      <c r="AC45" s="41"/>
      <c r="AD45" s="41"/>
      <c r="AE45" s="41"/>
    </row>
    <row r="46" spans="17:31">
      <c r="Q46" s="56" t="s">
        <v>87</v>
      </c>
      <c r="R46" s="56"/>
      <c r="S46" s="44">
        <v>61</v>
      </c>
      <c r="T46" s="41"/>
      <c r="U46" s="41"/>
      <c r="V46" s="41"/>
      <c r="W46" s="41"/>
      <c r="Y46" s="56" t="s">
        <v>87</v>
      </c>
      <c r="Z46" s="56"/>
      <c r="AA46" s="44">
        <v>61</v>
      </c>
      <c r="AB46" s="41"/>
      <c r="AC46" s="41"/>
      <c r="AD46" s="41"/>
      <c r="AE46" s="41"/>
    </row>
    <row r="47" spans="17:31" ht="16" thickBot="1">
      <c r="Q47" s="57" t="s">
        <v>95</v>
      </c>
      <c r="R47" s="57"/>
      <c r="S47" s="57"/>
      <c r="T47" s="57"/>
      <c r="U47" s="57"/>
      <c r="V47" s="57"/>
      <c r="W47" s="57"/>
      <c r="Y47" s="57" t="s">
        <v>96</v>
      </c>
      <c r="Z47" s="57"/>
      <c r="AA47" s="57"/>
      <c r="AB47" s="57"/>
      <c r="AC47" s="57"/>
      <c r="AD47" s="57"/>
      <c r="AE47" s="57"/>
    </row>
    <row r="48" spans="17:31" ht="16" thickBot="1">
      <c r="Q48" s="59"/>
      <c r="R48" s="59"/>
      <c r="S48" s="59"/>
      <c r="T48" s="59"/>
      <c r="U48" s="59"/>
      <c r="V48" s="59"/>
      <c r="W48" s="59"/>
      <c r="Y48" s="59"/>
      <c r="Z48" s="59"/>
      <c r="AA48" s="59"/>
      <c r="AB48" s="59"/>
      <c r="AC48" s="59"/>
      <c r="AD48" s="59"/>
      <c r="AE48" s="59"/>
    </row>
    <row r="49" spans="17:31">
      <c r="Q49" s="41"/>
      <c r="R49" s="41"/>
      <c r="S49" s="41"/>
      <c r="T49" s="41"/>
      <c r="U49" s="41"/>
      <c r="V49" s="41"/>
      <c r="W49" s="41"/>
      <c r="Y49" s="41"/>
      <c r="Z49" s="41"/>
      <c r="AA49" s="41"/>
      <c r="AB49" s="41"/>
      <c r="AC49" s="41"/>
      <c r="AD49" s="41"/>
      <c r="AE49" s="41"/>
    </row>
    <row r="50" spans="17:31">
      <c r="Q50" s="41"/>
      <c r="R50" s="41"/>
      <c r="S50" s="41"/>
      <c r="T50" s="41"/>
      <c r="U50" s="41"/>
      <c r="V50" s="41"/>
      <c r="W50" s="41"/>
      <c r="Y50" s="41"/>
      <c r="Z50" s="41"/>
      <c r="AA50" s="41"/>
      <c r="AB50" s="41"/>
      <c r="AC50" s="41"/>
      <c r="AD50" s="41"/>
      <c r="AE50" s="41"/>
    </row>
    <row r="51" spans="17:31" ht="16" thickBot="1">
      <c r="Q51" s="58" t="s">
        <v>68</v>
      </c>
      <c r="R51" s="58"/>
      <c r="S51" s="58"/>
      <c r="T51" s="58"/>
      <c r="U51" s="42"/>
      <c r="V51" s="42"/>
      <c r="W51" s="42"/>
      <c r="Y51" s="58" t="s">
        <v>68</v>
      </c>
      <c r="Z51" s="58"/>
      <c r="AA51" s="58"/>
      <c r="AB51" s="58"/>
      <c r="AC51" s="42"/>
      <c r="AD51" s="42"/>
      <c r="AE51" s="42"/>
    </row>
    <row r="52" spans="17:31">
      <c r="Q52" s="45"/>
      <c r="R52" s="45" t="s">
        <v>88</v>
      </c>
      <c r="S52" s="45" t="s">
        <v>69</v>
      </c>
      <c r="T52" s="45" t="s">
        <v>70</v>
      </c>
      <c r="U52" s="45" t="s">
        <v>71</v>
      </c>
      <c r="V52" s="45" t="s">
        <v>65</v>
      </c>
      <c r="W52" s="46"/>
      <c r="Y52" s="45"/>
      <c r="Z52" s="45" t="s">
        <v>88</v>
      </c>
      <c r="AA52" s="45" t="s">
        <v>69</v>
      </c>
      <c r="AB52" s="45" t="s">
        <v>70</v>
      </c>
      <c r="AC52" s="45" t="s">
        <v>71</v>
      </c>
      <c r="AD52" s="45" t="s">
        <v>65</v>
      </c>
      <c r="AE52" s="46"/>
    </row>
    <row r="53" spans="17:31">
      <c r="Q53" s="47" t="s">
        <v>72</v>
      </c>
      <c r="R53" s="43">
        <v>1</v>
      </c>
      <c r="S53" s="43">
        <v>0.28724027518416101</v>
      </c>
      <c r="T53" s="43">
        <v>0.28724027518416101</v>
      </c>
      <c r="U53" s="43">
        <v>95.636143670911295</v>
      </c>
      <c r="V53" s="43">
        <v>5.89098539914568E-14</v>
      </c>
      <c r="W53" s="41"/>
      <c r="Y53" s="47" t="s">
        <v>72</v>
      </c>
      <c r="Z53" s="43">
        <v>1</v>
      </c>
      <c r="AA53" s="43">
        <v>0.20841196876996401</v>
      </c>
      <c r="AB53" s="43">
        <v>0.20841196876996401</v>
      </c>
      <c r="AC53" s="43">
        <v>49.379026746182099</v>
      </c>
      <c r="AD53" s="53">
        <v>2.43493096215366E-9</v>
      </c>
      <c r="AE53" s="41"/>
    </row>
    <row r="54" spans="17:31">
      <c r="Q54" s="47" t="s">
        <v>73</v>
      </c>
      <c r="R54" s="43">
        <v>59</v>
      </c>
      <c r="S54" s="43">
        <v>0.17720472182757199</v>
      </c>
      <c r="T54" s="43">
        <v>3.0034698614842701E-3</v>
      </c>
      <c r="U54" s="41"/>
      <c r="V54" s="41"/>
      <c r="W54" s="41"/>
      <c r="Y54" s="47" t="s">
        <v>73</v>
      </c>
      <c r="Z54" s="43">
        <v>59</v>
      </c>
      <c r="AA54" s="43">
        <v>0.24901880348175501</v>
      </c>
      <c r="AB54" s="43">
        <v>4.2206576861314503E-3</v>
      </c>
      <c r="AC54" s="41"/>
      <c r="AD54" s="41"/>
      <c r="AE54" s="41"/>
    </row>
    <row r="55" spans="17:31" ht="16" thickBot="1">
      <c r="Q55" s="48" t="s">
        <v>13</v>
      </c>
      <c r="R55" s="49">
        <v>60</v>
      </c>
      <c r="S55" s="49">
        <v>0.46444499701173297</v>
      </c>
      <c r="T55" s="42"/>
      <c r="U55" s="42"/>
      <c r="V55" s="42"/>
      <c r="W55" s="42"/>
      <c r="Y55" s="48" t="s">
        <v>13</v>
      </c>
      <c r="Z55" s="49">
        <v>60</v>
      </c>
      <c r="AA55" s="49">
        <v>0.45743077225171902</v>
      </c>
      <c r="AB55" s="42"/>
      <c r="AC55" s="42"/>
      <c r="AD55" s="42"/>
      <c r="AE55" s="42"/>
    </row>
    <row r="56" spans="17:31" ht="16" thickBot="1">
      <c r="Q56" s="42"/>
      <c r="R56" s="42"/>
      <c r="S56" s="42"/>
      <c r="T56" s="42"/>
      <c r="U56" s="42"/>
      <c r="V56" s="42"/>
      <c r="W56" s="42"/>
      <c r="Y56" s="42"/>
      <c r="Z56" s="42"/>
      <c r="AA56" s="42"/>
      <c r="AB56" s="42"/>
      <c r="AC56" s="42"/>
      <c r="AD56" s="42"/>
      <c r="AE56" s="42"/>
    </row>
    <row r="57" spans="17:31">
      <c r="Q57" s="45"/>
      <c r="R57" s="45" t="s">
        <v>89</v>
      </c>
      <c r="S57" s="45" t="s">
        <v>67</v>
      </c>
      <c r="T57" s="45" t="s">
        <v>90</v>
      </c>
      <c r="U57" s="45" t="s">
        <v>91</v>
      </c>
      <c r="V57" s="45" t="s">
        <v>92</v>
      </c>
      <c r="W57" s="45" t="s">
        <v>65</v>
      </c>
      <c r="Y57" s="45"/>
      <c r="Z57" s="45" t="s">
        <v>89</v>
      </c>
      <c r="AA57" s="45" t="s">
        <v>67</v>
      </c>
      <c r="AB57" s="45" t="s">
        <v>90</v>
      </c>
      <c r="AC57" s="45" t="s">
        <v>91</v>
      </c>
      <c r="AD57" s="45" t="s">
        <v>92</v>
      </c>
      <c r="AE57" s="45" t="s">
        <v>65</v>
      </c>
    </row>
    <row r="58" spans="17:31">
      <c r="Q58" s="50" t="s">
        <v>66</v>
      </c>
      <c r="R58" s="43">
        <v>-3.8944168804125202E-3</v>
      </c>
      <c r="S58" s="43">
        <v>7.4107196737768603E-3</v>
      </c>
      <c r="T58" s="43">
        <v>-1.8723232695947799E-2</v>
      </c>
      <c r="U58" s="43">
        <v>1.09343989351228E-2</v>
      </c>
      <c r="V58" s="43">
        <v>-0.52551129334888702</v>
      </c>
      <c r="W58" s="43">
        <v>0.60119734644368295</v>
      </c>
      <c r="Y58" s="50" t="s">
        <v>66</v>
      </c>
      <c r="Z58" s="43">
        <v>1.2189070789521601E-2</v>
      </c>
      <c r="AA58" s="43">
        <v>8.7849402391262394E-3</v>
      </c>
      <c r="AB58" s="43">
        <v>-5.3895540257516399E-3</v>
      </c>
      <c r="AC58" s="43">
        <v>2.9767695604794801E-2</v>
      </c>
      <c r="AD58" s="43">
        <v>1.3874961533869199</v>
      </c>
      <c r="AE58" s="43">
        <v>0.170509119308143</v>
      </c>
    </row>
    <row r="59" spans="17:31">
      <c r="Q59" s="51" t="s">
        <v>11</v>
      </c>
      <c r="R59" s="52">
        <v>1.0314991624293099</v>
      </c>
      <c r="S59" s="52">
        <v>0.1054770201049</v>
      </c>
      <c r="T59" s="52">
        <v>0.82044013270488103</v>
      </c>
      <c r="U59" s="52">
        <v>1.2425581921537401</v>
      </c>
      <c r="V59" s="52">
        <v>9.77937337823397</v>
      </c>
      <c r="W59" s="52">
        <v>5.89098539914568E-14</v>
      </c>
      <c r="Y59" s="51" t="s">
        <v>11</v>
      </c>
      <c r="Z59" s="52">
        <v>0.87863306085964099</v>
      </c>
      <c r="AA59" s="52">
        <v>0.125036347212203</v>
      </c>
      <c r="AB59" s="52">
        <v>0.62843590799498406</v>
      </c>
      <c r="AC59" s="52">
        <v>1.1288302137243</v>
      </c>
      <c r="AD59" s="52">
        <v>7.0270211858355802</v>
      </c>
      <c r="AE59" s="54">
        <v>2.43493096215366E-9</v>
      </c>
    </row>
  </sheetData>
  <mergeCells count="64">
    <mergeCell ref="Y47:AE48"/>
    <mergeCell ref="Y51:AB51"/>
    <mergeCell ref="Y41:Z41"/>
    <mergeCell ref="Y42:Z42"/>
    <mergeCell ref="Y43:Z43"/>
    <mergeCell ref="Y44:Z44"/>
    <mergeCell ref="Y45:Z45"/>
    <mergeCell ref="Y46:Z46"/>
    <mergeCell ref="Q47:W48"/>
    <mergeCell ref="Q51:T51"/>
    <mergeCell ref="Y32:AE32"/>
    <mergeCell ref="Y34:AB34"/>
    <mergeCell ref="Y35:Z35"/>
    <mergeCell ref="Y36:Z36"/>
    <mergeCell ref="Y37:Z37"/>
    <mergeCell ref="Y38:Z38"/>
    <mergeCell ref="Y39:Z39"/>
    <mergeCell ref="Y40:Z40"/>
    <mergeCell ref="Q41:R41"/>
    <mergeCell ref="Q42:R42"/>
    <mergeCell ref="Q43:R43"/>
    <mergeCell ref="Q44:R44"/>
    <mergeCell ref="Q45:R45"/>
    <mergeCell ref="Q46:R46"/>
    <mergeCell ref="Y13:Z13"/>
    <mergeCell ref="Q40:R40"/>
    <mergeCell ref="Y15:Z15"/>
    <mergeCell ref="Y16:Z16"/>
    <mergeCell ref="Y17:AE18"/>
    <mergeCell ref="Y21:AB21"/>
    <mergeCell ref="Q32:W32"/>
    <mergeCell ref="Q34:T34"/>
    <mergeCell ref="Q35:R35"/>
    <mergeCell ref="Q36:R36"/>
    <mergeCell ref="Q37:R37"/>
    <mergeCell ref="Q38:R38"/>
    <mergeCell ref="Q39:R39"/>
    <mergeCell ref="Y14:Z14"/>
    <mergeCell ref="Q15:R15"/>
    <mergeCell ref="Q16:R16"/>
    <mergeCell ref="Q17:W18"/>
    <mergeCell ref="Q21:T21"/>
    <mergeCell ref="Y2:AE2"/>
    <mergeCell ref="Y4:AB4"/>
    <mergeCell ref="Y5:Z5"/>
    <mergeCell ref="Y6:Z6"/>
    <mergeCell ref="Y7:Z7"/>
    <mergeCell ref="Y8:Z8"/>
    <mergeCell ref="Q9:R9"/>
    <mergeCell ref="Q10:R10"/>
    <mergeCell ref="Q11:R11"/>
    <mergeCell ref="Q12:R12"/>
    <mergeCell ref="Y9:Z9"/>
    <mergeCell ref="Y10:Z10"/>
    <mergeCell ref="Y11:Z11"/>
    <mergeCell ref="Y12:Z12"/>
    <mergeCell ref="Q13:R13"/>
    <mergeCell ref="Q14:R14"/>
    <mergeCell ref="Q2:W2"/>
    <mergeCell ref="Q4:T4"/>
    <mergeCell ref="Q5:R5"/>
    <mergeCell ref="Q6:R6"/>
    <mergeCell ref="Q7:R7"/>
    <mergeCell ref="Q8:R8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abSelected="1" topLeftCell="Z1" workbookViewId="0">
      <selection activeCell="AP15" sqref="AP15"/>
    </sheetView>
  </sheetViews>
  <sheetFormatPr baseColWidth="10" defaultRowHeight="15" x14ac:dyDescent="0"/>
  <cols>
    <col min="22" max="22" width="6.6640625" customWidth="1"/>
    <col min="27" max="27" width="17.6640625" customWidth="1"/>
    <col min="32" max="32" width="16.33203125" customWidth="1"/>
    <col min="41" max="41" width="12.5" customWidth="1"/>
    <col min="43" max="43" width="21.5" bestFit="1" customWidth="1"/>
  </cols>
  <sheetData>
    <row r="1" spans="1:44">
      <c r="A1" t="s">
        <v>102</v>
      </c>
      <c r="I1" t="s">
        <v>104</v>
      </c>
      <c r="M1" t="s">
        <v>105</v>
      </c>
      <c r="P1" t="s">
        <v>113</v>
      </c>
      <c r="S1" t="s">
        <v>114</v>
      </c>
      <c r="V1" s="15" t="s">
        <v>101</v>
      </c>
      <c r="AA1" t="s">
        <v>106</v>
      </c>
      <c r="AF1" t="s">
        <v>115</v>
      </c>
      <c r="AK1" t="s">
        <v>119</v>
      </c>
      <c r="AO1" t="s">
        <v>122</v>
      </c>
    </row>
    <row r="2" spans="1:44">
      <c r="A2" t="s">
        <v>103</v>
      </c>
      <c r="I2" t="s">
        <v>103</v>
      </c>
      <c r="M2" t="s">
        <v>103</v>
      </c>
      <c r="P2" t="s">
        <v>103</v>
      </c>
      <c r="S2" t="s">
        <v>103</v>
      </c>
      <c r="W2" t="s">
        <v>98</v>
      </c>
      <c r="X2" t="s">
        <v>98</v>
      </c>
      <c r="Y2" t="s">
        <v>98</v>
      </c>
      <c r="AA2" t="s">
        <v>107</v>
      </c>
      <c r="AB2" t="s">
        <v>112</v>
      </c>
      <c r="AC2" t="s">
        <v>99</v>
      </c>
      <c r="AD2" t="s">
        <v>100</v>
      </c>
      <c r="AG2" t="s">
        <v>112</v>
      </c>
      <c r="AH2" t="s">
        <v>99</v>
      </c>
      <c r="AI2" t="s">
        <v>117</v>
      </c>
      <c r="AK2" t="s">
        <v>107</v>
      </c>
      <c r="AL2" t="s">
        <v>112</v>
      </c>
      <c r="AM2" t="s">
        <v>99</v>
      </c>
      <c r="AO2" t="s">
        <v>123</v>
      </c>
      <c r="AP2" s="15">
        <f>AVERAGE(G4:G64)</f>
        <v>7.4348149925137759E-4</v>
      </c>
    </row>
    <row r="3" spans="1:44">
      <c r="A3" t="s">
        <v>0</v>
      </c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t="s">
        <v>12</v>
      </c>
      <c r="I3" s="15" t="s">
        <v>97</v>
      </c>
      <c r="J3" s="15" t="s">
        <v>99</v>
      </c>
      <c r="K3" s="15" t="s">
        <v>100</v>
      </c>
      <c r="M3" s="15" t="s">
        <v>97</v>
      </c>
      <c r="N3" s="15" t="s">
        <v>99</v>
      </c>
      <c r="P3" s="15" t="s">
        <v>97</v>
      </c>
      <c r="Q3" s="15" t="s">
        <v>99</v>
      </c>
      <c r="S3" s="15" t="s">
        <v>97</v>
      </c>
      <c r="T3" s="15" t="s">
        <v>100</v>
      </c>
      <c r="W3" t="s">
        <v>97</v>
      </c>
      <c r="X3" t="s">
        <v>99</v>
      </c>
      <c r="Y3" t="s">
        <v>100</v>
      </c>
      <c r="AA3" t="s">
        <v>109</v>
      </c>
      <c r="AB3" s="15">
        <f>SUM(I4:I64)</f>
        <v>1.3784962848196307</v>
      </c>
      <c r="AC3" s="15">
        <f>SUM(J4:J64)</f>
        <v>1.3809181733834417</v>
      </c>
      <c r="AD3" s="15">
        <f>SUM(K4:K64)</f>
        <v>2.4218885638051212E-3</v>
      </c>
      <c r="AF3" t="s">
        <v>118</v>
      </c>
      <c r="AG3" s="15">
        <f>_xlfn.STDEV.P(I4:I64)</f>
        <v>6.6525610678347891E-2</v>
      </c>
      <c r="AH3" s="15">
        <f>_xlfn.STDEV.P(J4:J64)</f>
        <v>6.9340208729611982E-2</v>
      </c>
      <c r="AI3" s="15">
        <f>AH3-AG3</f>
        <v>2.8145980512640917E-3</v>
      </c>
      <c r="AK3" t="s">
        <v>120</v>
      </c>
      <c r="AL3">
        <v>0</v>
      </c>
      <c r="AM3" s="15">
        <f>INTERCEPT(N4:N64, M4:M64)</f>
        <v>-2.1053973431617301E-4</v>
      </c>
    </row>
    <row r="4" spans="1:44">
      <c r="A4" s="1">
        <v>40389</v>
      </c>
      <c r="B4" s="15">
        <v>3.5873991031343255E-3</v>
      </c>
      <c r="C4" s="15">
        <v>7.2485974987238411E-2</v>
      </c>
      <c r="D4" s="15">
        <v>-6.3284137161973786E-2</v>
      </c>
      <c r="E4" s="15">
        <v>6.2949190647436648E-3</v>
      </c>
      <c r="F4" s="15">
        <v>4.7710389982856538E-3</v>
      </c>
      <c r="G4">
        <v>2.3387905111927398E-5</v>
      </c>
      <c r="I4" s="2">
        <v>4.7710389982800003E-3</v>
      </c>
      <c r="J4" s="2">
        <v>1.8314026196076208E-2</v>
      </c>
      <c r="K4" s="2">
        <v>1.3542987197790554E-2</v>
      </c>
      <c r="L4" s="2"/>
      <c r="M4" s="2">
        <f>I4-G4</f>
        <v>4.7476510931680725E-3</v>
      </c>
      <c r="N4" s="2">
        <f>J4-G4</f>
        <v>1.8290638290964282E-2</v>
      </c>
      <c r="P4" s="2">
        <f>I4+1</f>
        <v>1.00477103899828</v>
      </c>
      <c r="Q4">
        <f>J4+1</f>
        <v>1.0183140261960761</v>
      </c>
      <c r="S4">
        <v>1</v>
      </c>
      <c r="T4">
        <v>1</v>
      </c>
      <c r="V4" t="s">
        <v>7</v>
      </c>
      <c r="W4" s="15">
        <v>0.25</v>
      </c>
      <c r="X4" s="15">
        <v>0.2</v>
      </c>
      <c r="Y4" s="15">
        <f>X4-W4</f>
        <v>-4.9999999999999989E-2</v>
      </c>
      <c r="AA4" t="s">
        <v>108</v>
      </c>
      <c r="AB4" s="15">
        <f>AVERAGE(I4:I64)</f>
        <v>2.2598299751141488E-2</v>
      </c>
      <c r="AC4" s="15">
        <f>AVERAGE(J4:J64)</f>
        <v>2.2638002842351502E-2</v>
      </c>
      <c r="AD4" s="15">
        <f>AVERAGE(K4:K64)</f>
        <v>3.9703091209920018E-5</v>
      </c>
      <c r="AF4" t="s">
        <v>116</v>
      </c>
      <c r="AG4" s="15">
        <f>AG3*SQRT(12)</f>
        <v>0.23045147539889038</v>
      </c>
      <c r="AH4" s="15">
        <f>AH3*SQRT(12)</f>
        <v>0.24020152905423789</v>
      </c>
      <c r="AI4" s="15">
        <f>AH4-AG4</f>
        <v>9.750053655347507E-3</v>
      </c>
      <c r="AK4" t="s">
        <v>121</v>
      </c>
      <c r="AL4">
        <v>1</v>
      </c>
      <c r="AM4">
        <f>SLOPE(N4:N64, M4:M64)</f>
        <v>1.0114502359453177</v>
      </c>
      <c r="AP4" t="s">
        <v>112</v>
      </c>
      <c r="AQ4" t="s">
        <v>99</v>
      </c>
      <c r="AR4" t="s">
        <v>100</v>
      </c>
    </row>
    <row r="5" spans="1:44">
      <c r="A5" s="1">
        <v>40418</v>
      </c>
      <c r="B5" s="15">
        <v>5.1832084532264802E-2</v>
      </c>
      <c r="C5" s="15">
        <v>4.75963821085627E-2</v>
      </c>
      <c r="D5" s="15">
        <v>0.12619054322562701</v>
      </c>
      <c r="E5" s="15">
        <v>5.0491557215887398E-2</v>
      </c>
      <c r="F5" s="15">
        <v>6.9027641770585471E-2</v>
      </c>
      <c r="G5">
        <v>7.7838318692315002E-6</v>
      </c>
      <c r="I5" s="2">
        <v>6.9027641770585471E-2</v>
      </c>
      <c r="J5" s="2">
        <v>6.4741389838180924E-2</v>
      </c>
      <c r="K5" s="2">
        <v>-4.2862519324045473E-3</v>
      </c>
      <c r="L5" s="2"/>
      <c r="M5" s="2">
        <f t="shared" ref="M5:M64" si="0">I5-G5</f>
        <v>6.9019857938716234E-2</v>
      </c>
      <c r="N5" s="2">
        <f t="shared" ref="N5:N64" si="1">J5-G5</f>
        <v>6.4733606006311686E-2</v>
      </c>
      <c r="P5" s="2">
        <f t="shared" ref="P5:P64" si="2">I5+1</f>
        <v>1.0690276417705855</v>
      </c>
      <c r="Q5">
        <f t="shared" ref="Q5:Q64" si="3">J5+1</f>
        <v>1.064741389838181</v>
      </c>
      <c r="S5">
        <f>P4*S4</f>
        <v>1.00477103899828</v>
      </c>
      <c r="T5">
        <f>Q4*T4</f>
        <v>1.0183140261960761</v>
      </c>
      <c r="V5" t="s">
        <v>8</v>
      </c>
      <c r="W5" s="15">
        <v>0.25</v>
      </c>
      <c r="X5" s="15">
        <v>0.4</v>
      </c>
      <c r="Y5" s="15">
        <f>X5-W5</f>
        <v>0.15000000000000002</v>
      </c>
      <c r="AA5" t="s">
        <v>110</v>
      </c>
      <c r="AB5" s="15">
        <f>S65-1</f>
        <v>2.433095765273249</v>
      </c>
      <c r="AC5" s="15">
        <f>T65-1</f>
        <v>2.4040581094293616</v>
      </c>
      <c r="AD5" s="15">
        <f>AC5-AB5</f>
        <v>-2.90376558438874E-2</v>
      </c>
      <c r="AO5" t="s">
        <v>124</v>
      </c>
      <c r="AP5" s="2">
        <f>(AB4-AP2)/AG3</f>
        <v>0.32851736390002362</v>
      </c>
      <c r="AQ5" s="2">
        <f>(AC4-AP2)/AH3</f>
        <v>0.31575505387467911</v>
      </c>
      <c r="AR5">
        <f>AQ5-AP5</f>
        <v>-1.2762310025344503E-2</v>
      </c>
    </row>
    <row r="6" spans="1:44">
      <c r="A6" s="1">
        <v>40450</v>
      </c>
      <c r="B6" s="15">
        <v>-0.116822424943822</v>
      </c>
      <c r="C6" s="15">
        <v>-3.1105044326376698E-2</v>
      </c>
      <c r="D6" s="15">
        <v>-5.8932320295982998E-2</v>
      </c>
      <c r="E6" s="15">
        <v>-1.8715440238196601E-2</v>
      </c>
      <c r="F6" s="15">
        <v>-5.6393807451094576E-2</v>
      </c>
      <c r="G6">
        <v>1.55797907856663E-5</v>
      </c>
      <c r="I6" s="2">
        <v>-5.6393807451094576E-2</v>
      </c>
      <c r="J6" s="2">
        <v>-5.1336054826151008E-2</v>
      </c>
      <c r="K6" s="2">
        <v>5.0577526249435678E-3</v>
      </c>
      <c r="L6" s="2"/>
      <c r="M6" s="2">
        <f t="shared" si="0"/>
        <v>-5.6409387241880243E-2</v>
      </c>
      <c r="N6" s="2">
        <f t="shared" si="1"/>
        <v>-5.1351634616936676E-2</v>
      </c>
      <c r="P6" s="2">
        <f t="shared" si="2"/>
        <v>0.94360619254890543</v>
      </c>
      <c r="Q6">
        <f t="shared" si="3"/>
        <v>0.948663945173849</v>
      </c>
      <c r="S6">
        <f>S5*P5</f>
        <v>1.0741280143397123</v>
      </c>
      <c r="T6">
        <f t="shared" ref="T6:T65" si="4">Q5*T5</f>
        <v>1.0842410915437239</v>
      </c>
      <c r="V6" t="s">
        <v>9</v>
      </c>
      <c r="W6" s="15">
        <v>0.25</v>
      </c>
      <c r="X6" s="15">
        <v>0.2</v>
      </c>
      <c r="Y6" s="15">
        <f>X6-W6</f>
        <v>-4.9999999999999989E-2</v>
      </c>
      <c r="AA6" t="s">
        <v>111</v>
      </c>
      <c r="AB6" s="15">
        <f>S65^(1/61)-1</f>
        <v>2.042651845254162E-2</v>
      </c>
      <c r="AC6" s="15">
        <f>T65^(1/61)-1</f>
        <v>2.0284435991569261E-2</v>
      </c>
      <c r="AD6" s="15">
        <f>AC6-AB6</f>
        <v>-1.4208246097235921E-4</v>
      </c>
      <c r="AO6" t="s">
        <v>125</v>
      </c>
      <c r="AP6" s="2">
        <f>(AB4-AP2)/AL4</f>
        <v>2.1854818251890111E-2</v>
      </c>
      <c r="AQ6" s="2">
        <f>(AB4-AP2)/AM4</f>
        <v>2.1607408328363525E-2</v>
      </c>
      <c r="AR6" s="2">
        <f>AQ6-AP6</f>
        <v>-2.4740992352658558E-4</v>
      </c>
    </row>
    <row r="7" spans="1:44">
      <c r="A7" s="1">
        <v>40481</v>
      </c>
      <c r="B7" s="15">
        <v>-4.0404038460604197E-2</v>
      </c>
      <c r="C7" s="15">
        <v>0.105766945796546</v>
      </c>
      <c r="D7" s="15">
        <v>0.15051951276271999</v>
      </c>
      <c r="E7" s="15">
        <v>0.146510663198959</v>
      </c>
      <c r="F7" s="15">
        <v>9.0598270824405192E-2</v>
      </c>
      <c r="G7">
        <v>7.7838318692315002E-6</v>
      </c>
      <c r="I7" s="2">
        <v>9.0598270824405192E-2</v>
      </c>
      <c r="J7" s="2">
        <v>9.3632005818833353E-2</v>
      </c>
      <c r="K7" s="2">
        <v>3.0337349944281611E-3</v>
      </c>
      <c r="L7" s="2"/>
      <c r="M7" s="2">
        <f t="shared" si="0"/>
        <v>9.0590486992535954E-2</v>
      </c>
      <c r="N7" s="2">
        <f t="shared" si="1"/>
        <v>9.3624221986964115E-2</v>
      </c>
      <c r="P7" s="2">
        <f t="shared" si="2"/>
        <v>1.0905982708244051</v>
      </c>
      <c r="Q7">
        <f t="shared" si="3"/>
        <v>1.0936320058188334</v>
      </c>
      <c r="S7">
        <f t="shared" ref="S7:S64" si="5">S6*P6</f>
        <v>1.0135538459212119</v>
      </c>
      <c r="T7">
        <f t="shared" si="4"/>
        <v>1.0285804314234694</v>
      </c>
      <c r="V7" t="s">
        <v>10</v>
      </c>
      <c r="W7" s="15">
        <v>0.25</v>
      </c>
      <c r="X7" s="15">
        <v>0.2</v>
      </c>
      <c r="Y7" s="15">
        <f>X7-W7</f>
        <v>-4.9999999999999989E-2</v>
      </c>
      <c r="AO7" t="s">
        <v>126</v>
      </c>
      <c r="AP7" s="2"/>
      <c r="AQ7" s="15">
        <f>AM3</f>
        <v>-2.1053973431617301E-4</v>
      </c>
      <c r="AR7" s="2"/>
    </row>
    <row r="8" spans="1:44">
      <c r="A8" s="1">
        <v>40509</v>
      </c>
      <c r="B8" s="15">
        <v>8.5212978184812896E-2</v>
      </c>
      <c r="C8" s="15">
        <v>0.115603852242357</v>
      </c>
      <c r="D8" s="15">
        <v>7.2247960159922797E-2</v>
      </c>
      <c r="E8" s="15">
        <v>4.574665233472E-2</v>
      </c>
      <c r="F8" s="15">
        <v>7.9702860730453184E-2</v>
      </c>
      <c r="G8">
        <v>2.3387905111927398E-5</v>
      </c>
      <c r="I8" s="2">
        <v>7.9702860730453184E-2</v>
      </c>
      <c r="J8" s="2">
        <v>8.6883059032833942E-2</v>
      </c>
      <c r="K8" s="2">
        <v>7.1801983023807581E-3</v>
      </c>
      <c r="L8" s="2"/>
      <c r="M8" s="2">
        <f t="shared" si="0"/>
        <v>7.9679472825341255E-2</v>
      </c>
      <c r="N8" s="2">
        <f t="shared" si="1"/>
        <v>8.6859671127722013E-2</v>
      </c>
      <c r="P8" s="2">
        <f t="shared" si="2"/>
        <v>1.0797028607304533</v>
      </c>
      <c r="Q8">
        <f t="shared" si="3"/>
        <v>1.086883059032834</v>
      </c>
      <c r="S8">
        <f t="shared" si="5"/>
        <v>1.1053800717490991</v>
      </c>
      <c r="T8">
        <f t="shared" si="4"/>
        <v>1.1248884803636499</v>
      </c>
    </row>
    <row r="9" spans="1:44">
      <c r="A9" s="1">
        <v>40542</v>
      </c>
      <c r="B9" s="15">
        <v>-6.9284064665127001E-2</v>
      </c>
      <c r="C9" s="15">
        <v>-6.4981600773018802E-2</v>
      </c>
      <c r="D9" s="15">
        <v>7.0339175961757303E-2</v>
      </c>
      <c r="E9" s="15">
        <v>1.33767534345625E-2</v>
      </c>
      <c r="F9" s="15">
        <v>-1.26374340104565E-2</v>
      </c>
      <c r="G9">
        <v>7.7838318692315002E-6</v>
      </c>
      <c r="I9" s="2">
        <v>-1.26374340104565E-2</v>
      </c>
      <c r="J9" s="2">
        <v>-2.310626736296896E-2</v>
      </c>
      <c r="K9" s="2">
        <v>-1.046883335251246E-2</v>
      </c>
      <c r="L9" s="2"/>
      <c r="M9" s="2">
        <f t="shared" si="0"/>
        <v>-1.2645217842325732E-2</v>
      </c>
      <c r="N9" s="2">
        <f t="shared" si="1"/>
        <v>-2.3114051194838191E-2</v>
      </c>
      <c r="P9" s="2">
        <f t="shared" si="2"/>
        <v>0.98736256598954353</v>
      </c>
      <c r="Q9">
        <f t="shared" si="3"/>
        <v>0.97689373263703105</v>
      </c>
      <c r="S9">
        <f t="shared" si="5"/>
        <v>1.1934820256619361</v>
      </c>
      <c r="T9">
        <f t="shared" si="4"/>
        <v>1.2226222326084397</v>
      </c>
    </row>
    <row r="10" spans="1:44">
      <c r="A10" s="1">
        <v>40572</v>
      </c>
      <c r="B10" s="15">
        <v>3.7220843672456497E-2</v>
      </c>
      <c r="C10" s="15">
        <v>0.101977013334446</v>
      </c>
      <c r="D10" s="15">
        <v>0.16673757975329601</v>
      </c>
      <c r="E10" s="15">
        <v>6.0292470200054397E-2</v>
      </c>
      <c r="F10" s="15">
        <v>9.1556976740063231E-2</v>
      </c>
      <c r="G10">
        <v>1.55797907856663E-5</v>
      </c>
      <c r="I10" s="2">
        <v>9.1556976740063231E-2</v>
      </c>
      <c r="J10" s="2">
        <v>9.3640984058939808E-2</v>
      </c>
      <c r="K10" s="2">
        <v>2.0840073188765768E-3</v>
      </c>
      <c r="L10" s="2"/>
      <c r="M10" s="2">
        <f t="shared" si="0"/>
        <v>9.154139694927757E-2</v>
      </c>
      <c r="N10" s="2">
        <f t="shared" si="1"/>
        <v>9.3625404268154147E-2</v>
      </c>
      <c r="P10" s="2">
        <f t="shared" si="2"/>
        <v>1.0915569767400632</v>
      </c>
      <c r="Q10">
        <f t="shared" si="3"/>
        <v>1.0936409840589398</v>
      </c>
      <c r="S10">
        <f t="shared" si="5"/>
        <v>1.1783994753199674</v>
      </c>
      <c r="T10">
        <f t="shared" si="4"/>
        <v>1.1943719964178792</v>
      </c>
    </row>
    <row r="11" spans="1:44">
      <c r="A11" s="1">
        <v>40600</v>
      </c>
      <c r="B11" s="15">
        <v>0.11578947368421</v>
      </c>
      <c r="C11" s="15">
        <v>-8.4302050343249404E-2</v>
      </c>
      <c r="D11" s="15">
        <v>4.2289445091333297E-2</v>
      </c>
      <c r="E11" s="15">
        <v>-0.10868099288966999</v>
      </c>
      <c r="F11" s="15">
        <v>-8.726031114344026E-3</v>
      </c>
      <c r="G11">
        <v>7.7838318692315002E-6</v>
      </c>
      <c r="I11" s="2">
        <v>-8.726031114344026E-3</v>
      </c>
      <c r="J11" s="2">
        <v>-2.38412349601251E-2</v>
      </c>
      <c r="K11" s="2">
        <v>-1.5115203845781074E-2</v>
      </c>
      <c r="L11" s="2"/>
      <c r="M11" s="2">
        <f t="shared" si="0"/>
        <v>-8.7338149462132583E-3</v>
      </c>
      <c r="N11" s="2">
        <f t="shared" si="1"/>
        <v>-2.3849018791994331E-2</v>
      </c>
      <c r="P11" s="2">
        <f t="shared" si="2"/>
        <v>0.991273968885656</v>
      </c>
      <c r="Q11">
        <f t="shared" si="3"/>
        <v>0.97615876503987487</v>
      </c>
      <c r="S11">
        <f t="shared" si="5"/>
        <v>1.2862901686723403</v>
      </c>
      <c r="T11">
        <f t="shared" si="4"/>
        <v>1.30621416549489</v>
      </c>
    </row>
    <row r="12" spans="1:44">
      <c r="A12" s="1">
        <v>40632</v>
      </c>
      <c r="B12" s="15">
        <v>-2.53001715265865E-2</v>
      </c>
      <c r="C12" s="15">
        <v>4.8491506039116603E-2</v>
      </c>
      <c r="D12" s="15">
        <v>2.86813571178734E-2</v>
      </c>
      <c r="E12" s="15">
        <v>-3.8882634956587302E-2</v>
      </c>
      <c r="F12" s="15">
        <v>3.247514168454051E-3</v>
      </c>
      <c r="G12">
        <v>1.55797907856663E-5</v>
      </c>
      <c r="I12" s="2">
        <v>3.247514168454051E-3</v>
      </c>
      <c r="J12" s="2">
        <v>1.2296312542586559E-2</v>
      </c>
      <c r="K12" s="2">
        <v>9.0487983741325082E-3</v>
      </c>
      <c r="L12" s="2"/>
      <c r="M12" s="2">
        <f t="shared" si="0"/>
        <v>3.2319343776683845E-3</v>
      </c>
      <c r="N12" s="2">
        <f t="shared" si="1"/>
        <v>1.2280732751800893E-2</v>
      </c>
      <c r="P12" s="2">
        <f t="shared" si="2"/>
        <v>1.003247514168454</v>
      </c>
      <c r="Q12">
        <f t="shared" si="3"/>
        <v>1.0122963125425866</v>
      </c>
      <c r="S12">
        <f t="shared" si="5"/>
        <v>1.2750659606384307</v>
      </c>
      <c r="T12">
        <f t="shared" si="4"/>
        <v>1.2750724066670827</v>
      </c>
    </row>
    <row r="13" spans="1:44">
      <c r="A13" s="1">
        <v>40662</v>
      </c>
      <c r="B13" s="15">
        <v>-6.0975609756097598E-3</v>
      </c>
      <c r="C13" s="15">
        <v>0.21737890168910901</v>
      </c>
      <c r="D13" s="15">
        <v>-1.24107446446786E-2</v>
      </c>
      <c r="E13" s="15">
        <v>-6.9127968151137698E-2</v>
      </c>
      <c r="F13" s="15">
        <v>3.2435656979420739E-2</v>
      </c>
      <c r="G13">
        <v>1.55797907856663E-5</v>
      </c>
      <c r="I13" s="2">
        <v>3.2435656979420739E-2</v>
      </c>
      <c r="J13" s="2">
        <v>6.9424305921358398E-2</v>
      </c>
      <c r="K13" s="2">
        <v>3.6988648941937659E-2</v>
      </c>
      <c r="L13" s="2"/>
      <c r="M13" s="2">
        <f t="shared" si="0"/>
        <v>3.2420077188635071E-2</v>
      </c>
      <c r="N13" s="2">
        <f t="shared" si="1"/>
        <v>6.9408726130572737E-2</v>
      </c>
      <c r="P13" s="2">
        <f t="shared" si="2"/>
        <v>1.0324356569794206</v>
      </c>
      <c r="Q13">
        <f t="shared" si="3"/>
        <v>1.0694243059213584</v>
      </c>
      <c r="S13">
        <f t="shared" si="5"/>
        <v>1.2792067554113176</v>
      </c>
      <c r="T13">
        <f t="shared" si="4"/>
        <v>1.2907510954938892</v>
      </c>
    </row>
    <row r="14" spans="1:44">
      <c r="A14" s="1">
        <v>40691</v>
      </c>
      <c r="B14" s="15">
        <v>0.10692375109553</v>
      </c>
      <c r="C14" s="15">
        <v>0.10312818311680801</v>
      </c>
      <c r="D14" s="15">
        <v>8.0392459975899305E-2</v>
      </c>
      <c r="E14" s="15">
        <v>0.154852314141252</v>
      </c>
      <c r="F14" s="15">
        <v>0.11132417708237233</v>
      </c>
      <c r="G14">
        <v>0</v>
      </c>
      <c r="I14" s="2">
        <v>0.11132417708237233</v>
      </c>
      <c r="J14" s="2">
        <v>0.10968497828925948</v>
      </c>
      <c r="K14" s="2">
        <v>-1.6391987931128477E-3</v>
      </c>
      <c r="L14" s="2"/>
      <c r="M14" s="2">
        <f t="shared" si="0"/>
        <v>0.11132417708237233</v>
      </c>
      <c r="N14" s="2">
        <f t="shared" si="1"/>
        <v>0.10968497828925948</v>
      </c>
      <c r="P14" s="2">
        <f t="shared" si="2"/>
        <v>1.1113241770823723</v>
      </c>
      <c r="Q14">
        <f t="shared" si="3"/>
        <v>1.1096849782892595</v>
      </c>
      <c r="S14">
        <f t="shared" si="5"/>
        <v>1.3206986669355967</v>
      </c>
      <c r="T14">
        <f t="shared" si="4"/>
        <v>1.3803605944157855</v>
      </c>
    </row>
    <row r="15" spans="1:44">
      <c r="A15" s="1">
        <v>40723</v>
      </c>
      <c r="B15" s="15">
        <v>-4.1567735550277103E-2</v>
      </c>
      <c r="C15" s="15">
        <v>2.1650147485186198E-2</v>
      </c>
      <c r="D15" s="15">
        <v>5.9592130643471401E-2</v>
      </c>
      <c r="E15" s="15">
        <v>7.3072339310473701E-3</v>
      </c>
      <c r="F15" s="15">
        <v>1.1745444127356966E-2</v>
      </c>
      <c r="G15">
        <v>1.55797907856663E-5</v>
      </c>
      <c r="I15" s="2">
        <v>1.1745444127356966E-2</v>
      </c>
      <c r="J15" s="2">
        <v>1.3726384798922813E-2</v>
      </c>
      <c r="K15" s="2">
        <v>1.9809406715658468E-3</v>
      </c>
      <c r="L15" s="2"/>
      <c r="M15" s="2">
        <f t="shared" si="0"/>
        <v>1.17298643365713E-2</v>
      </c>
      <c r="N15" s="2">
        <f t="shared" si="1"/>
        <v>1.3710805008137147E-2</v>
      </c>
      <c r="P15" s="2">
        <f t="shared" si="2"/>
        <v>1.011745444127357</v>
      </c>
      <c r="Q15">
        <f t="shared" si="3"/>
        <v>1.0137263847989229</v>
      </c>
      <c r="S15">
        <f t="shared" si="5"/>
        <v>1.4677243592059881</v>
      </c>
      <c r="T15">
        <f t="shared" si="4"/>
        <v>1.5317654162456302</v>
      </c>
    </row>
    <row r="16" spans="1:44">
      <c r="A16" s="1">
        <v>40754</v>
      </c>
      <c r="B16" s="15">
        <v>6.5262373616785399E-2</v>
      </c>
      <c r="C16" s="15">
        <v>-4.3073032479914002E-2</v>
      </c>
      <c r="D16" s="15">
        <v>7.5939894736842095E-2</v>
      </c>
      <c r="E16" s="15">
        <v>0.14544795067101901</v>
      </c>
      <c r="F16" s="15">
        <v>6.0894296636183128E-2</v>
      </c>
      <c r="G16">
        <v>7.7838318692315002E-6</v>
      </c>
      <c r="I16" s="2">
        <v>6.0894296636183128E-2</v>
      </c>
      <c r="J16" s="2">
        <v>4.01008308129637E-2</v>
      </c>
      <c r="K16" s="2">
        <v>-2.0793465823219427E-2</v>
      </c>
      <c r="L16" s="2"/>
      <c r="M16" s="2">
        <f t="shared" si="0"/>
        <v>6.0886512804313897E-2</v>
      </c>
      <c r="N16" s="2">
        <f t="shared" si="1"/>
        <v>4.009304698109447E-2</v>
      </c>
      <c r="P16" s="2">
        <f t="shared" si="2"/>
        <v>1.0608942966361832</v>
      </c>
      <c r="Q16">
        <f t="shared" si="3"/>
        <v>1.0401008308129638</v>
      </c>
      <c r="S16">
        <f t="shared" si="5"/>
        <v>1.4849634336614028</v>
      </c>
      <c r="T16">
        <f t="shared" si="4"/>
        <v>1.5527910177707001</v>
      </c>
    </row>
    <row r="17" spans="1:20">
      <c r="A17" s="1">
        <v>40785</v>
      </c>
      <c r="B17" s="15">
        <v>0.110120119809223</v>
      </c>
      <c r="C17" s="15">
        <v>-0.19800911786737599</v>
      </c>
      <c r="D17" s="15">
        <v>-7.5471708925015701E-2</v>
      </c>
      <c r="E17" s="15">
        <v>-7.7580778974034204E-2</v>
      </c>
      <c r="F17" s="15">
        <v>-6.0235371489300721E-2</v>
      </c>
      <c r="G17">
        <v>1.55797907856663E-5</v>
      </c>
      <c r="I17" s="2">
        <v>-6.0235371489300721E-2</v>
      </c>
      <c r="J17" s="2">
        <v>-8.7790120764915769E-2</v>
      </c>
      <c r="K17" s="2">
        <v>-2.7554749275615048E-2</v>
      </c>
      <c r="L17" s="2"/>
      <c r="M17" s="2">
        <f t="shared" si="0"/>
        <v>-6.0250951280086389E-2</v>
      </c>
      <c r="N17" s="2">
        <f t="shared" si="1"/>
        <v>-8.780570055570143E-2</v>
      </c>
      <c r="P17" s="2">
        <f t="shared" si="2"/>
        <v>0.93976462851069931</v>
      </c>
      <c r="Q17">
        <f t="shared" si="3"/>
        <v>0.91220987923508423</v>
      </c>
      <c r="S17">
        <f t="shared" si="5"/>
        <v>1.5753892374846654</v>
      </c>
      <c r="T17">
        <f t="shared" si="4"/>
        <v>1.6150592276622127</v>
      </c>
    </row>
    <row r="18" spans="1:20">
      <c r="A18" s="1">
        <v>40815</v>
      </c>
      <c r="B18" s="15">
        <v>7.8938179494871794E-2</v>
      </c>
      <c r="C18" s="15">
        <v>7.6151254255509601E-2</v>
      </c>
      <c r="D18" s="15">
        <v>2.4187421793275099E-2</v>
      </c>
      <c r="E18" s="15">
        <v>-1.37315143745798E-2</v>
      </c>
      <c r="F18" s="15">
        <v>4.138633529226917E-2</v>
      </c>
      <c r="G18">
        <v>7.7838318692315002E-6</v>
      </c>
      <c r="I18" s="2">
        <v>4.138633529226917E-2</v>
      </c>
      <c r="J18" s="2">
        <v>4.8339319084917259E-2</v>
      </c>
      <c r="K18" s="2">
        <v>6.9529837926480889E-3</v>
      </c>
      <c r="L18" s="2"/>
      <c r="M18" s="2">
        <f t="shared" si="0"/>
        <v>4.137855146039994E-2</v>
      </c>
      <c r="N18" s="2">
        <f t="shared" si="1"/>
        <v>4.8331535253048029E-2</v>
      </c>
      <c r="P18" s="2">
        <f t="shared" si="2"/>
        <v>1.0413863352922692</v>
      </c>
      <c r="Q18">
        <f t="shared" si="3"/>
        <v>1.0483393190849173</v>
      </c>
      <c r="S18">
        <f t="shared" si="5"/>
        <v>1.4804950815245304</v>
      </c>
      <c r="T18">
        <f t="shared" si="4"/>
        <v>1.4732729830232554</v>
      </c>
    </row>
    <row r="19" spans="1:20">
      <c r="A19" s="1">
        <v>40845</v>
      </c>
      <c r="B19" s="15">
        <v>0.12528323487482099</v>
      </c>
      <c r="C19" s="15">
        <v>0.203213414838159</v>
      </c>
      <c r="D19" s="15">
        <v>6.3763837638376203E-2</v>
      </c>
      <c r="E19" s="15">
        <v>0.155586529759832</v>
      </c>
      <c r="F19" s="15">
        <v>0.13696175427779705</v>
      </c>
      <c r="G19">
        <v>-7.7717330964803992E-6</v>
      </c>
      <c r="I19" s="2">
        <v>0.13696175427779705</v>
      </c>
      <c r="J19" s="2">
        <v>0.15021208638986944</v>
      </c>
      <c r="K19" s="2">
        <v>1.3250332112072383E-2</v>
      </c>
      <c r="L19" s="2"/>
      <c r="M19" s="2">
        <f t="shared" si="0"/>
        <v>0.13696952601089354</v>
      </c>
      <c r="N19" s="2">
        <f t="shared" si="1"/>
        <v>0.15021985812296593</v>
      </c>
      <c r="P19" s="2">
        <f t="shared" si="2"/>
        <v>1.136961754277797</v>
      </c>
      <c r="Q19">
        <f t="shared" si="3"/>
        <v>1.1502120863898695</v>
      </c>
      <c r="S19">
        <f t="shared" si="5"/>
        <v>1.5417673473670599</v>
      </c>
      <c r="T19">
        <f t="shared" si="4"/>
        <v>1.5444899958488045</v>
      </c>
    </row>
    <row r="20" spans="1:20">
      <c r="A20" s="1">
        <v>40876</v>
      </c>
      <c r="B20" s="15">
        <v>8.3429291336552996E-2</v>
      </c>
      <c r="C20" s="15">
        <v>0.153117035585117</v>
      </c>
      <c r="D20" s="15">
        <v>-5.9386693492437699E-2</v>
      </c>
      <c r="E20" s="15">
        <v>6.5361383573452295E-2</v>
      </c>
      <c r="F20" s="15">
        <v>6.0630254250671145E-2</v>
      </c>
      <c r="G20">
        <v>7.7838318692315002E-6</v>
      </c>
      <c r="I20" s="2">
        <v>6.0630254250671145E-2</v>
      </c>
      <c r="J20" s="2">
        <v>7.9127610517560315E-2</v>
      </c>
      <c r="K20" s="2">
        <v>1.849735626688917E-2</v>
      </c>
      <c r="L20" s="2"/>
      <c r="M20" s="2">
        <f t="shared" si="0"/>
        <v>6.0622470418801915E-2</v>
      </c>
      <c r="N20" s="2">
        <f t="shared" si="1"/>
        <v>7.9119826685691078E-2</v>
      </c>
      <c r="P20" s="2">
        <f t="shared" si="2"/>
        <v>1.0606302542506711</v>
      </c>
      <c r="Q20">
        <f t="shared" si="3"/>
        <v>1.0791276105175602</v>
      </c>
      <c r="S20">
        <f t="shared" si="5"/>
        <v>1.7529305079506781</v>
      </c>
      <c r="T20">
        <f t="shared" si="4"/>
        <v>1.7764910605335342</v>
      </c>
    </row>
    <row r="21" spans="1:20">
      <c r="A21" s="1">
        <v>40907</v>
      </c>
      <c r="B21" s="15">
        <v>2.7881014338821002E-2</v>
      </c>
      <c r="C21" s="15">
        <v>8.3841649710760496E-2</v>
      </c>
      <c r="D21" s="15">
        <v>1.3718837384292E-2</v>
      </c>
      <c r="E21" s="15">
        <v>-1.49844222500542E-2</v>
      </c>
      <c r="F21" s="15">
        <v>2.7614269795954827E-2</v>
      </c>
      <c r="G21">
        <v>1.49994361114243E-4</v>
      </c>
      <c r="I21" s="2">
        <v>2.7614269795954827E-2</v>
      </c>
      <c r="J21" s="2">
        <v>3.8859745778915968E-2</v>
      </c>
      <c r="K21" s="2">
        <v>1.1245475982961141E-2</v>
      </c>
      <c r="L21" s="2"/>
      <c r="M21" s="2">
        <f t="shared" si="0"/>
        <v>2.7464275434840583E-2</v>
      </c>
      <c r="N21" s="2">
        <f t="shared" si="1"/>
        <v>3.8709751417801724E-2</v>
      </c>
      <c r="P21" s="2">
        <f t="shared" si="2"/>
        <v>1.0276142697959547</v>
      </c>
      <c r="Q21">
        <f t="shared" si="3"/>
        <v>1.0388597457789159</v>
      </c>
      <c r="S21">
        <f t="shared" si="5"/>
        <v>1.8592111303314858</v>
      </c>
      <c r="T21">
        <f t="shared" si="4"/>
        <v>1.9170605532593592</v>
      </c>
    </row>
    <row r="22" spans="1:20">
      <c r="A22" s="1">
        <v>40936</v>
      </c>
      <c r="B22" s="15">
        <v>-0.100490806005962</v>
      </c>
      <c r="C22" s="15">
        <v>-0.13849042875495399</v>
      </c>
      <c r="D22" s="15">
        <v>-6.0680994460404501E-2</v>
      </c>
      <c r="E22" s="15">
        <v>-4.0183409873709702E-3</v>
      </c>
      <c r="F22" s="15">
        <v>-7.5920142552172859E-2</v>
      </c>
      <c r="G22">
        <v>1.3399391960364801E-4</v>
      </c>
      <c r="I22" s="2">
        <v>-7.5920142552172859E-2</v>
      </c>
      <c r="J22" s="2">
        <v>-8.8434199792729082E-2</v>
      </c>
      <c r="K22" s="2">
        <v>-1.2514057240556223E-2</v>
      </c>
      <c r="L22" s="2"/>
      <c r="M22" s="2">
        <f t="shared" si="0"/>
        <v>-7.6054136471776501E-2</v>
      </c>
      <c r="N22" s="2">
        <f t="shared" si="1"/>
        <v>-8.8568193712332724E-2</v>
      </c>
      <c r="P22" s="2">
        <f t="shared" si="2"/>
        <v>0.92407985744782717</v>
      </c>
      <c r="Q22">
        <f t="shared" si="3"/>
        <v>0.91156580020727096</v>
      </c>
      <c r="S22">
        <f t="shared" si="5"/>
        <v>1.9105518880921013</v>
      </c>
      <c r="T22">
        <f t="shared" si="4"/>
        <v>1.9915570390018058</v>
      </c>
    </row>
    <row r="23" spans="1:20">
      <c r="A23" s="1">
        <v>40967</v>
      </c>
      <c r="B23" s="15">
        <v>-9.0465249856404306E-2</v>
      </c>
      <c r="C23" s="15">
        <v>-0.137889061982125</v>
      </c>
      <c r="D23" s="15">
        <v>-4.8025559348153701E-3</v>
      </c>
      <c r="E23" s="15">
        <v>3.7175820254299302E-2</v>
      </c>
      <c r="F23" s="15">
        <v>-4.8995261879761345E-2</v>
      </c>
      <c r="G23">
        <v>1.3399391960364801E-4</v>
      </c>
      <c r="I23" s="2">
        <v>-4.8995261879761345E-2</v>
      </c>
      <c r="J23" s="2">
        <v>-6.6774021900234057E-2</v>
      </c>
      <c r="K23" s="2">
        <v>-1.7778760020472711E-2</v>
      </c>
      <c r="L23" s="2"/>
      <c r="M23" s="2">
        <f t="shared" si="0"/>
        <v>-4.9129255799364994E-2</v>
      </c>
      <c r="N23" s="2">
        <f t="shared" si="1"/>
        <v>-6.6908015819837699E-2</v>
      </c>
      <c r="P23" s="2">
        <f t="shared" si="2"/>
        <v>0.95100473812023867</v>
      </c>
      <c r="Q23">
        <f t="shared" si="3"/>
        <v>0.93322597809976593</v>
      </c>
      <c r="S23">
        <f t="shared" si="5"/>
        <v>1.7655025163948259</v>
      </c>
      <c r="T23">
        <f t="shared" si="4"/>
        <v>1.8154352859161043</v>
      </c>
    </row>
    <row r="24" spans="1:20">
      <c r="A24" s="1">
        <v>40998</v>
      </c>
      <c r="B24" s="15">
        <v>6.8519103252289298E-2</v>
      </c>
      <c r="C24" s="15">
        <v>6.66369581261647E-2</v>
      </c>
      <c r="D24" s="15">
        <v>2.9109636647248902E-2</v>
      </c>
      <c r="E24" s="15">
        <v>4.6679519495441898E-2</v>
      </c>
      <c r="F24" s="15">
        <v>5.2736304380286203E-2</v>
      </c>
      <c r="G24">
        <v>2.30760486529498E-4</v>
      </c>
      <c r="I24" s="2">
        <v>5.2736304380286203E-2</v>
      </c>
      <c r="J24" s="2">
        <v>5.5516435129461902E-2</v>
      </c>
      <c r="K24" s="2">
        <v>2.7801307491756994E-3</v>
      </c>
      <c r="L24" s="2"/>
      <c r="M24" s="2">
        <f t="shared" si="0"/>
        <v>5.2505543893756702E-2</v>
      </c>
      <c r="N24" s="2">
        <f t="shared" si="1"/>
        <v>5.5285674642932402E-2</v>
      </c>
      <c r="P24" s="2">
        <f t="shared" si="2"/>
        <v>1.0527363043802862</v>
      </c>
      <c r="Q24">
        <f t="shared" si="3"/>
        <v>1.0555164351294619</v>
      </c>
      <c r="S24">
        <f t="shared" si="5"/>
        <v>1.6790012582546838</v>
      </c>
      <c r="T24">
        <f t="shared" si="4"/>
        <v>1.6942113703758845</v>
      </c>
    </row>
    <row r="25" spans="1:20">
      <c r="A25" s="1">
        <v>41027</v>
      </c>
      <c r="B25" s="15">
        <v>1.08504692082112E-2</v>
      </c>
      <c r="C25" s="15">
        <v>-2.44071900650785E-2</v>
      </c>
      <c r="D25" s="15">
        <v>-6.4438102186687204E-2</v>
      </c>
      <c r="E25" s="15">
        <v>-9.2646620262629098E-2</v>
      </c>
      <c r="F25" s="15">
        <v>-4.2660360826545903E-2</v>
      </c>
      <c r="G25">
        <v>1.5801354401805801E-4</v>
      </c>
      <c r="I25" s="2">
        <v>-4.2660360826545903E-2</v>
      </c>
      <c r="J25" s="2">
        <v>-3.9009726674252426E-2</v>
      </c>
      <c r="K25" s="2">
        <v>3.6506341522934763E-3</v>
      </c>
      <c r="L25" s="2"/>
      <c r="M25" s="2">
        <f t="shared" si="0"/>
        <v>-4.2818374370563961E-2</v>
      </c>
      <c r="N25" s="2">
        <f t="shared" si="1"/>
        <v>-3.9167740218270485E-2</v>
      </c>
      <c r="P25" s="2">
        <f t="shared" si="2"/>
        <v>0.9573396391734541</v>
      </c>
      <c r="Q25">
        <f t="shared" si="3"/>
        <v>0.9609902733257476</v>
      </c>
      <c r="S25">
        <f t="shared" si="5"/>
        <v>1.7675455796648865</v>
      </c>
      <c r="T25">
        <f t="shared" si="4"/>
        <v>1.7882679460149542</v>
      </c>
    </row>
    <row r="26" spans="1:20">
      <c r="A26" s="1">
        <v>41059</v>
      </c>
      <c r="B26" s="15">
        <v>0.13896132466024499</v>
      </c>
      <c r="C26" s="15">
        <v>0.26396588338235699</v>
      </c>
      <c r="D26" s="15">
        <v>0.24090545645611799</v>
      </c>
      <c r="E26" s="15">
        <v>0.13838502047981199</v>
      </c>
      <c r="F26" s="15">
        <v>0.19555442124463301</v>
      </c>
      <c r="G26">
        <v>7.8387458006718794E-5</v>
      </c>
      <c r="I26" s="2">
        <v>0.19555442124463301</v>
      </c>
      <c r="J26" s="2">
        <v>0.20923671367217783</v>
      </c>
      <c r="K26" s="2">
        <v>1.3682292427544818E-2</v>
      </c>
      <c r="L26" s="2"/>
      <c r="M26" s="2">
        <f t="shared" si="0"/>
        <v>0.19547603378662629</v>
      </c>
      <c r="N26" s="2">
        <f t="shared" si="1"/>
        <v>0.2091583262141711</v>
      </c>
      <c r="P26" s="2">
        <f t="shared" si="2"/>
        <v>1.195554421244633</v>
      </c>
      <c r="Q26">
        <f t="shared" si="3"/>
        <v>1.2092367136721778</v>
      </c>
      <c r="S26">
        <f t="shared" si="5"/>
        <v>1.6921414474590162</v>
      </c>
      <c r="T26">
        <f t="shared" si="4"/>
        <v>1.7185081022205841</v>
      </c>
    </row>
    <row r="27" spans="1:20">
      <c r="A27" s="1">
        <v>41089</v>
      </c>
      <c r="B27" s="15">
        <v>9.4244273777090992E-3</v>
      </c>
      <c r="C27" s="15">
        <v>8.2040686163200802E-2</v>
      </c>
      <c r="D27" s="15">
        <v>-1.2898996742671E-2</v>
      </c>
      <c r="E27" s="15">
        <v>-2.5443382163967999E-2</v>
      </c>
      <c r="F27" s="15">
        <v>1.3280683658567724E-2</v>
      </c>
      <c r="G27">
        <v>2.1450459652706799E-4</v>
      </c>
      <c r="I27" s="2">
        <v>1.3280683658567724E-2</v>
      </c>
      <c r="J27" s="2">
        <v>2.7032684159494336E-2</v>
      </c>
      <c r="K27" s="2">
        <v>1.3752000500926611E-2</v>
      </c>
      <c r="L27" s="2"/>
      <c r="M27" s="2">
        <f t="shared" si="0"/>
        <v>1.3066179062040656E-2</v>
      </c>
      <c r="N27" s="2">
        <f t="shared" si="1"/>
        <v>2.6818179562967268E-2</v>
      </c>
      <c r="P27" s="2">
        <f t="shared" si="2"/>
        <v>1.0132806836585677</v>
      </c>
      <c r="Q27">
        <f t="shared" si="3"/>
        <v>1.0270326841594943</v>
      </c>
      <c r="S27">
        <f t="shared" si="5"/>
        <v>2.0230471888809194</v>
      </c>
      <c r="T27">
        <f t="shared" si="4"/>
        <v>2.0780830899482301</v>
      </c>
    </row>
    <row r="28" spans="1:20">
      <c r="A28" s="1">
        <v>41118</v>
      </c>
      <c r="B28" s="15">
        <v>1.33736812169142E-2</v>
      </c>
      <c r="C28" s="15">
        <v>5.7188712052640998E-2</v>
      </c>
      <c r="D28" s="15">
        <v>7.3917368692781801E-3</v>
      </c>
      <c r="E28" s="15">
        <v>5.95992120041779E-2</v>
      </c>
      <c r="F28" s="15">
        <v>3.4388335535752816E-2</v>
      </c>
      <c r="G28">
        <v>1.8214730173096399E-4</v>
      </c>
      <c r="I28" s="2">
        <v>3.4388335535752816E-2</v>
      </c>
      <c r="J28" s="2">
        <v>3.8948410839130462E-2</v>
      </c>
      <c r="K28" s="2">
        <v>4.5600753033776462E-3</v>
      </c>
      <c r="L28" s="2"/>
      <c r="M28" s="2">
        <f t="shared" si="0"/>
        <v>3.4206188234021849E-2</v>
      </c>
      <c r="N28" s="2">
        <f t="shared" si="1"/>
        <v>3.8766263537399495E-2</v>
      </c>
      <c r="P28" s="2">
        <f t="shared" si="2"/>
        <v>1.0343883355357528</v>
      </c>
      <c r="Q28">
        <f t="shared" si="3"/>
        <v>1.0389484108391305</v>
      </c>
      <c r="S28">
        <f t="shared" si="5"/>
        <v>2.0499146386228015</v>
      </c>
      <c r="T28">
        <f t="shared" si="4"/>
        <v>2.1342592537759866</v>
      </c>
    </row>
    <row r="29" spans="1:20">
      <c r="A29" s="1">
        <v>41151</v>
      </c>
      <c r="B29" s="15">
        <v>3.0129457171314801E-2</v>
      </c>
      <c r="C29" s="15">
        <v>3.7695191899051302E-2</v>
      </c>
      <c r="D29" s="15">
        <v>6.4334420859538805E-2</v>
      </c>
      <c r="E29" s="15">
        <v>8.1881557989049197E-2</v>
      </c>
      <c r="F29" s="15">
        <v>5.3510156979738523E-2</v>
      </c>
      <c r="G29">
        <v>1.49994361114243E-4</v>
      </c>
      <c r="I29" s="2">
        <v>5.3510156979738523E-2</v>
      </c>
      <c r="J29" s="2">
        <v>5.0347163963601081E-2</v>
      </c>
      <c r="K29" s="2">
        <v>-3.1629930161374414E-3</v>
      </c>
      <c r="L29" s="2"/>
      <c r="M29" s="2">
        <f t="shared" si="0"/>
        <v>5.3360162618624279E-2</v>
      </c>
      <c r="N29" s="2">
        <f t="shared" si="1"/>
        <v>5.0197169602486838E-2</v>
      </c>
      <c r="P29" s="2">
        <f t="shared" si="2"/>
        <v>1.0535101569797385</v>
      </c>
      <c r="Q29">
        <f t="shared" si="3"/>
        <v>1.0503471639636011</v>
      </c>
      <c r="S29">
        <f t="shared" si="5"/>
        <v>2.1204077910354138</v>
      </c>
      <c r="T29">
        <f t="shared" si="4"/>
        <v>2.2173852600292698</v>
      </c>
    </row>
    <row r="30" spans="1:20">
      <c r="A30" s="1">
        <v>41181</v>
      </c>
      <c r="B30" s="15">
        <v>7.0824270505783701E-2</v>
      </c>
      <c r="C30" s="15">
        <v>0.13175087129611801</v>
      </c>
      <c r="D30" s="15">
        <v>5.1335699199715798E-2</v>
      </c>
      <c r="E30" s="15">
        <v>3.7037059189393498E-2</v>
      </c>
      <c r="F30" s="15">
        <v>7.2736975047752755E-2</v>
      </c>
      <c r="G30">
        <v>2.0639600816511699E-4</v>
      </c>
      <c r="I30" s="2">
        <v>7.2736975047752755E-2</v>
      </c>
      <c r="J30" s="2">
        <v>8.4539754297425815E-2</v>
      </c>
      <c r="K30" s="2">
        <v>1.1802779249673059E-2</v>
      </c>
      <c r="L30" s="2"/>
      <c r="M30" s="2">
        <f t="shared" si="0"/>
        <v>7.2530579039587637E-2</v>
      </c>
      <c r="N30" s="2">
        <f t="shared" si="1"/>
        <v>8.4333358289260696E-2</v>
      </c>
      <c r="P30" s="2">
        <f t="shared" si="2"/>
        <v>1.0727369750477527</v>
      </c>
      <c r="Q30">
        <f t="shared" si="3"/>
        <v>1.0845397542974258</v>
      </c>
      <c r="S30">
        <f t="shared" si="5"/>
        <v>2.2338711447947794</v>
      </c>
      <c r="T30">
        <f t="shared" si="4"/>
        <v>2.3290243192864355</v>
      </c>
    </row>
    <row r="31" spans="1:20">
      <c r="A31" s="1">
        <v>41212</v>
      </c>
      <c r="B31" s="15">
        <v>-2.5507923826364E-2</v>
      </c>
      <c r="C31" s="15">
        <v>6.73228302488693E-2</v>
      </c>
      <c r="D31" s="15">
        <v>-8.0562117551238405E-2</v>
      </c>
      <c r="E31" s="15">
        <v>-1.5306188318270301E-2</v>
      </c>
      <c r="F31" s="15">
        <v>-1.3513349861750852E-2</v>
      </c>
      <c r="G31">
        <v>1.9021739130434701E-4</v>
      </c>
      <c r="I31" s="2">
        <v>-1.3513349861750852E-2</v>
      </c>
      <c r="J31" s="2">
        <v>2.6538861603731811E-3</v>
      </c>
      <c r="K31" s="2">
        <v>1.6167236022124033E-2</v>
      </c>
      <c r="L31" s="2"/>
      <c r="M31" s="2">
        <f t="shared" si="0"/>
        <v>-1.37035672530552E-2</v>
      </c>
      <c r="N31" s="2">
        <f t="shared" si="1"/>
        <v>2.4636687690688342E-3</v>
      </c>
      <c r="P31" s="2">
        <f t="shared" si="2"/>
        <v>0.9864866501382491</v>
      </c>
      <c r="Q31">
        <f t="shared" si="3"/>
        <v>1.0026538861603731</v>
      </c>
      <c r="S31">
        <f t="shared" si="5"/>
        <v>2.3963561745136119</v>
      </c>
      <c r="T31">
        <f t="shared" si="4"/>
        <v>2.5259194629916402</v>
      </c>
    </row>
    <row r="32" spans="1:20">
      <c r="A32" s="1">
        <v>41242</v>
      </c>
      <c r="B32" s="15">
        <v>-0.15195731535590901</v>
      </c>
      <c r="C32" s="15">
        <v>-0.12798157624738599</v>
      </c>
      <c r="D32" s="15">
        <v>9.1696513946630791E-3</v>
      </c>
      <c r="E32" s="15">
        <v>0.109033591102356</v>
      </c>
      <c r="F32" s="15">
        <v>-4.0433912276568978E-2</v>
      </c>
      <c r="G32">
        <v>1.9021739130434701E-4</v>
      </c>
      <c r="I32" s="2">
        <v>-4.0433912276568978E-2</v>
      </c>
      <c r="J32" s="2">
        <v>-5.7943445070732388E-2</v>
      </c>
      <c r="K32" s="2">
        <v>-1.750953279416341E-2</v>
      </c>
      <c r="L32" s="2"/>
      <c r="M32" s="2">
        <f t="shared" si="0"/>
        <v>-4.0624129667873328E-2</v>
      </c>
      <c r="N32" s="2">
        <f t="shared" si="1"/>
        <v>-5.8133662462036738E-2</v>
      </c>
      <c r="P32" s="2">
        <f t="shared" si="2"/>
        <v>0.95956608772343099</v>
      </c>
      <c r="Q32">
        <f t="shared" si="3"/>
        <v>0.94205655492926765</v>
      </c>
      <c r="S32">
        <f t="shared" si="5"/>
        <v>2.3639733751340426</v>
      </c>
      <c r="T32">
        <f t="shared" si="4"/>
        <v>2.5326229656966905</v>
      </c>
    </row>
    <row r="33" spans="1:20">
      <c r="A33" s="1">
        <v>41272</v>
      </c>
      <c r="B33" s="15">
        <v>-1.36574702633851E-2</v>
      </c>
      <c r="C33" s="15">
        <v>-4.24226687364994E-2</v>
      </c>
      <c r="D33" s="15">
        <v>-6.0574963669232096E-3</v>
      </c>
      <c r="E33" s="15">
        <v>1.21878935608377E-3</v>
      </c>
      <c r="F33" s="15">
        <v>-1.5229711502680984E-2</v>
      </c>
      <c r="G33">
        <v>2.47068199931685E-4</v>
      </c>
      <c r="I33" s="2">
        <v>-1.5229711502680984E-2</v>
      </c>
      <c r="J33" s="2">
        <v>-2.0668302949444668E-2</v>
      </c>
      <c r="K33" s="2">
        <v>-5.4385914467636846E-3</v>
      </c>
      <c r="L33" s="2"/>
      <c r="M33" s="2">
        <f t="shared" si="0"/>
        <v>-1.5476779702612669E-2</v>
      </c>
      <c r="N33" s="2">
        <f t="shared" si="1"/>
        <v>-2.0915371149376354E-2</v>
      </c>
      <c r="P33" s="2">
        <f t="shared" si="2"/>
        <v>0.98477028849731907</v>
      </c>
      <c r="Q33">
        <f t="shared" si="3"/>
        <v>0.97933169705055534</v>
      </c>
      <c r="S33">
        <f t="shared" si="5"/>
        <v>2.2683886830597282</v>
      </c>
      <c r="T33">
        <f t="shared" si="4"/>
        <v>2.3858740659989692</v>
      </c>
    </row>
    <row r="34" spans="1:20">
      <c r="A34" s="1">
        <v>41304</v>
      </c>
      <c r="B34" s="15">
        <v>0.113541896606427</v>
      </c>
      <c r="C34" s="15">
        <v>0.179065657640302</v>
      </c>
      <c r="D34" s="15">
        <v>5.9294030998120202E-2</v>
      </c>
      <c r="E34" s="15">
        <v>8.8456094776707198E-2</v>
      </c>
      <c r="F34" s="15">
        <v>0.1100894200053891</v>
      </c>
      <c r="G34">
        <v>4.13051E-4</v>
      </c>
      <c r="I34" s="2">
        <v>0.1100894200053891</v>
      </c>
      <c r="J34" s="2">
        <v>0.12388466753237168</v>
      </c>
      <c r="K34" s="2">
        <v>1.3795247526982579E-2</v>
      </c>
      <c r="L34" s="2"/>
      <c r="M34" s="2">
        <f t="shared" si="0"/>
        <v>0.1096763690053891</v>
      </c>
      <c r="N34" s="2">
        <f t="shared" si="1"/>
        <v>0.12347161653237168</v>
      </c>
      <c r="P34" s="2">
        <f t="shared" si="2"/>
        <v>1.110089420005389</v>
      </c>
      <c r="Q34">
        <f t="shared" si="3"/>
        <v>1.1238846675323717</v>
      </c>
      <c r="S34">
        <f t="shared" si="5"/>
        <v>2.233841777840782</v>
      </c>
      <c r="T34">
        <f t="shared" si="4"/>
        <v>2.3365620980036792</v>
      </c>
    </row>
    <row r="35" spans="1:20">
      <c r="A35" s="1">
        <v>41332</v>
      </c>
      <c r="B35" s="15">
        <v>0.122357675263806</v>
      </c>
      <c r="C35" s="15">
        <v>0.20149667274115801</v>
      </c>
      <c r="D35" s="15">
        <v>3.67973151144671E-2</v>
      </c>
      <c r="E35" s="15">
        <v>6.2068925924737103E-2</v>
      </c>
      <c r="F35" s="15">
        <v>0.10568014726104207</v>
      </c>
      <c r="G35">
        <v>3.9621099999999999E-4</v>
      </c>
      <c r="I35" s="2">
        <v>0.10568014726104207</v>
      </c>
      <c r="J35" s="2">
        <v>0.12484345235706526</v>
      </c>
      <c r="K35" s="2">
        <v>1.9163305096023195E-2</v>
      </c>
      <c r="L35" s="2"/>
      <c r="M35" s="2">
        <f t="shared" si="0"/>
        <v>0.10528393626104207</v>
      </c>
      <c r="N35" s="2">
        <f t="shared" si="1"/>
        <v>0.12444724135706527</v>
      </c>
      <c r="P35" s="2">
        <f t="shared" si="2"/>
        <v>1.105680147261042</v>
      </c>
      <c r="Q35">
        <f t="shared" si="3"/>
        <v>1.1248434523570652</v>
      </c>
      <c r="S35">
        <f t="shared" si="5"/>
        <v>2.4797641235470809</v>
      </c>
      <c r="T35">
        <f t="shared" si="4"/>
        <v>2.626026316683606</v>
      </c>
    </row>
    <row r="36" spans="1:20">
      <c r="A36" s="1">
        <v>41363</v>
      </c>
      <c r="B36" s="15">
        <v>0.104808329164451</v>
      </c>
      <c r="C36" s="15">
        <v>-7.2107681720571595E-2</v>
      </c>
      <c r="D36" s="15">
        <v>3.4913260115606998E-2</v>
      </c>
      <c r="E36" s="15">
        <v>4.0189540189540199E-2</v>
      </c>
      <c r="F36" s="15">
        <v>2.695086193725665E-2</v>
      </c>
      <c r="G36">
        <v>3.6269399999999999E-4</v>
      </c>
      <c r="I36" s="2">
        <v>2.695086193725665E-2</v>
      </c>
      <c r="J36" s="2">
        <v>7.1391532056910029E-3</v>
      </c>
      <c r="K36" s="2">
        <v>-1.9811708731565646E-2</v>
      </c>
      <c r="L36" s="2"/>
      <c r="M36" s="2">
        <f t="shared" si="0"/>
        <v>2.658816793725665E-2</v>
      </c>
      <c r="N36" s="2">
        <f t="shared" si="1"/>
        <v>6.7764592056910027E-3</v>
      </c>
      <c r="P36" s="2">
        <f t="shared" si="2"/>
        <v>1.0269508619372567</v>
      </c>
      <c r="Q36">
        <f t="shared" si="3"/>
        <v>1.007139153205691</v>
      </c>
      <c r="S36">
        <f t="shared" si="5"/>
        <v>2.7418259612961853</v>
      </c>
      <c r="T36">
        <f t="shared" si="4"/>
        <v>2.9538685080388949</v>
      </c>
    </row>
    <row r="37" spans="1:20">
      <c r="A37" s="1">
        <v>41391</v>
      </c>
      <c r="B37" s="15">
        <v>4.1666645899787601E-2</v>
      </c>
      <c r="C37" s="15">
        <v>-6.5528116197183101E-2</v>
      </c>
      <c r="D37" s="15">
        <v>5.9204682502390797E-2</v>
      </c>
      <c r="E37" s="15">
        <v>6.0401518474776303E-2</v>
      </c>
      <c r="F37" s="15">
        <v>2.39361826699429E-2</v>
      </c>
      <c r="G37">
        <v>5.8449999999999995E-4</v>
      </c>
      <c r="I37" s="2">
        <v>2.39361826699429E-2</v>
      </c>
      <c r="J37" s="2">
        <v>6.0433228965177024E-3</v>
      </c>
      <c r="K37" s="2">
        <v>-1.7892859773425196E-2</v>
      </c>
      <c r="L37" s="2"/>
      <c r="M37" s="2">
        <f t="shared" si="0"/>
        <v>2.3351682669942898E-2</v>
      </c>
      <c r="N37" s="2">
        <f t="shared" si="1"/>
        <v>5.4588228965177024E-3</v>
      </c>
      <c r="P37" s="2">
        <f t="shared" si="2"/>
        <v>1.0239361826699429</v>
      </c>
      <c r="Q37">
        <f t="shared" si="3"/>
        <v>1.0060433228965178</v>
      </c>
      <c r="S37">
        <f t="shared" si="5"/>
        <v>2.8157205342350649</v>
      </c>
      <c r="T37">
        <f t="shared" si="4"/>
        <v>2.9749566278672503</v>
      </c>
    </row>
    <row r="38" spans="1:20">
      <c r="A38" s="1">
        <v>41424</v>
      </c>
      <c r="B38" s="15">
        <v>0.121148363636363</v>
      </c>
      <c r="C38" s="15">
        <v>7.3062221274602296E-2</v>
      </c>
      <c r="D38" s="15">
        <v>0.19521200168740699</v>
      </c>
      <c r="E38" s="15">
        <v>0.22100239366753799</v>
      </c>
      <c r="F38" s="15">
        <v>0.15260624506647757</v>
      </c>
      <c r="G38">
        <v>5.2385400000000003E-4</v>
      </c>
      <c r="I38" s="2">
        <v>0.15260624506647757</v>
      </c>
      <c r="J38" s="2">
        <v>0.13669744030810252</v>
      </c>
      <c r="K38" s="2">
        <v>-1.5908804758375056E-2</v>
      </c>
      <c r="L38" s="2"/>
      <c r="M38" s="2">
        <f t="shared" si="0"/>
        <v>0.15208239106647758</v>
      </c>
      <c r="N38" s="2">
        <f t="shared" si="1"/>
        <v>0.13617358630810253</v>
      </c>
      <c r="P38" s="2">
        <f t="shared" si="2"/>
        <v>1.1526062450664776</v>
      </c>
      <c r="Q38">
        <f t="shared" si="3"/>
        <v>1.1366974403081025</v>
      </c>
      <c r="S38">
        <f t="shared" si="5"/>
        <v>2.8831181352900246</v>
      </c>
      <c r="T38">
        <f t="shared" si="4"/>
        <v>2.9929352513725878</v>
      </c>
    </row>
    <row r="39" spans="1:20">
      <c r="A39" s="1">
        <v>41454</v>
      </c>
      <c r="B39" s="15">
        <v>-1.7241412863044901E-2</v>
      </c>
      <c r="C39" s="15">
        <v>5.1668670159059099E-2</v>
      </c>
      <c r="D39" s="15">
        <v>-6.7149041433882603E-2</v>
      </c>
      <c r="E39" s="15">
        <v>-4.3784220583378101E-2</v>
      </c>
      <c r="F39" s="15">
        <v>-1.9126501180311624E-2</v>
      </c>
      <c r="G39">
        <v>6.6350700000000003E-4</v>
      </c>
      <c r="I39" s="2">
        <v>-1.9126501180311624E-2</v>
      </c>
      <c r="J39" s="2">
        <v>-4.96746691243748E-3</v>
      </c>
      <c r="K39" s="2">
        <v>1.4159034267874144E-2</v>
      </c>
      <c r="L39" s="2"/>
      <c r="M39" s="2">
        <f t="shared" si="0"/>
        <v>-1.9790008180311625E-2</v>
      </c>
      <c r="N39" s="2">
        <f t="shared" si="1"/>
        <v>-5.6309739124374798E-3</v>
      </c>
      <c r="P39" s="2">
        <f t="shared" si="2"/>
        <v>0.98087349881968833</v>
      </c>
      <c r="Q39">
        <f t="shared" si="3"/>
        <v>0.99503253308756257</v>
      </c>
      <c r="S39">
        <f t="shared" si="5"/>
        <v>3.3230999679997</v>
      </c>
      <c r="T39">
        <f t="shared" si="4"/>
        <v>3.4020618392431077</v>
      </c>
    </row>
    <row r="40" spans="1:20">
      <c r="A40" s="1">
        <v>41485</v>
      </c>
      <c r="B40" s="15">
        <v>7.3128348097967602E-2</v>
      </c>
      <c r="C40" s="15">
        <v>3.54255856796463E-2</v>
      </c>
      <c r="D40" s="15">
        <v>0.10423757941508099</v>
      </c>
      <c r="E40" s="15">
        <v>8.3129003126015205E-2</v>
      </c>
      <c r="F40" s="15">
        <v>7.398012907967752E-2</v>
      </c>
      <c r="G40">
        <v>7.9783999999999996E-4</v>
      </c>
      <c r="I40" s="2">
        <v>7.398012907967752E-2</v>
      </c>
      <c r="J40" s="2">
        <v>6.6269220399671286E-2</v>
      </c>
      <c r="K40" s="2">
        <v>-7.7109086800062343E-3</v>
      </c>
      <c r="L40" s="2"/>
      <c r="M40" s="2">
        <f t="shared" si="0"/>
        <v>7.3182289079677526E-2</v>
      </c>
      <c r="N40" s="2">
        <f t="shared" si="1"/>
        <v>6.5471380399671292E-2</v>
      </c>
      <c r="P40" s="2">
        <f t="shared" si="2"/>
        <v>1.0739801290796775</v>
      </c>
      <c r="Q40">
        <f t="shared" si="3"/>
        <v>1.0662692203996713</v>
      </c>
      <c r="S40">
        <f t="shared" si="5"/>
        <v>3.2595406925394599</v>
      </c>
      <c r="T40">
        <f t="shared" si="4"/>
        <v>3.3851622096226013</v>
      </c>
    </row>
    <row r="41" spans="1:20">
      <c r="A41" s="1">
        <v>41516</v>
      </c>
      <c r="B41" s="15">
        <v>6.1184834269744699E-2</v>
      </c>
      <c r="C41" s="15">
        <v>-0.113852490085622</v>
      </c>
      <c r="D41" s="15">
        <v>4.0774388226389999E-2</v>
      </c>
      <c r="E41" s="15">
        <v>0.230372386875727</v>
      </c>
      <c r="F41" s="15">
        <v>5.4619779821559925E-2</v>
      </c>
      <c r="G41">
        <v>8.2511399999999995E-4</v>
      </c>
      <c r="I41" s="2">
        <v>5.4619779821559925E-2</v>
      </c>
      <c r="J41" s="2">
        <v>2.0925325840123549E-2</v>
      </c>
      <c r="K41" s="2">
        <v>-3.3694453981436376E-2</v>
      </c>
      <c r="L41" s="2"/>
      <c r="M41" s="2">
        <f t="shared" si="0"/>
        <v>5.3794665821559923E-2</v>
      </c>
      <c r="N41" s="2">
        <f t="shared" si="1"/>
        <v>2.010021184012355E-2</v>
      </c>
      <c r="P41" s="2">
        <f t="shared" si="2"/>
        <v>1.05461977982156</v>
      </c>
      <c r="Q41">
        <f t="shared" si="3"/>
        <v>1.0209253258401236</v>
      </c>
      <c r="S41">
        <f t="shared" si="5"/>
        <v>3.5006819337139907</v>
      </c>
      <c r="T41">
        <f t="shared" si="4"/>
        <v>3.6094942701807198</v>
      </c>
    </row>
    <row r="42" spans="1:20">
      <c r="A42" s="1">
        <v>41545</v>
      </c>
      <c r="B42" s="15">
        <v>-1.6015802807071301E-2</v>
      </c>
      <c r="C42" s="15">
        <v>-4.6481361137547902E-2</v>
      </c>
      <c r="D42" s="15">
        <v>-2.8312773662551399E-2</v>
      </c>
      <c r="E42" s="15">
        <v>4.5403435469849103E-2</v>
      </c>
      <c r="F42" s="15">
        <v>-1.1351625534330374E-2</v>
      </c>
      <c r="G42">
        <v>7.8877999999999999E-4</v>
      </c>
      <c r="I42" s="2">
        <v>-1.1351625534330374E-2</v>
      </c>
      <c r="J42" s="2">
        <v>-1.8377572654973882E-2</v>
      </c>
      <c r="K42" s="2">
        <v>-7.0259471206435085E-3</v>
      </c>
      <c r="L42" s="2"/>
      <c r="M42" s="2">
        <f t="shared" si="0"/>
        <v>-1.2140405534330373E-2</v>
      </c>
      <c r="N42" s="2">
        <f t="shared" si="1"/>
        <v>-1.9166352654973882E-2</v>
      </c>
      <c r="P42" s="2">
        <f t="shared" si="2"/>
        <v>0.98864837446566967</v>
      </c>
      <c r="Q42">
        <f t="shared" si="3"/>
        <v>0.98162242734502614</v>
      </c>
      <c r="S42">
        <f t="shared" si="5"/>
        <v>3.6918884101587617</v>
      </c>
      <c r="T42">
        <f t="shared" si="4"/>
        <v>3.6850241139023105</v>
      </c>
    </row>
    <row r="43" spans="1:20">
      <c r="A43" s="1">
        <v>41577</v>
      </c>
      <c r="B43" s="15">
        <v>1.5191380710234599E-2</v>
      </c>
      <c r="C43" s="15">
        <v>6.8647947906811099E-2</v>
      </c>
      <c r="D43" s="15">
        <v>1.30442150270069E-2</v>
      </c>
      <c r="E43" s="15">
        <v>8.2363286245819595E-2</v>
      </c>
      <c r="F43" s="15">
        <v>4.4811707472468043E-2</v>
      </c>
      <c r="G43">
        <v>7.7973400000000003E-4</v>
      </c>
      <c r="I43" s="2">
        <v>4.4811707472468043E-2</v>
      </c>
      <c r="J43" s="2">
        <v>4.9578955559336661E-2</v>
      </c>
      <c r="K43" s="2">
        <v>4.7672480868686182E-3</v>
      </c>
      <c r="L43" s="2"/>
      <c r="M43" s="2">
        <f t="shared" si="0"/>
        <v>4.4031973472468046E-2</v>
      </c>
      <c r="N43" s="2">
        <f t="shared" si="1"/>
        <v>4.8799221559336664E-2</v>
      </c>
      <c r="P43" s="2">
        <f t="shared" si="2"/>
        <v>1.0448117074724681</v>
      </c>
      <c r="Q43">
        <f t="shared" si="3"/>
        <v>1.0495789555593367</v>
      </c>
      <c r="S43">
        <f t="shared" si="5"/>
        <v>3.6499794754121053</v>
      </c>
      <c r="T43">
        <f t="shared" si="4"/>
        <v>3.61730231551374</v>
      </c>
    </row>
    <row r="44" spans="1:20">
      <c r="A44" s="1">
        <v>41607</v>
      </c>
      <c r="B44" s="15">
        <v>-4.7182716359221701E-2</v>
      </c>
      <c r="C44" s="15">
        <v>0.16596898354995401</v>
      </c>
      <c r="D44" s="15">
        <v>-0.110785955029865</v>
      </c>
      <c r="E44" s="15">
        <v>8.1337639740848202E-3</v>
      </c>
      <c r="F44" s="15">
        <v>4.0335190337380342E-3</v>
      </c>
      <c r="G44">
        <v>8.8007700000000005E-4</v>
      </c>
      <c r="I44" s="2">
        <v>4.0335190337380342E-3</v>
      </c>
      <c r="J44" s="2">
        <v>3.6420611936981227E-2</v>
      </c>
      <c r="K44" s="2">
        <v>3.2387092903243195E-2</v>
      </c>
      <c r="L44" s="2"/>
      <c r="M44" s="2">
        <f t="shared" si="0"/>
        <v>3.1534420337380343E-3</v>
      </c>
      <c r="N44" s="2">
        <f t="shared" si="1"/>
        <v>3.5540534936981227E-2</v>
      </c>
      <c r="P44" s="2">
        <f t="shared" si="2"/>
        <v>1.0040335190337379</v>
      </c>
      <c r="Q44">
        <f t="shared" si="3"/>
        <v>1.0364206119369812</v>
      </c>
      <c r="S44">
        <f t="shared" si="5"/>
        <v>3.8135412879447852</v>
      </c>
      <c r="T44">
        <f t="shared" si="4"/>
        <v>3.7966443862592816</v>
      </c>
    </row>
    <row r="45" spans="1:20">
      <c r="A45" s="1">
        <v>41636</v>
      </c>
      <c r="B45" s="15">
        <v>1.47435572197578E-2</v>
      </c>
      <c r="C45" s="15">
        <v>4.7475993161776003E-2</v>
      </c>
      <c r="D45" s="15">
        <v>-1.2129760453780201E-2</v>
      </c>
      <c r="E45" s="15">
        <v>-1.5867359501550101E-2</v>
      </c>
      <c r="F45" s="15">
        <v>8.5556076065508753E-3</v>
      </c>
      <c r="G45">
        <v>9.4491099999999999E-4</v>
      </c>
      <c r="I45" s="2">
        <v>8.5556076065508753E-3</v>
      </c>
      <c r="J45" s="2">
        <v>1.63396847175959E-2</v>
      </c>
      <c r="K45" s="2">
        <v>7.7840771110450242E-3</v>
      </c>
      <c r="L45" s="2"/>
      <c r="M45" s="2">
        <f t="shared" si="0"/>
        <v>7.6106966065508756E-3</v>
      </c>
      <c r="N45" s="2">
        <f t="shared" si="1"/>
        <v>1.53947737175959E-2</v>
      </c>
      <c r="P45" s="2">
        <f t="shared" si="2"/>
        <v>1.0085556076065509</v>
      </c>
      <c r="Q45">
        <f t="shared" si="3"/>
        <v>1.0163396847175958</v>
      </c>
      <c r="S45">
        <f t="shared" si="5"/>
        <v>3.828923279315656</v>
      </c>
      <c r="T45">
        <f t="shared" si="4"/>
        <v>3.9349204981139492</v>
      </c>
    </row>
    <row r="46" spans="1:20">
      <c r="A46" s="1">
        <v>41669</v>
      </c>
      <c r="B46" s="15">
        <v>0.170720104232469</v>
      </c>
      <c r="C46" s="15">
        <v>-7.2188258888579604E-2</v>
      </c>
      <c r="D46" s="15">
        <v>0.20845232645064299</v>
      </c>
      <c r="E46" s="15">
        <v>0.15385315315952899</v>
      </c>
      <c r="F46" s="15">
        <v>0.11520933123851534</v>
      </c>
      <c r="G46">
        <v>1.0960424115398801E-3</v>
      </c>
      <c r="I46" s="2">
        <v>0.11520933123851534</v>
      </c>
      <c r="J46" s="2">
        <v>7.7729813213096355E-2</v>
      </c>
      <c r="K46" s="2">
        <v>-3.747951802541899E-2</v>
      </c>
      <c r="L46" s="2"/>
      <c r="M46" s="2">
        <f t="shared" si="0"/>
        <v>0.11411328882697547</v>
      </c>
      <c r="N46" s="2">
        <f t="shared" si="1"/>
        <v>7.6633770801556478E-2</v>
      </c>
      <c r="P46" s="2">
        <f t="shared" si="2"/>
        <v>1.1152093312385154</v>
      </c>
      <c r="Q46">
        <f t="shared" si="3"/>
        <v>1.0777298132130964</v>
      </c>
      <c r="S46">
        <f t="shared" si="5"/>
        <v>3.8616820444490689</v>
      </c>
      <c r="T46">
        <f t="shared" si="4"/>
        <v>3.9992158584419362</v>
      </c>
    </row>
    <row r="47" spans="1:20">
      <c r="A47" s="1">
        <v>41697</v>
      </c>
      <c r="B47" s="15">
        <v>-1.3489815735457201E-2</v>
      </c>
      <c r="C47" s="15">
        <v>-8.3739373016749497E-2</v>
      </c>
      <c r="D47" s="15">
        <v>-2.5677394657194302E-2</v>
      </c>
      <c r="E47" s="15">
        <v>-0.116838992923959</v>
      </c>
      <c r="F47" s="15">
        <v>-5.9936394083339999E-2</v>
      </c>
      <c r="G47">
        <v>1.2121589634981899E-3</v>
      </c>
      <c r="I47" s="2">
        <v>-5.9936394083339999E-2</v>
      </c>
      <c r="J47" s="2">
        <v>-6.4696989870021898E-2</v>
      </c>
      <c r="K47" s="2">
        <v>-4.7605957866818996E-3</v>
      </c>
      <c r="L47" s="2"/>
      <c r="M47" s="2">
        <f t="shared" si="0"/>
        <v>-6.1148553046838187E-2</v>
      </c>
      <c r="N47" s="2">
        <f t="shared" si="1"/>
        <v>-6.5909148833520087E-2</v>
      </c>
      <c r="P47" s="2">
        <f t="shared" si="2"/>
        <v>0.94006360591666005</v>
      </c>
      <c r="Q47">
        <f t="shared" si="3"/>
        <v>0.93530301012997807</v>
      </c>
      <c r="S47">
        <f t="shared" si="5"/>
        <v>4.3065838502458291</v>
      </c>
      <c r="T47">
        <f t="shared" si="4"/>
        <v>4.3100741601174803</v>
      </c>
    </row>
    <row r="48" spans="1:20">
      <c r="A48" s="1">
        <v>41726</v>
      </c>
      <c r="B48" s="15">
        <v>-7.7533135957875199E-2</v>
      </c>
      <c r="C48" s="15">
        <v>-4.54158265328874E-2</v>
      </c>
      <c r="D48" s="15">
        <v>-1.9886815356996299E-2</v>
      </c>
      <c r="E48" s="15">
        <v>-0.12594979549611601</v>
      </c>
      <c r="F48" s="15">
        <v>-6.7196393335968718E-2</v>
      </c>
      <c r="G48">
        <v>1.2909296198720299E-3</v>
      </c>
      <c r="I48" s="2">
        <v>-6.7196393335968718E-2</v>
      </c>
      <c r="J48" s="2">
        <v>-6.2840279975352464E-2</v>
      </c>
      <c r="K48" s="2">
        <v>4.3561133606162539E-3</v>
      </c>
      <c r="L48" s="2"/>
      <c r="M48" s="2">
        <f t="shared" si="0"/>
        <v>-6.8487322955840743E-2</v>
      </c>
      <c r="N48" s="2">
        <f t="shared" si="1"/>
        <v>-6.4131209595224489E-2</v>
      </c>
      <c r="P48" s="2">
        <f t="shared" si="2"/>
        <v>0.93280360666403128</v>
      </c>
      <c r="Q48">
        <f t="shared" si="3"/>
        <v>0.93715972002464754</v>
      </c>
      <c r="S48">
        <f t="shared" si="5"/>
        <v>4.0484627434445475</v>
      </c>
      <c r="T48">
        <f t="shared" si="4"/>
        <v>4.0312253358413166</v>
      </c>
    </row>
    <row r="49" spans="1:20">
      <c r="A49" s="1">
        <v>41758</v>
      </c>
      <c r="B49" s="15">
        <v>-2.13864457431629E-2</v>
      </c>
      <c r="C49" s="15">
        <v>-8.3169894619820994E-2</v>
      </c>
      <c r="D49" s="15">
        <v>-2.68887747754664E-2</v>
      </c>
      <c r="E49" s="15">
        <v>1.9738187970322799E-2</v>
      </c>
      <c r="F49" s="15">
        <v>-2.792673179203187E-2</v>
      </c>
      <c r="G49">
        <v>1.47227533460803E-3</v>
      </c>
      <c r="I49" s="2">
        <v>-2.792673179203187E-2</v>
      </c>
      <c r="J49" s="2">
        <v>-3.8975364357589706E-2</v>
      </c>
      <c r="K49" s="2">
        <v>-1.1048632565557836E-2</v>
      </c>
      <c r="L49" s="2"/>
      <c r="M49" s="2">
        <f t="shared" si="0"/>
        <v>-2.9399007126639901E-2</v>
      </c>
      <c r="N49" s="2">
        <f t="shared" si="1"/>
        <v>-4.0447639692197737E-2</v>
      </c>
      <c r="P49" s="2">
        <f t="shared" si="2"/>
        <v>0.97207326820796813</v>
      </c>
      <c r="Q49">
        <f t="shared" si="3"/>
        <v>0.96102463564241025</v>
      </c>
      <c r="S49">
        <f t="shared" si="5"/>
        <v>3.7764206485300327</v>
      </c>
      <c r="T49">
        <f t="shared" si="4"/>
        <v>3.777902007093314</v>
      </c>
    </row>
    <row r="50" spans="1:20">
      <c r="A50" s="1">
        <v>41789</v>
      </c>
      <c r="B50" s="15">
        <v>6.8726543141719401E-2</v>
      </c>
      <c r="C50" s="15">
        <v>-0.11183723972902</v>
      </c>
      <c r="D50" s="15">
        <v>0.10959485227339701</v>
      </c>
      <c r="E50" s="15">
        <v>0.12405980467415299</v>
      </c>
      <c r="F50" s="15">
        <v>4.763599009006235E-2</v>
      </c>
      <c r="G50">
        <v>1.47227533460803E-3</v>
      </c>
      <c r="I50" s="2">
        <v>4.763599009006235E-2</v>
      </c>
      <c r="J50" s="2">
        <v>1.5741344126245876E-2</v>
      </c>
      <c r="K50" s="2">
        <v>-3.189464596381647E-2</v>
      </c>
      <c r="L50" s="2"/>
      <c r="M50" s="2">
        <f t="shared" si="0"/>
        <v>4.6163714755454319E-2</v>
      </c>
      <c r="N50" s="2">
        <f t="shared" si="1"/>
        <v>1.4269068791637845E-2</v>
      </c>
      <c r="P50" s="2">
        <f t="shared" si="2"/>
        <v>1.0476359900900623</v>
      </c>
      <c r="Q50">
        <f t="shared" si="3"/>
        <v>1.0157413441262459</v>
      </c>
      <c r="S50">
        <f t="shared" si="5"/>
        <v>3.6709575619446433</v>
      </c>
      <c r="T50">
        <f t="shared" si="4"/>
        <v>3.6306568998595825</v>
      </c>
    </row>
    <row r="51" spans="1:20">
      <c r="A51" s="1">
        <v>41818</v>
      </c>
      <c r="B51" s="15">
        <v>7.6293832954796997E-2</v>
      </c>
      <c r="C51" s="15">
        <v>0.105534851285303</v>
      </c>
      <c r="D51" s="15">
        <v>7.7228627996986196E-2</v>
      </c>
      <c r="E51" s="15">
        <v>5.6031396216427602E-2</v>
      </c>
      <c r="F51" s="15">
        <v>7.8772177113378458E-2</v>
      </c>
      <c r="G51">
        <v>1.5236875800255999E-3</v>
      </c>
      <c r="I51" s="2">
        <v>7.8772177113378458E-2</v>
      </c>
      <c r="J51" s="2">
        <v>8.4124711947763359E-2</v>
      </c>
      <c r="K51" s="2">
        <v>5.3525348343849005E-3</v>
      </c>
      <c r="L51" s="2"/>
      <c r="M51" s="2">
        <f t="shared" si="0"/>
        <v>7.7248489533352852E-2</v>
      </c>
      <c r="N51" s="2">
        <f t="shared" si="1"/>
        <v>8.2601024367737752E-2</v>
      </c>
      <c r="P51" s="2">
        <f t="shared" si="2"/>
        <v>1.0787721771133785</v>
      </c>
      <c r="Q51">
        <f t="shared" si="3"/>
        <v>1.0841247119477633</v>
      </c>
      <c r="S51">
        <f t="shared" si="5"/>
        <v>3.8458272599864776</v>
      </c>
      <c r="T51">
        <f t="shared" si="4"/>
        <v>3.6878083195246014</v>
      </c>
    </row>
    <row r="52" spans="1:20">
      <c r="A52" s="1">
        <v>41850</v>
      </c>
      <c r="B52" s="15">
        <v>-3.7997929769392001E-2</v>
      </c>
      <c r="C52" s="15">
        <v>2.1094716595517499E-2</v>
      </c>
      <c r="D52" s="15">
        <v>-8.7008960799632301E-2</v>
      </c>
      <c r="E52" s="15">
        <v>-4.51166268577506E-2</v>
      </c>
      <c r="F52" s="15">
        <v>-3.7257200207814353E-2</v>
      </c>
      <c r="G52">
        <v>1.7019893381874901E-3</v>
      </c>
      <c r="I52" s="2">
        <v>-3.7257200207814353E-2</v>
      </c>
      <c r="J52" s="2">
        <v>-2.5586816847147982E-2</v>
      </c>
      <c r="K52" s="2">
        <v>1.1670383360666371E-2</v>
      </c>
      <c r="L52" s="2"/>
      <c r="M52" s="2">
        <f t="shared" si="0"/>
        <v>-3.8959189546001846E-2</v>
      </c>
      <c r="N52" s="2">
        <f t="shared" si="1"/>
        <v>-2.7288806185335471E-2</v>
      </c>
      <c r="P52" s="2">
        <f t="shared" si="2"/>
        <v>0.96274279979218569</v>
      </c>
      <c r="Q52">
        <f t="shared" si="3"/>
        <v>0.97441318315285197</v>
      </c>
      <c r="S52">
        <f t="shared" si="5"/>
        <v>4.1487714460575917</v>
      </c>
      <c r="T52">
        <f t="shared" si="4"/>
        <v>3.9980441321231734</v>
      </c>
    </row>
    <row r="53" spans="1:20">
      <c r="A53" s="1">
        <v>41881</v>
      </c>
      <c r="B53" s="15">
        <v>-1.79787528732974E-2</v>
      </c>
      <c r="C53" s="15">
        <v>-0.233682143410852</v>
      </c>
      <c r="D53" s="15">
        <v>-0.11914559999999901</v>
      </c>
      <c r="E53" s="15">
        <v>0.181737759203798</v>
      </c>
      <c r="F53" s="15">
        <v>-4.7267184270087602E-2</v>
      </c>
      <c r="G53">
        <v>1.73402868318122E-3</v>
      </c>
      <c r="I53" s="2">
        <v>-4.7267184270087602E-2</v>
      </c>
      <c r="J53" s="2">
        <v>-8.4550176098240476E-2</v>
      </c>
      <c r="K53" s="2">
        <v>-3.7282991828152874E-2</v>
      </c>
      <c r="L53" s="2"/>
      <c r="M53" s="2">
        <f t="shared" si="0"/>
        <v>-4.900121295326882E-2</v>
      </c>
      <c r="N53" s="2">
        <f t="shared" si="1"/>
        <v>-8.6284204781421694E-2</v>
      </c>
      <c r="P53" s="2">
        <f t="shared" si="2"/>
        <v>0.95273281572991242</v>
      </c>
      <c r="Q53">
        <f t="shared" si="3"/>
        <v>0.91544982390175955</v>
      </c>
      <c r="S53">
        <f t="shared" si="5"/>
        <v>3.9941998376753607</v>
      </c>
      <c r="T53">
        <f t="shared" si="4"/>
        <v>3.8957469091677228</v>
      </c>
    </row>
    <row r="54" spans="1:20">
      <c r="A54" s="1">
        <v>41909</v>
      </c>
      <c r="B54" s="15">
        <v>0.15381420676322299</v>
      </c>
      <c r="C54" s="15">
        <v>0.15091766813017399</v>
      </c>
      <c r="D54" s="15">
        <v>6.2428302180467202E-2</v>
      </c>
      <c r="E54" s="15">
        <v>3.31686662648795E-2</v>
      </c>
      <c r="F54" s="15">
        <v>0.10008221083468592</v>
      </c>
      <c r="G54">
        <v>1.8094738223330201E-3</v>
      </c>
      <c r="I54" s="2">
        <v>0.10008221083468592</v>
      </c>
      <c r="J54" s="2">
        <v>0.11024930229378355</v>
      </c>
      <c r="K54" s="2">
        <v>1.0167091459097624E-2</v>
      </c>
      <c r="L54" s="2"/>
      <c r="M54" s="2">
        <f t="shared" si="0"/>
        <v>9.8272737012352895E-2</v>
      </c>
      <c r="N54" s="2">
        <f t="shared" si="1"/>
        <v>0.10843982847145053</v>
      </c>
      <c r="P54" s="2">
        <f t="shared" si="2"/>
        <v>1.1000822108346859</v>
      </c>
      <c r="Q54">
        <f t="shared" si="3"/>
        <v>1.1102493022937836</v>
      </c>
      <c r="S54">
        <f t="shared" si="5"/>
        <v>3.8054052579364055</v>
      </c>
      <c r="T54">
        <f t="shared" si="4"/>
        <v>3.566360821963416</v>
      </c>
    </row>
    <row r="55" spans="1:20">
      <c r="A55" s="1">
        <v>41942</v>
      </c>
      <c r="B55" s="15">
        <v>-0.169972336339167</v>
      </c>
      <c r="C55" s="15">
        <v>-8.9375658269441299E-2</v>
      </c>
      <c r="D55" s="15">
        <v>-0.244916553156553</v>
      </c>
      <c r="E55" s="15">
        <v>-6.6091815852894503E-2</v>
      </c>
      <c r="F55" s="15">
        <v>-0.14258909090451394</v>
      </c>
      <c r="G55">
        <v>1.9410906196099199E-3</v>
      </c>
      <c r="I55" s="2">
        <v>-0.14258909090451394</v>
      </c>
      <c r="J55" s="2">
        <v>-0.13194640437749944</v>
      </c>
      <c r="K55" s="2">
        <v>1.06426865270145E-2</v>
      </c>
      <c r="L55" s="2"/>
      <c r="M55" s="2">
        <f t="shared" si="0"/>
        <v>-0.14453018152412386</v>
      </c>
      <c r="N55" s="2">
        <f t="shared" si="1"/>
        <v>-0.13388749499710936</v>
      </c>
      <c r="P55" s="2">
        <f t="shared" si="2"/>
        <v>0.85741090909548601</v>
      </c>
      <c r="Q55">
        <f t="shared" si="3"/>
        <v>0.86805359562250062</v>
      </c>
      <c r="S55">
        <f t="shared" si="5"/>
        <v>4.1862586292726194</v>
      </c>
      <c r="T55">
        <f t="shared" si="4"/>
        <v>3.9595496143127673</v>
      </c>
    </row>
    <row r="56" spans="1:20">
      <c r="A56" s="1">
        <v>41972</v>
      </c>
      <c r="B56" s="15">
        <v>-0.27762492638848901</v>
      </c>
      <c r="C56" s="15">
        <v>9.2470533775206906E-2</v>
      </c>
      <c r="D56" s="15">
        <v>-7.5950788878298897E-2</v>
      </c>
      <c r="E56" s="15">
        <v>-0.14898733409588399</v>
      </c>
      <c r="F56" s="15">
        <v>-0.10252312889686625</v>
      </c>
      <c r="G56">
        <v>2.0304772089292798E-3</v>
      </c>
      <c r="I56" s="2">
        <v>-0.10252312889686625</v>
      </c>
      <c r="J56" s="2">
        <v>-6.3524396362451621E-2</v>
      </c>
      <c r="K56" s="2">
        <v>3.8998732534414632E-2</v>
      </c>
      <c r="L56" s="2"/>
      <c r="M56" s="2">
        <f t="shared" si="0"/>
        <v>-0.10455360610579553</v>
      </c>
      <c r="N56" s="2">
        <f t="shared" si="1"/>
        <v>-6.5554873571380901E-2</v>
      </c>
      <c r="P56" s="2">
        <f t="shared" si="2"/>
        <v>0.89747687110313379</v>
      </c>
      <c r="Q56">
        <f t="shared" si="3"/>
        <v>0.93647560363754834</v>
      </c>
      <c r="S56">
        <f t="shared" si="5"/>
        <v>3.5893438170334595</v>
      </c>
      <c r="T56">
        <f t="shared" si="4"/>
        <v>3.437101279749883</v>
      </c>
    </row>
    <row r="57" spans="1:20">
      <c r="A57" s="1">
        <v>42003</v>
      </c>
      <c r="B57" s="15">
        <v>-6.6359280947087401E-2</v>
      </c>
      <c r="C57" s="15">
        <v>3.4502407517946497E-2</v>
      </c>
      <c r="D57" s="15">
        <v>-6.1377375996193501E-2</v>
      </c>
      <c r="E57" s="15">
        <v>-6.1365880575651899E-2</v>
      </c>
      <c r="F57" s="15">
        <v>-3.8650032500246574E-2</v>
      </c>
      <c r="G57">
        <v>2.1212121212121201E-3</v>
      </c>
      <c r="I57" s="2">
        <v>-3.8650032500246574E-2</v>
      </c>
      <c r="J57" s="2">
        <v>-2.4019544496607963E-2</v>
      </c>
      <c r="K57" s="2">
        <v>1.4630488003638611E-2</v>
      </c>
      <c r="L57" s="2"/>
      <c r="M57" s="2">
        <f t="shared" si="0"/>
        <v>-4.0771244621458695E-2</v>
      </c>
      <c r="N57" s="2">
        <f t="shared" si="1"/>
        <v>-2.6140756617820084E-2</v>
      </c>
      <c r="P57" s="2">
        <f t="shared" si="2"/>
        <v>0.96134996749975343</v>
      </c>
      <c r="Q57">
        <f t="shared" si="3"/>
        <v>0.97598045550339207</v>
      </c>
      <c r="S57">
        <f t="shared" si="5"/>
        <v>3.2213530582245684</v>
      </c>
      <c r="T57">
        <f t="shared" si="4"/>
        <v>3.2187614957171617</v>
      </c>
    </row>
    <row r="58" spans="1:20">
      <c r="A58" s="1">
        <v>42034</v>
      </c>
      <c r="B58" s="15">
        <v>1.43869873308997E-2</v>
      </c>
      <c r="C58" s="15">
        <v>7.0357302764951099E-2</v>
      </c>
      <c r="D58" s="15">
        <v>0.16892654067030499</v>
      </c>
      <c r="E58" s="15">
        <v>2.5354584702650299E-2</v>
      </c>
      <c r="F58" s="15">
        <v>6.9756353867201526E-2</v>
      </c>
      <c r="G58">
        <v>2.2482308111050598E-3</v>
      </c>
      <c r="I58" s="2">
        <v>6.9756353867201526E-2</v>
      </c>
      <c r="J58" s="2">
        <v>6.9876543646751443E-2</v>
      </c>
      <c r="K58" s="2">
        <v>1.2018977954991739E-4</v>
      </c>
      <c r="L58" s="2"/>
      <c r="M58" s="2">
        <f t="shared" si="0"/>
        <v>6.7508123056096464E-2</v>
      </c>
      <c r="N58" s="2">
        <f t="shared" si="1"/>
        <v>6.7628312835646381E-2</v>
      </c>
      <c r="P58" s="2">
        <f t="shared" si="2"/>
        <v>1.0697563538672015</v>
      </c>
      <c r="Q58">
        <f t="shared" si="3"/>
        <v>1.0698765436467514</v>
      </c>
      <c r="S58">
        <f t="shared" si="5"/>
        <v>3.0968476578294202</v>
      </c>
      <c r="T58">
        <f t="shared" si="4"/>
        <v>3.141448310746815</v>
      </c>
    </row>
    <row r="59" spans="1:20">
      <c r="A59" s="1">
        <v>42062</v>
      </c>
      <c r="B59" s="15">
        <v>-0.107959415412387</v>
      </c>
      <c r="C59" s="15">
        <v>-0.113960198458783</v>
      </c>
      <c r="D59" s="15">
        <v>3.8378155645666802E-2</v>
      </c>
      <c r="E59" s="15">
        <v>-0.17328280890716699</v>
      </c>
      <c r="F59" s="15">
        <v>-8.9206066783167545E-2</v>
      </c>
      <c r="G59">
        <v>2.25991009399264E-3</v>
      </c>
      <c r="I59" s="2">
        <v>-8.9206066783167545E-2</v>
      </c>
      <c r="J59" s="2">
        <v>-9.4156893118290647E-2</v>
      </c>
      <c r="K59" s="2">
        <v>-4.9508263351231013E-3</v>
      </c>
      <c r="L59" s="2"/>
      <c r="M59" s="2">
        <f t="shared" si="0"/>
        <v>-9.1465976877160182E-2</v>
      </c>
      <c r="N59" s="2">
        <f t="shared" si="1"/>
        <v>-9.6416803212283284E-2</v>
      </c>
      <c r="P59" s="2">
        <f t="shared" si="2"/>
        <v>0.91079393321683244</v>
      </c>
      <c r="Q59">
        <f t="shared" si="3"/>
        <v>0.90584310688170933</v>
      </c>
      <c r="S59">
        <f t="shared" si="5"/>
        <v>3.3128724589217833</v>
      </c>
      <c r="T59">
        <f t="shared" si="4"/>
        <v>3.3609618607467282</v>
      </c>
    </row>
    <row r="60" spans="1:20">
      <c r="A60" s="1">
        <v>42091</v>
      </c>
      <c r="B60" s="15">
        <v>8.0446133850169396E-2</v>
      </c>
      <c r="C60" s="15">
        <v>8.1668291005876498E-2</v>
      </c>
      <c r="D60" s="15">
        <v>6.1077448956749297E-2</v>
      </c>
      <c r="E60" s="15">
        <v>8.1480642184720495E-2</v>
      </c>
      <c r="F60" s="15">
        <v>7.6168128999378915E-2</v>
      </c>
      <c r="G60">
        <v>2.29508196721311E-3</v>
      </c>
      <c r="I60" s="2">
        <v>7.6168128999378915E-2</v>
      </c>
      <c r="J60" s="2">
        <v>7.7268161400678437E-2</v>
      </c>
      <c r="K60" s="2">
        <v>1.1000324012995222E-3</v>
      </c>
      <c r="L60" s="2"/>
      <c r="M60" s="2">
        <f t="shared" si="0"/>
        <v>7.3873047032165809E-2</v>
      </c>
      <c r="N60" s="2">
        <f t="shared" si="1"/>
        <v>7.4973079433465331E-2</v>
      </c>
      <c r="P60" s="2">
        <f t="shared" si="2"/>
        <v>1.076168128999379</v>
      </c>
      <c r="Q60">
        <f t="shared" si="3"/>
        <v>1.0772681614006785</v>
      </c>
      <c r="S60">
        <f t="shared" si="5"/>
        <v>3.0173441371070902</v>
      </c>
      <c r="T60">
        <f t="shared" si="4"/>
        <v>3.0445041340497472</v>
      </c>
    </row>
    <row r="61" spans="1:20">
      <c r="A61" s="1">
        <v>42123</v>
      </c>
      <c r="B61" s="15">
        <v>5.03267984820654E-2</v>
      </c>
      <c r="C61" s="15">
        <v>0.17608400168747901</v>
      </c>
      <c r="D61" s="15">
        <v>-6.8680460553393496E-2</v>
      </c>
      <c r="E61" s="15">
        <v>2.6067594805523099E-2</v>
      </c>
      <c r="F61" s="15">
        <v>4.5949483605418499E-2</v>
      </c>
      <c r="G61">
        <v>2.2716116716662098E-3</v>
      </c>
      <c r="I61" s="2">
        <v>4.5949483605418499E-2</v>
      </c>
      <c r="J61" s="2">
        <v>7.1976387221830584E-2</v>
      </c>
      <c r="K61" s="2">
        <v>2.6026903616412085E-2</v>
      </c>
      <c r="L61" s="2"/>
      <c r="M61" s="2">
        <f t="shared" si="0"/>
        <v>4.3677871933752291E-2</v>
      </c>
      <c r="N61" s="2">
        <f t="shared" si="1"/>
        <v>6.9704775550164369E-2</v>
      </c>
      <c r="P61" s="2">
        <f t="shared" si="2"/>
        <v>1.0459494836054184</v>
      </c>
      <c r="Q61">
        <f t="shared" si="3"/>
        <v>1.0719763872218306</v>
      </c>
      <c r="S61">
        <f t="shared" si="5"/>
        <v>3.247169594577783</v>
      </c>
      <c r="T61">
        <f t="shared" si="4"/>
        <v>3.2797473708645359</v>
      </c>
    </row>
    <row r="62" spans="1:20">
      <c r="A62" s="1">
        <v>42154</v>
      </c>
      <c r="B62" s="15">
        <v>-0.100394111188427</v>
      </c>
      <c r="C62" s="15">
        <v>-0.126243271803477</v>
      </c>
      <c r="D62" s="15">
        <v>-1.65874270134721E-2</v>
      </c>
      <c r="E62" s="15">
        <v>0.116905915172861</v>
      </c>
      <c r="F62" s="15">
        <v>-3.1579723708128775E-2</v>
      </c>
      <c r="G62">
        <v>2.2716116716662098E-3</v>
      </c>
      <c r="I62" s="2">
        <v>-3.1579723708128775E-2</v>
      </c>
      <c r="J62" s="2">
        <v>-5.0512433327198403E-2</v>
      </c>
      <c r="K62" s="2">
        <v>-1.8932709619069628E-2</v>
      </c>
      <c r="L62" s="2"/>
      <c r="M62" s="2">
        <f t="shared" si="0"/>
        <v>-3.3851335379794983E-2</v>
      </c>
      <c r="N62" s="2">
        <f t="shared" si="1"/>
        <v>-5.2784044998864611E-2</v>
      </c>
      <c r="P62" s="2">
        <f t="shared" si="2"/>
        <v>0.96842027629187122</v>
      </c>
      <c r="Q62">
        <f t="shared" si="3"/>
        <v>0.94948756667280154</v>
      </c>
      <c r="S62">
        <f t="shared" si="5"/>
        <v>3.396375360627848</v>
      </c>
      <c r="T62">
        <f t="shared" si="4"/>
        <v>3.5158117376196629</v>
      </c>
    </row>
    <row r="63" spans="1:20">
      <c r="A63" s="1">
        <v>42182</v>
      </c>
      <c r="B63" s="15">
        <v>8.8309939781183705E-2</v>
      </c>
      <c r="C63" s="15">
        <v>2.59526793985052E-2</v>
      </c>
      <c r="D63" s="15">
        <v>8.78813904623678E-2</v>
      </c>
      <c r="E63" s="15">
        <v>4.9745694872941303E-2</v>
      </c>
      <c r="F63" s="15">
        <v>6.2972426128749495E-2</v>
      </c>
      <c r="G63">
        <v>2.20173535791757E-3</v>
      </c>
      <c r="I63" s="2">
        <v>6.2972426128749495E-2</v>
      </c>
      <c r="J63" s="2">
        <v>5.5568476782700646E-2</v>
      </c>
      <c r="K63" s="2">
        <v>-7.4039493460488492E-3</v>
      </c>
      <c r="L63" s="2"/>
      <c r="M63" s="2">
        <f t="shared" si="0"/>
        <v>6.0770690770831928E-2</v>
      </c>
      <c r="N63" s="2">
        <f t="shared" si="1"/>
        <v>5.3366741424783079E-2</v>
      </c>
      <c r="P63" s="2">
        <f t="shared" si="2"/>
        <v>1.0629724261287494</v>
      </c>
      <c r="Q63">
        <f t="shared" si="3"/>
        <v>1.0555684767827007</v>
      </c>
      <c r="S63">
        <f t="shared" si="5"/>
        <v>3.2891187651301244</v>
      </c>
      <c r="T63">
        <f t="shared" si="4"/>
        <v>3.3382195316321681</v>
      </c>
    </row>
    <row r="64" spans="1:20">
      <c r="A64" s="1">
        <v>42215</v>
      </c>
      <c r="B64" s="15">
        <v>3.26271391392556E-2</v>
      </c>
      <c r="C64" s="15">
        <v>-9.7548565546411795E-2</v>
      </c>
      <c r="D64" s="15">
        <v>-8.6509992365988594E-2</v>
      </c>
      <c r="E64" s="15">
        <v>7.9186101287642904E-2</v>
      </c>
      <c r="F64" s="15">
        <v>-1.8061329371375476E-2</v>
      </c>
      <c r="G64">
        <v>1.9856172592888498E-3</v>
      </c>
      <c r="I64" s="2">
        <v>-1.8061329371375476E-2</v>
      </c>
      <c r="J64" s="2">
        <v>-3.3958776606382732E-2</v>
      </c>
      <c r="K64" s="2">
        <v>-1.5897447235007255E-2</v>
      </c>
      <c r="L64" s="2"/>
      <c r="M64" s="2">
        <f t="shared" si="0"/>
        <v>-2.0046946630664326E-2</v>
      </c>
      <c r="N64" s="2">
        <f t="shared" si="1"/>
        <v>-3.5944393865671581E-2</v>
      </c>
      <c r="P64" s="2">
        <f t="shared" si="2"/>
        <v>0.9819386706286245</v>
      </c>
      <c r="Q64">
        <f t="shared" si="3"/>
        <v>0.96604122339361731</v>
      </c>
      <c r="S64">
        <f t="shared" si="5"/>
        <v>3.4962425535959647</v>
      </c>
      <c r="T64">
        <f t="shared" si="4"/>
        <v>3.5237193061712282</v>
      </c>
    </row>
    <row r="65" spans="19:20">
      <c r="S65">
        <f>S64*P64</f>
        <v>3.433095765273249</v>
      </c>
      <c r="T65">
        <f t="shared" si="4"/>
        <v>3.4040581094293616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ActivisionMonthlyReturns.csv</vt:lpstr>
      <vt:lpstr>NetEase Monthly Returns</vt:lpstr>
      <vt:lpstr>EA Monthly Returns</vt:lpstr>
      <vt:lpstr>TakeTwo Monthly Returns</vt:lpstr>
      <vt:lpstr>All Returns</vt:lpstr>
      <vt:lpstr>Histogram of Frequencies</vt:lpstr>
      <vt:lpstr>Factor Analysis</vt:lpstr>
      <vt:lpstr>Risk Analysis - ATVI|NTES</vt:lpstr>
      <vt:lpstr>RA - ATVI|EA</vt:lpstr>
      <vt:lpstr>RA - ATVI|TTWO</vt:lpstr>
      <vt:lpstr>RA - NTES|EA</vt:lpstr>
      <vt:lpstr>RA - NTES|TTWO</vt:lpstr>
      <vt:lpstr>RA - EA | TTWO</vt:lpstr>
      <vt:lpstr>Regression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noneofyourbeeswax</dc:creator>
  <cp:lastModifiedBy>noneofyourbeeswax</cp:lastModifiedBy>
  <dcterms:created xsi:type="dcterms:W3CDTF">2019-08-09T10:19:29Z</dcterms:created>
  <dcterms:modified xsi:type="dcterms:W3CDTF">2019-08-27T06:23:37Z</dcterms:modified>
</cp:coreProperties>
</file>