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6880" windowHeight="15220" tabRatio="552" firstSheet="1" activeTab="4"/>
  </bookViews>
  <sheets>
    <sheet name="Problem_Setup" sheetId="1" r:id="rId1"/>
    <sheet name="SS Rod Radial Profile_5" sheetId="2" r:id="rId2"/>
    <sheet name="SS Rod Radial Profile_10" sheetId="3" r:id="rId3"/>
    <sheet name="SS Rod Radial Profile_20" sheetId="4" r:id="rId4"/>
    <sheet name="Fuel_Centerline_Temperature" sheetId="5" r:id="rId5"/>
    <sheet name="Sheet6" sheetId="6" r:id="rId6"/>
    <sheet name="Sheet8" sheetId="7" r:id="rId7"/>
  </sheets>
  <definedNames>
    <definedName name="A_surf">Problem_Setup!$D$13</definedName>
    <definedName name="cp_in">Problem_Setup!$D$34</definedName>
    <definedName name="delta_clad">Problem_Setup!$H$34</definedName>
    <definedName name="delta_fluid">Problem_Setup!$H$35</definedName>
    <definedName name="delta_gap">Problem_Setup!$H$33</definedName>
    <definedName name="dT_clad">Problem_Setup!$H$34</definedName>
    <definedName name="dT_gap">Problem_Setup!$H$34</definedName>
    <definedName name="dz">Problem_Setup!$D$7</definedName>
    <definedName name="heat_gen">Problem_Setup!$D$26</definedName>
    <definedName name="hgap">Problem_Setup!$H$10</definedName>
    <definedName name="htc">Problem_Setup!$H$23</definedName>
    <definedName name="k_clad">Problem_Setup!$H$5</definedName>
    <definedName name="k_fuel">Problem_Setup!$H$4</definedName>
    <definedName name="L_chan">Problem_Setup!$D$6</definedName>
    <definedName name="M_dot">Problem_Setup!$D$30</definedName>
    <definedName name="Naxial">Problem_Setup!$D$5</definedName>
    <definedName name="q_dot">Problem_Setup!$D$25</definedName>
    <definedName name="q_lin">Problem_Setup!$D$23</definedName>
    <definedName name="R_fuel">Problem_Setup!$D$9</definedName>
    <definedName name="R_rod">Problem_Setup!$D$8</definedName>
    <definedName name="Rho_fuel">Problem_Setup!$H$6</definedName>
    <definedName name="t_btu_kw">Problem_Setup!$N$5</definedName>
    <definedName name="t_ft_m">Problem_Setup!$N$6</definedName>
    <definedName name="t_gap">Problem_Setup!$H$34</definedName>
    <definedName name="t_htc">Problem_Setup!$N$8</definedName>
    <definedName name="t_in">Problem_Setup!$D$32</definedName>
    <definedName name="t_lbm_kg">Problem_Setup!$N$9</definedName>
    <definedName name="t_R_K">Problem_Setup!$N$7</definedName>
    <definedName name="vol_fuel">Problem_Setup!$D$17</definedName>
  </definedName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" i="7" l="1"/>
  <c r="O21" i="7"/>
  <c r="O12" i="6"/>
  <c r="M13" i="7"/>
  <c r="N12" i="6"/>
  <c r="L13" i="7"/>
  <c r="M12" i="6"/>
  <c r="K13" i="7"/>
  <c r="L12" i="6"/>
  <c r="J13" i="7"/>
  <c r="K12" i="6"/>
  <c r="I13" i="7"/>
  <c r="J12" i="6"/>
  <c r="H13" i="7"/>
  <c r="I12" i="6"/>
  <c r="G13" i="7"/>
  <c r="H12" i="6"/>
  <c r="F13" i="7"/>
  <c r="G12" i="6"/>
  <c r="E13" i="7"/>
  <c r="F12" i="6"/>
  <c r="D13" i="7"/>
  <c r="D14" i="7"/>
  <c r="E14" i="7"/>
  <c r="F14" i="7"/>
  <c r="G14" i="7"/>
  <c r="H14" i="7"/>
  <c r="I14" i="7"/>
  <c r="J14" i="7"/>
  <c r="K14" i="7"/>
  <c r="L14" i="7"/>
  <c r="M14" i="7"/>
  <c r="D7" i="1"/>
  <c r="N6" i="1"/>
  <c r="D24" i="1"/>
  <c r="D9" i="1"/>
  <c r="D25" i="1"/>
  <c r="A25" i="1"/>
  <c r="M16" i="7"/>
  <c r="M24" i="7"/>
  <c r="N23" i="7"/>
  <c r="N24" i="7"/>
  <c r="O23" i="7"/>
  <c r="O24" i="7"/>
  <c r="O27" i="7"/>
  <c r="N22" i="7"/>
  <c r="N21" i="7"/>
  <c r="N27" i="7"/>
  <c r="M15" i="7"/>
  <c r="M22" i="7"/>
  <c r="M21" i="7"/>
  <c r="M27" i="7"/>
  <c r="L16" i="7"/>
  <c r="L24" i="7"/>
  <c r="L27" i="7"/>
  <c r="K16" i="7"/>
  <c r="K24" i="7"/>
  <c r="K27" i="7"/>
  <c r="J16" i="7"/>
  <c r="J24" i="7"/>
  <c r="J27" i="7"/>
  <c r="I16" i="7"/>
  <c r="I24" i="7"/>
  <c r="I27" i="7"/>
  <c r="H16" i="7"/>
  <c r="H24" i="7"/>
  <c r="H27" i="7"/>
  <c r="G16" i="7"/>
  <c r="G24" i="7"/>
  <c r="G27" i="7"/>
  <c r="F16" i="7"/>
  <c r="F24" i="7"/>
  <c r="F27" i="7"/>
  <c r="E16" i="7"/>
  <c r="E24" i="7"/>
  <c r="E27" i="7"/>
  <c r="D16" i="7"/>
  <c r="D24" i="7"/>
  <c r="D27" i="7"/>
  <c r="O26" i="7"/>
  <c r="N26" i="7"/>
  <c r="M23" i="7"/>
  <c r="M26" i="7"/>
  <c r="L23" i="7"/>
  <c r="L26" i="7"/>
  <c r="K23" i="7"/>
  <c r="K26" i="7"/>
  <c r="J23" i="7"/>
  <c r="J26" i="7"/>
  <c r="I23" i="7"/>
  <c r="I26" i="7"/>
  <c r="H23" i="7"/>
  <c r="H26" i="7"/>
  <c r="G23" i="7"/>
  <c r="G26" i="7"/>
  <c r="F23" i="7"/>
  <c r="F26" i="7"/>
  <c r="E23" i="7"/>
  <c r="E26" i="7"/>
  <c r="M25" i="7"/>
  <c r="L15" i="7"/>
  <c r="L22" i="7"/>
  <c r="L25" i="7"/>
  <c r="K15" i="7"/>
  <c r="K22" i="7"/>
  <c r="K25" i="7"/>
  <c r="J15" i="7"/>
  <c r="J22" i="7"/>
  <c r="J25" i="7"/>
  <c r="I15" i="7"/>
  <c r="I22" i="7"/>
  <c r="I25" i="7"/>
  <c r="H15" i="7"/>
  <c r="H22" i="7"/>
  <c r="H25" i="7"/>
  <c r="G15" i="7"/>
  <c r="G22" i="7"/>
  <c r="G25" i="7"/>
  <c r="F15" i="7"/>
  <c r="F22" i="7"/>
  <c r="F25" i="7"/>
  <c r="E15" i="7"/>
  <c r="E22" i="7"/>
  <c r="E25" i="7"/>
  <c r="D15" i="7"/>
  <c r="D22" i="7"/>
  <c r="D25" i="7"/>
  <c r="D23" i="7"/>
  <c r="R21" i="7"/>
  <c r="Q12" i="6"/>
  <c r="O13" i="7"/>
  <c r="P12" i="6"/>
  <c r="N13" i="7"/>
  <c r="N14" i="7"/>
  <c r="O14" i="7"/>
  <c r="M12" i="7"/>
  <c r="E10" i="7"/>
  <c r="E9" i="7"/>
  <c r="E8" i="7"/>
  <c r="E11" i="7"/>
  <c r="O14" i="6"/>
  <c r="F13" i="6"/>
  <c r="G13" i="6"/>
  <c r="H13" i="6"/>
  <c r="I13" i="6"/>
  <c r="J13" i="6"/>
  <c r="K13" i="6"/>
  <c r="L13" i="6"/>
  <c r="M13" i="6"/>
  <c r="N13" i="6"/>
  <c r="O13" i="6"/>
  <c r="G29" i="5"/>
  <c r="F29" i="5"/>
  <c r="E29" i="5"/>
  <c r="G28" i="5"/>
  <c r="F28" i="5"/>
  <c r="E28" i="5"/>
  <c r="G27" i="5"/>
  <c r="F27" i="5"/>
  <c r="E27" i="5"/>
  <c r="D14" i="4"/>
  <c r="E11" i="5"/>
  <c r="D25" i="5"/>
  <c r="D14" i="3"/>
  <c r="E10" i="5"/>
  <c r="D24" i="5"/>
  <c r="D14" i="2"/>
  <c r="E9" i="5"/>
  <c r="D23" i="5"/>
  <c r="D22" i="5"/>
  <c r="C12" i="4"/>
  <c r="N7" i="1"/>
  <c r="C19" i="4"/>
  <c r="J11" i="5"/>
  <c r="C14" i="3"/>
  <c r="H28" i="1"/>
  <c r="H33" i="1"/>
  <c r="D8" i="1"/>
  <c r="D10" i="1"/>
  <c r="H29" i="1"/>
  <c r="H34" i="1"/>
  <c r="C15" i="3"/>
  <c r="F9" i="5"/>
  <c r="F10" i="5"/>
  <c r="F11" i="5"/>
  <c r="P11" i="5"/>
  <c r="C19" i="3"/>
  <c r="J10" i="5"/>
  <c r="P10" i="5"/>
  <c r="C12" i="2"/>
  <c r="C19" i="2"/>
  <c r="J9" i="5"/>
  <c r="P9" i="5"/>
  <c r="P20" i="5"/>
  <c r="C11" i="4"/>
  <c r="C18" i="4"/>
  <c r="I11" i="5"/>
  <c r="O11" i="5"/>
  <c r="C11" i="3"/>
  <c r="C18" i="3"/>
  <c r="I10" i="5"/>
  <c r="O10" i="5"/>
  <c r="C11" i="2"/>
  <c r="C18" i="2"/>
  <c r="I9" i="5"/>
  <c r="O9" i="5"/>
  <c r="O20" i="5"/>
  <c r="C10" i="4"/>
  <c r="C17" i="4"/>
  <c r="H11" i="5"/>
  <c r="N11" i="5"/>
  <c r="C10" i="3"/>
  <c r="C17" i="3"/>
  <c r="H10" i="5"/>
  <c r="N10" i="5"/>
  <c r="C10" i="2"/>
  <c r="C17" i="2"/>
  <c r="H9" i="5"/>
  <c r="N9" i="5"/>
  <c r="N20" i="5"/>
  <c r="C9" i="4"/>
  <c r="C16" i="4"/>
  <c r="G11" i="5"/>
  <c r="M11" i="5"/>
  <c r="C9" i="3"/>
  <c r="C16" i="3"/>
  <c r="G10" i="5"/>
  <c r="M10" i="5"/>
  <c r="C9" i="2"/>
  <c r="C16" i="2"/>
  <c r="G9" i="5"/>
  <c r="M9" i="5"/>
  <c r="M20" i="5"/>
  <c r="P17" i="5"/>
  <c r="O17" i="5"/>
  <c r="N17" i="5"/>
  <c r="M17" i="5"/>
  <c r="H17" i="5"/>
  <c r="G17" i="5"/>
  <c r="P16" i="5"/>
  <c r="O16" i="5"/>
  <c r="N16" i="5"/>
  <c r="M16" i="5"/>
  <c r="H16" i="5"/>
  <c r="G16" i="5"/>
  <c r="P15" i="5"/>
  <c r="O15" i="5"/>
  <c r="N15" i="5"/>
  <c r="M15" i="5"/>
  <c r="H15" i="5"/>
  <c r="G15" i="5"/>
  <c r="H14" i="5"/>
  <c r="V11" i="5"/>
  <c r="U11" i="5"/>
  <c r="T11" i="5"/>
  <c r="S11" i="5"/>
  <c r="R11" i="5"/>
  <c r="K11" i="5"/>
  <c r="V10" i="5"/>
  <c r="U10" i="5"/>
  <c r="T10" i="5"/>
  <c r="S10" i="5"/>
  <c r="R10" i="5"/>
  <c r="K10" i="5"/>
  <c r="V9" i="5"/>
  <c r="U9" i="5"/>
  <c r="T9" i="5"/>
  <c r="S9" i="5"/>
  <c r="R9" i="5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O17" i="4"/>
  <c r="Z8" i="4"/>
  <c r="Z9" i="4"/>
  <c r="Z11" i="4"/>
  <c r="Z26" i="4"/>
  <c r="Z10" i="4"/>
  <c r="Z17" i="4"/>
  <c r="O26" i="4"/>
  <c r="O14" i="4"/>
  <c r="O15" i="4"/>
  <c r="Z23" i="4"/>
  <c r="O14" i="3"/>
  <c r="D13" i="1"/>
  <c r="N8" i="1"/>
  <c r="H23" i="1"/>
  <c r="H30" i="1"/>
  <c r="H35" i="1"/>
  <c r="Z15" i="4"/>
  <c r="O23" i="4"/>
  <c r="AO26" i="4"/>
  <c r="N17" i="4"/>
  <c r="N26" i="4"/>
  <c r="N14" i="4"/>
  <c r="N15" i="4"/>
  <c r="N23" i="4"/>
  <c r="AN26" i="4"/>
  <c r="M17" i="4"/>
  <c r="M26" i="4"/>
  <c r="M14" i="4"/>
  <c r="M15" i="4"/>
  <c r="M23" i="4"/>
  <c r="AM26" i="4"/>
  <c r="L17" i="4"/>
  <c r="L26" i="4"/>
  <c r="L14" i="4"/>
  <c r="L15" i="4"/>
  <c r="L23" i="4"/>
  <c r="AL26" i="4"/>
  <c r="K17" i="4"/>
  <c r="K26" i="4"/>
  <c r="K14" i="4"/>
  <c r="K15" i="4"/>
  <c r="K23" i="4"/>
  <c r="AK26" i="4"/>
  <c r="J17" i="4"/>
  <c r="J26" i="4"/>
  <c r="J14" i="4"/>
  <c r="J15" i="4"/>
  <c r="J23" i="4"/>
  <c r="AJ26" i="4"/>
  <c r="I17" i="4"/>
  <c r="I26" i="4"/>
  <c r="I14" i="4"/>
  <c r="I15" i="4"/>
  <c r="I23" i="4"/>
  <c r="AI26" i="4"/>
  <c r="H17" i="4"/>
  <c r="H26" i="4"/>
  <c r="H14" i="4"/>
  <c r="H15" i="4"/>
  <c r="H23" i="4"/>
  <c r="AH26" i="4"/>
  <c r="G17" i="4"/>
  <c r="G26" i="4"/>
  <c r="G14" i="4"/>
  <c r="G15" i="4"/>
  <c r="G23" i="4"/>
  <c r="AG26" i="4"/>
  <c r="F17" i="4"/>
  <c r="F26" i="4"/>
  <c r="F14" i="4"/>
  <c r="F15" i="4"/>
  <c r="F23" i="4"/>
  <c r="AF26" i="4"/>
  <c r="E17" i="4"/>
  <c r="E26" i="4"/>
  <c r="E14" i="4"/>
  <c r="E15" i="4"/>
  <c r="E23" i="4"/>
  <c r="AE26" i="4"/>
  <c r="D17" i="4"/>
  <c r="D26" i="4"/>
  <c r="D15" i="4"/>
  <c r="D23" i="4"/>
  <c r="AD26" i="4"/>
  <c r="C26" i="4"/>
  <c r="C14" i="4"/>
  <c r="C15" i="4"/>
  <c r="C23" i="4"/>
  <c r="AC26" i="4"/>
  <c r="Y17" i="4"/>
  <c r="Y26" i="4"/>
  <c r="X17" i="4"/>
  <c r="X26" i="4"/>
  <c r="W17" i="4"/>
  <c r="W26" i="4"/>
  <c r="V17" i="4"/>
  <c r="V26" i="4"/>
  <c r="U17" i="4"/>
  <c r="U26" i="4"/>
  <c r="T17" i="4"/>
  <c r="T26" i="4"/>
  <c r="S17" i="4"/>
  <c r="S26" i="4"/>
  <c r="R17" i="4"/>
  <c r="R26" i="4"/>
  <c r="Q17" i="4"/>
  <c r="Q26" i="4"/>
  <c r="P17" i="4"/>
  <c r="P26" i="4"/>
  <c r="Z25" i="4"/>
  <c r="O25" i="4"/>
  <c r="AO25" i="4"/>
  <c r="N25" i="4"/>
  <c r="AN25" i="4"/>
  <c r="M25" i="4"/>
  <c r="AM25" i="4"/>
  <c r="L25" i="4"/>
  <c r="AL25" i="4"/>
  <c r="K25" i="4"/>
  <c r="AK25" i="4"/>
  <c r="J25" i="4"/>
  <c r="AJ25" i="4"/>
  <c r="I25" i="4"/>
  <c r="AI25" i="4"/>
  <c r="H25" i="4"/>
  <c r="AH25" i="4"/>
  <c r="G25" i="4"/>
  <c r="AG25" i="4"/>
  <c r="F25" i="4"/>
  <c r="AF25" i="4"/>
  <c r="E25" i="4"/>
  <c r="AE25" i="4"/>
  <c r="D25" i="4"/>
  <c r="AD25" i="4"/>
  <c r="C25" i="4"/>
  <c r="AC25" i="4"/>
  <c r="Y25" i="4"/>
  <c r="X25" i="4"/>
  <c r="W25" i="4"/>
  <c r="V25" i="4"/>
  <c r="U25" i="4"/>
  <c r="T25" i="4"/>
  <c r="S25" i="4"/>
  <c r="R25" i="4"/>
  <c r="Q25" i="4"/>
  <c r="P25" i="4"/>
  <c r="O16" i="4"/>
  <c r="Z24" i="4"/>
  <c r="Z16" i="4"/>
  <c r="O24" i="4"/>
  <c r="AO24" i="4"/>
  <c r="N16" i="4"/>
  <c r="N24" i="4"/>
  <c r="AN24" i="4"/>
  <c r="M16" i="4"/>
  <c r="M24" i="4"/>
  <c r="AM24" i="4"/>
  <c r="L16" i="4"/>
  <c r="L24" i="4"/>
  <c r="AL24" i="4"/>
  <c r="K16" i="4"/>
  <c r="K24" i="4"/>
  <c r="AK24" i="4"/>
  <c r="J16" i="4"/>
  <c r="J24" i="4"/>
  <c r="AJ24" i="4"/>
  <c r="I16" i="4"/>
  <c r="I24" i="4"/>
  <c r="AI24" i="4"/>
  <c r="H16" i="4"/>
  <c r="H24" i="4"/>
  <c r="AH24" i="4"/>
  <c r="G16" i="4"/>
  <c r="G24" i="4"/>
  <c r="AG24" i="4"/>
  <c r="F16" i="4"/>
  <c r="F24" i="4"/>
  <c r="AF24" i="4"/>
  <c r="E16" i="4"/>
  <c r="E24" i="4"/>
  <c r="AE24" i="4"/>
  <c r="D16" i="4"/>
  <c r="D24" i="4"/>
  <c r="AD24" i="4"/>
  <c r="C24" i="4"/>
  <c r="AC24" i="4"/>
  <c r="Y16" i="4"/>
  <c r="Y24" i="4"/>
  <c r="X16" i="4"/>
  <c r="X24" i="4"/>
  <c r="W16" i="4"/>
  <c r="W24" i="4"/>
  <c r="V16" i="4"/>
  <c r="V24" i="4"/>
  <c r="U16" i="4"/>
  <c r="U24" i="4"/>
  <c r="T16" i="4"/>
  <c r="T24" i="4"/>
  <c r="S16" i="4"/>
  <c r="S24" i="4"/>
  <c r="R16" i="4"/>
  <c r="R24" i="4"/>
  <c r="Q16" i="4"/>
  <c r="Q24" i="4"/>
  <c r="P16" i="4"/>
  <c r="P24" i="4"/>
  <c r="Y23" i="4"/>
  <c r="X15" i="4"/>
  <c r="X23" i="4"/>
  <c r="W15" i="4"/>
  <c r="W23" i="4"/>
  <c r="V14" i="4"/>
  <c r="V15" i="4"/>
  <c r="V23" i="4"/>
  <c r="U14" i="4"/>
  <c r="U15" i="4"/>
  <c r="U23" i="4"/>
  <c r="T14" i="4"/>
  <c r="T15" i="4"/>
  <c r="T23" i="4"/>
  <c r="S14" i="4"/>
  <c r="S15" i="4"/>
  <c r="S23" i="4"/>
  <c r="R14" i="4"/>
  <c r="R15" i="4"/>
  <c r="R23" i="4"/>
  <c r="Q14" i="4"/>
  <c r="Q15" i="4"/>
  <c r="Q23" i="4"/>
  <c r="P14" i="4"/>
  <c r="P15" i="4"/>
  <c r="P23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Z12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Y14" i="4"/>
  <c r="X14" i="4"/>
  <c r="W14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P7" i="3"/>
  <c r="P8" i="3"/>
  <c r="P9" i="3"/>
  <c r="P10" i="3"/>
  <c r="P27" i="3"/>
  <c r="O19" i="3"/>
  <c r="P19" i="3"/>
  <c r="O27" i="3"/>
  <c r="N19" i="3"/>
  <c r="N27" i="3"/>
  <c r="M19" i="3"/>
  <c r="M27" i="3"/>
  <c r="L19" i="3"/>
  <c r="L27" i="3"/>
  <c r="K19" i="3"/>
  <c r="K27" i="3"/>
  <c r="J19" i="3"/>
  <c r="J27" i="3"/>
  <c r="I19" i="3"/>
  <c r="I27" i="3"/>
  <c r="H19" i="3"/>
  <c r="H27" i="3"/>
  <c r="G19" i="3"/>
  <c r="G27" i="3"/>
  <c r="F19" i="3"/>
  <c r="F27" i="3"/>
  <c r="E19" i="3"/>
  <c r="E27" i="3"/>
  <c r="D19" i="3"/>
  <c r="D27" i="3"/>
  <c r="C27" i="3"/>
  <c r="O18" i="3"/>
  <c r="P26" i="3"/>
  <c r="P18" i="3"/>
  <c r="O26" i="3"/>
  <c r="P23" i="3"/>
  <c r="P15" i="3"/>
  <c r="O23" i="3"/>
  <c r="AD26" i="3"/>
  <c r="N18" i="3"/>
  <c r="N26" i="3"/>
  <c r="N15" i="3"/>
  <c r="N23" i="3"/>
  <c r="AC26" i="3"/>
  <c r="M18" i="3"/>
  <c r="M26" i="3"/>
  <c r="M15" i="3"/>
  <c r="M23" i="3"/>
  <c r="AB26" i="3"/>
  <c r="L18" i="3"/>
  <c r="L26" i="3"/>
  <c r="L14" i="3"/>
  <c r="L15" i="3"/>
  <c r="L23" i="3"/>
  <c r="AA26" i="3"/>
  <c r="K18" i="3"/>
  <c r="K26" i="3"/>
  <c r="K14" i="3"/>
  <c r="K15" i="3"/>
  <c r="K23" i="3"/>
  <c r="Z26" i="3"/>
  <c r="J18" i="3"/>
  <c r="J26" i="3"/>
  <c r="J14" i="3"/>
  <c r="J15" i="3"/>
  <c r="J23" i="3"/>
  <c r="Y26" i="3"/>
  <c r="I18" i="3"/>
  <c r="I26" i="3"/>
  <c r="I14" i="3"/>
  <c r="I15" i="3"/>
  <c r="I23" i="3"/>
  <c r="X26" i="3"/>
  <c r="H18" i="3"/>
  <c r="H26" i="3"/>
  <c r="H14" i="3"/>
  <c r="H15" i="3"/>
  <c r="H23" i="3"/>
  <c r="W26" i="3"/>
  <c r="G18" i="3"/>
  <c r="G26" i="3"/>
  <c r="G14" i="3"/>
  <c r="G15" i="3"/>
  <c r="G23" i="3"/>
  <c r="V26" i="3"/>
  <c r="F18" i="3"/>
  <c r="F26" i="3"/>
  <c r="F14" i="3"/>
  <c r="F15" i="3"/>
  <c r="F23" i="3"/>
  <c r="U26" i="3"/>
  <c r="E18" i="3"/>
  <c r="E26" i="3"/>
  <c r="E14" i="3"/>
  <c r="E15" i="3"/>
  <c r="E23" i="3"/>
  <c r="T26" i="3"/>
  <c r="D18" i="3"/>
  <c r="D26" i="3"/>
  <c r="D15" i="3"/>
  <c r="D23" i="3"/>
  <c r="S26" i="3"/>
  <c r="C26" i="3"/>
  <c r="C23" i="3"/>
  <c r="R26" i="3"/>
  <c r="O17" i="3"/>
  <c r="P11" i="3"/>
  <c r="P25" i="3"/>
  <c r="P17" i="3"/>
  <c r="O25" i="3"/>
  <c r="AD25" i="3"/>
  <c r="N17" i="3"/>
  <c r="N25" i="3"/>
  <c r="AC25" i="3"/>
  <c r="M17" i="3"/>
  <c r="M25" i="3"/>
  <c r="AB25" i="3"/>
  <c r="L17" i="3"/>
  <c r="L25" i="3"/>
  <c r="AA25" i="3"/>
  <c r="K17" i="3"/>
  <c r="K25" i="3"/>
  <c r="Z25" i="3"/>
  <c r="J17" i="3"/>
  <c r="J25" i="3"/>
  <c r="Y25" i="3"/>
  <c r="I17" i="3"/>
  <c r="I25" i="3"/>
  <c r="X25" i="3"/>
  <c r="H17" i="3"/>
  <c r="H25" i="3"/>
  <c r="W25" i="3"/>
  <c r="G17" i="3"/>
  <c r="G25" i="3"/>
  <c r="V25" i="3"/>
  <c r="F17" i="3"/>
  <c r="F25" i="3"/>
  <c r="U25" i="3"/>
  <c r="E17" i="3"/>
  <c r="E25" i="3"/>
  <c r="T25" i="3"/>
  <c r="D17" i="3"/>
  <c r="D25" i="3"/>
  <c r="S25" i="3"/>
  <c r="C25" i="3"/>
  <c r="R25" i="3"/>
  <c r="O16" i="3"/>
  <c r="P24" i="3"/>
  <c r="P16" i="3"/>
  <c r="O24" i="3"/>
  <c r="AD24" i="3"/>
  <c r="N16" i="3"/>
  <c r="N24" i="3"/>
  <c r="AC24" i="3"/>
  <c r="M16" i="3"/>
  <c r="M24" i="3"/>
  <c r="AB24" i="3"/>
  <c r="L16" i="3"/>
  <c r="L24" i="3"/>
  <c r="AA24" i="3"/>
  <c r="K16" i="3"/>
  <c r="K24" i="3"/>
  <c r="Z24" i="3"/>
  <c r="J16" i="3"/>
  <c r="J24" i="3"/>
  <c r="Y24" i="3"/>
  <c r="I16" i="3"/>
  <c r="I24" i="3"/>
  <c r="X24" i="3"/>
  <c r="H16" i="3"/>
  <c r="H24" i="3"/>
  <c r="W24" i="3"/>
  <c r="G16" i="3"/>
  <c r="G24" i="3"/>
  <c r="V24" i="3"/>
  <c r="F16" i="3"/>
  <c r="F24" i="3"/>
  <c r="U24" i="3"/>
  <c r="E16" i="3"/>
  <c r="E24" i="3"/>
  <c r="T24" i="3"/>
  <c r="D16" i="3"/>
  <c r="D24" i="3"/>
  <c r="S24" i="3"/>
  <c r="C24" i="3"/>
  <c r="R24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N14" i="3"/>
  <c r="M14" i="3"/>
  <c r="D7" i="3"/>
  <c r="P13" i="3"/>
  <c r="P12" i="3"/>
  <c r="O7" i="3"/>
  <c r="N7" i="3"/>
  <c r="M7" i="3"/>
  <c r="L7" i="3"/>
  <c r="K7" i="3"/>
  <c r="J7" i="3"/>
  <c r="I7" i="3"/>
  <c r="H7" i="3"/>
  <c r="G7" i="3"/>
  <c r="F7" i="3"/>
  <c r="E7" i="3"/>
  <c r="E19" i="2"/>
  <c r="K8" i="2"/>
  <c r="K9" i="2"/>
  <c r="K11" i="2"/>
  <c r="K10" i="2"/>
  <c r="K12" i="2"/>
  <c r="K27" i="2"/>
  <c r="K19" i="2"/>
  <c r="E27" i="2"/>
  <c r="E14" i="2"/>
  <c r="E15" i="2"/>
  <c r="K23" i="2"/>
  <c r="K15" i="2"/>
  <c r="E23" i="2"/>
  <c r="O27" i="2"/>
  <c r="Y27" i="2"/>
  <c r="D19" i="2"/>
  <c r="D27" i="2"/>
  <c r="D15" i="2"/>
  <c r="D23" i="2"/>
  <c r="N27" i="2"/>
  <c r="X27" i="2"/>
  <c r="C27" i="2"/>
  <c r="C14" i="2"/>
  <c r="C15" i="2"/>
  <c r="C23" i="2"/>
  <c r="M27" i="2"/>
  <c r="W27" i="2"/>
  <c r="V27" i="2"/>
  <c r="U27" i="2"/>
  <c r="J19" i="2"/>
  <c r="J27" i="2"/>
  <c r="J23" i="2"/>
  <c r="T27" i="2"/>
  <c r="I19" i="2"/>
  <c r="I27" i="2"/>
  <c r="I15" i="2"/>
  <c r="I23" i="2"/>
  <c r="S27" i="2"/>
  <c r="H19" i="2"/>
  <c r="H27" i="2"/>
  <c r="H15" i="2"/>
  <c r="H23" i="2"/>
  <c r="R27" i="2"/>
  <c r="G19" i="2"/>
  <c r="G27" i="2"/>
  <c r="G14" i="2"/>
  <c r="G15" i="2"/>
  <c r="G23" i="2"/>
  <c r="Q27" i="2"/>
  <c r="F19" i="2"/>
  <c r="F27" i="2"/>
  <c r="F14" i="2"/>
  <c r="F15" i="2"/>
  <c r="F23" i="2"/>
  <c r="P27" i="2"/>
  <c r="E18" i="2"/>
  <c r="K26" i="2"/>
  <c r="K18" i="2"/>
  <c r="E26" i="2"/>
  <c r="O26" i="2"/>
  <c r="Y26" i="2"/>
  <c r="D18" i="2"/>
  <c r="D26" i="2"/>
  <c r="N26" i="2"/>
  <c r="X26" i="2"/>
  <c r="C26" i="2"/>
  <c r="M26" i="2"/>
  <c r="W26" i="2"/>
  <c r="V26" i="2"/>
  <c r="U26" i="2"/>
  <c r="J18" i="2"/>
  <c r="J26" i="2"/>
  <c r="T26" i="2"/>
  <c r="I18" i="2"/>
  <c r="I26" i="2"/>
  <c r="S26" i="2"/>
  <c r="H18" i="2"/>
  <c r="H26" i="2"/>
  <c r="R26" i="2"/>
  <c r="G18" i="2"/>
  <c r="G26" i="2"/>
  <c r="Q26" i="2"/>
  <c r="F18" i="2"/>
  <c r="F26" i="2"/>
  <c r="P26" i="2"/>
  <c r="E17" i="2"/>
  <c r="K25" i="2"/>
  <c r="K17" i="2"/>
  <c r="E25" i="2"/>
  <c r="O25" i="2"/>
  <c r="Y25" i="2"/>
  <c r="D17" i="2"/>
  <c r="D25" i="2"/>
  <c r="N25" i="2"/>
  <c r="X25" i="2"/>
  <c r="C25" i="2"/>
  <c r="M25" i="2"/>
  <c r="W25" i="2"/>
  <c r="V25" i="2"/>
  <c r="U25" i="2"/>
  <c r="J17" i="2"/>
  <c r="J25" i="2"/>
  <c r="T25" i="2"/>
  <c r="I17" i="2"/>
  <c r="I25" i="2"/>
  <c r="S25" i="2"/>
  <c r="H17" i="2"/>
  <c r="H25" i="2"/>
  <c r="R25" i="2"/>
  <c r="G17" i="2"/>
  <c r="G25" i="2"/>
  <c r="Q25" i="2"/>
  <c r="F17" i="2"/>
  <c r="F25" i="2"/>
  <c r="P25" i="2"/>
  <c r="E16" i="2"/>
  <c r="K24" i="2"/>
  <c r="K16" i="2"/>
  <c r="E24" i="2"/>
  <c r="O24" i="2"/>
  <c r="Y24" i="2"/>
  <c r="D16" i="2"/>
  <c r="D24" i="2"/>
  <c r="N24" i="2"/>
  <c r="X24" i="2"/>
  <c r="C24" i="2"/>
  <c r="M24" i="2"/>
  <c r="W24" i="2"/>
  <c r="V24" i="2"/>
  <c r="U24" i="2"/>
  <c r="J16" i="2"/>
  <c r="J24" i="2"/>
  <c r="T24" i="2"/>
  <c r="I16" i="2"/>
  <c r="I24" i="2"/>
  <c r="S24" i="2"/>
  <c r="H16" i="2"/>
  <c r="H24" i="2"/>
  <c r="R24" i="2"/>
  <c r="G16" i="2"/>
  <c r="G24" i="2"/>
  <c r="Q24" i="2"/>
  <c r="F16" i="2"/>
  <c r="F24" i="2"/>
  <c r="P24" i="2"/>
  <c r="J22" i="2"/>
  <c r="I22" i="2"/>
  <c r="H22" i="2"/>
  <c r="G22" i="2"/>
  <c r="F22" i="2"/>
  <c r="E22" i="2"/>
  <c r="D22" i="2"/>
  <c r="C22" i="2"/>
  <c r="O16" i="2"/>
  <c r="Y19" i="2"/>
  <c r="N16" i="2"/>
  <c r="X19" i="2"/>
  <c r="M16" i="2"/>
  <c r="W19" i="2"/>
  <c r="V19" i="2"/>
  <c r="U19" i="2"/>
  <c r="T19" i="2"/>
  <c r="S19" i="2"/>
  <c r="R19" i="2"/>
  <c r="Q19" i="2"/>
  <c r="P19" i="2"/>
  <c r="O19" i="2"/>
  <c r="N19" i="2"/>
  <c r="M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Y16" i="2"/>
  <c r="X16" i="2"/>
  <c r="W16" i="2"/>
  <c r="V16" i="2"/>
  <c r="U16" i="2"/>
  <c r="T16" i="2"/>
  <c r="S16" i="2"/>
  <c r="R16" i="2"/>
  <c r="Q16" i="2"/>
  <c r="P16" i="2"/>
  <c r="J14" i="2"/>
  <c r="I14" i="2"/>
  <c r="H14" i="2"/>
  <c r="D7" i="2"/>
  <c r="K13" i="2"/>
  <c r="Y10" i="2"/>
  <c r="X10" i="2"/>
  <c r="W10" i="2"/>
  <c r="V10" i="2"/>
  <c r="U10" i="2"/>
  <c r="T10" i="2"/>
  <c r="S10" i="2"/>
  <c r="R10" i="2"/>
  <c r="Q10" i="2"/>
  <c r="N9" i="1"/>
  <c r="P10" i="2"/>
  <c r="O10" i="2"/>
  <c r="N10" i="2"/>
  <c r="J7" i="2"/>
  <c r="I7" i="2"/>
  <c r="H7" i="2"/>
  <c r="G7" i="2"/>
  <c r="F7" i="2"/>
  <c r="E7" i="2"/>
  <c r="B37" i="1"/>
  <c r="D37" i="1"/>
  <c r="A23" i="1"/>
  <c r="A27" i="1"/>
  <c r="D26" i="1"/>
  <c r="A26" i="1"/>
  <c r="H24" i="1"/>
  <c r="A24" i="1"/>
  <c r="H18" i="1"/>
  <c r="D17" i="1"/>
  <c r="D18" i="1"/>
  <c r="D15" i="1"/>
  <c r="D14" i="1"/>
  <c r="D11" i="1"/>
  <c r="G19" i="5"/>
  <c r="S20" i="5"/>
  <c r="T20" i="5"/>
  <c r="U20" i="5"/>
  <c r="V20" i="5"/>
</calcChain>
</file>

<file path=xl/sharedStrings.xml><?xml version="1.0" encoding="utf-8"?>
<sst xmlns="http://schemas.openxmlformats.org/spreadsheetml/2006/main" count="331" uniqueCount="155">
  <si>
    <t>x</t>
  </si>
  <si>
    <t>X/1</t>
  </si>
  <si>
    <t>Geometry</t>
  </si>
  <si>
    <t>Solid  Properties</t>
  </si>
  <si>
    <t>Unit Conversions</t>
  </si>
  <si>
    <t>Nradial</t>
  </si>
  <si>
    <t>k_fuel</t>
  </si>
  <si>
    <t>W/m-k</t>
  </si>
  <si>
    <t>FROM</t>
  </si>
  <si>
    <t>TO</t>
  </si>
  <si>
    <t>TO/FROM</t>
  </si>
  <si>
    <t>Naxial</t>
  </si>
  <si>
    <t>k_clad</t>
  </si>
  <si>
    <t>BTU/sec</t>
  </si>
  <si>
    <t>KW</t>
  </si>
  <si>
    <t>L_chan</t>
  </si>
  <si>
    <t>m</t>
  </si>
  <si>
    <t>rho_fuel</t>
  </si>
  <si>
    <t>kg/m^3</t>
  </si>
  <si>
    <t>ft</t>
  </si>
  <si>
    <t>dz</t>
  </si>
  <si>
    <t>rho_clad</t>
  </si>
  <si>
    <t>R</t>
  </si>
  <si>
    <t>K</t>
  </si>
  <si>
    <t>r_rod</t>
  </si>
  <si>
    <t>cm</t>
  </si>
  <si>
    <t>cp_fuel</t>
  </si>
  <si>
    <t>kJ/kg-K</t>
  </si>
  <si>
    <t>BTU/hr-ft^2-F</t>
  </si>
  <si>
    <t>W/m^2-K</t>
  </si>
  <si>
    <t>r_fuel</t>
  </si>
  <si>
    <t>cp_clad</t>
  </si>
  <si>
    <t>lbm</t>
  </si>
  <si>
    <t>kg</t>
  </si>
  <si>
    <t>t_clad</t>
  </si>
  <si>
    <t>hgap</t>
  </si>
  <si>
    <t>t_gap</t>
  </si>
  <si>
    <t>pitch</t>
  </si>
  <si>
    <t>A_surf</t>
  </si>
  <si>
    <t>m^2</t>
  </si>
  <si>
    <t>A_mom</t>
  </si>
  <si>
    <t>wett. Perimeter</t>
  </si>
  <si>
    <t>Dittus-Boetler</t>
  </si>
  <si>
    <t>hyd. Diameter</t>
  </si>
  <si>
    <t>kl</t>
  </si>
  <si>
    <t>btu/hr-ft-F</t>
  </si>
  <si>
    <t>volume fuel</t>
  </si>
  <si>
    <t>m^3</t>
  </si>
  <si>
    <t>De</t>
  </si>
  <si>
    <t>Ft^2</t>
  </si>
  <si>
    <t>mass fuel</t>
  </si>
  <si>
    <t>L/D</t>
  </si>
  <si>
    <t>L/D&gt;10</t>
  </si>
  <si>
    <t>Nu</t>
  </si>
  <si>
    <t>Re</t>
  </si>
  <si>
    <t>Re&gt;10000</t>
  </si>
  <si>
    <t>Pr</t>
  </si>
  <si>
    <t>0.6&gt;Pr&gt;6.1</t>
  </si>
  <si>
    <t>Rod Power</t>
  </si>
  <si>
    <t>htc</t>
  </si>
  <si>
    <t>btu/sec-ft^2-F</t>
  </si>
  <si>
    <t>BTU/sec/ft</t>
  </si>
  <si>
    <t>q'</t>
  </si>
  <si>
    <t>kW/m</t>
  </si>
  <si>
    <t>q</t>
  </si>
  <si>
    <t>kW</t>
  </si>
  <si>
    <t>Tw-Tf</t>
  </si>
  <si>
    <t>BTU/sec/ft^3</t>
  </si>
  <si>
    <t>q_dot</t>
  </si>
  <si>
    <t>kW/m^3</t>
  </si>
  <si>
    <t>BTU/sec/m^2</t>
  </si>
  <si>
    <t>q''</t>
  </si>
  <si>
    <t>kW/m^2</t>
  </si>
  <si>
    <t>BTU/sec/level</t>
  </si>
  <si>
    <t>Thermal Resistances</t>
  </si>
  <si>
    <t>R_gap</t>
  </si>
  <si>
    <t>K/W</t>
  </si>
  <si>
    <t>Fluid Condtions</t>
  </si>
  <si>
    <t>R_clad</t>
  </si>
  <si>
    <t>m_dot</t>
  </si>
  <si>
    <t>kg/sec</t>
  </si>
  <si>
    <t>R_fluid</t>
  </si>
  <si>
    <t>Pref</t>
  </si>
  <si>
    <t>Mpa</t>
  </si>
  <si>
    <t>T_in</t>
  </si>
  <si>
    <t>C</t>
  </si>
  <si>
    <t>Temperature Drops</t>
  </si>
  <si>
    <t>h_in</t>
  </si>
  <si>
    <t>kJ/kg</t>
  </si>
  <si>
    <t>T_gap</t>
  </si>
  <si>
    <t>cp_in</t>
  </si>
  <si>
    <t>kJ/kg-k</t>
  </si>
  <si>
    <t>T_clad</t>
  </si>
  <si>
    <t>kl_in</t>
  </si>
  <si>
    <t>W/m-K</t>
  </si>
  <si>
    <t>T_fluid</t>
  </si>
  <si>
    <t>mu_in</t>
  </si>
  <si>
    <t>Pa-s</t>
  </si>
  <si>
    <t>cp_bar</t>
  </si>
  <si>
    <t>T_out</t>
  </si>
  <si>
    <t>cp_out</t>
  </si>
  <si>
    <t>kl_out</t>
  </si>
  <si>
    <t>mu_out</t>
  </si>
  <si>
    <t>AXIAL LEVEL 3 5 Radial Nodes</t>
  </si>
  <si>
    <t>Raw Data</t>
  </si>
  <si>
    <t>dr [ft]</t>
  </si>
  <si>
    <t>FLUID</t>
  </si>
  <si>
    <t>r [ft]</t>
  </si>
  <si>
    <t>T(r) [F]</t>
  </si>
  <si>
    <t>Semi-implicit Trans</t>
  </si>
  <si>
    <t>Implicit Trans</t>
  </si>
  <si>
    <t>Balance Checks</t>
  </si>
  <si>
    <t>Implicit SS</t>
  </si>
  <si>
    <t>Original</t>
  </si>
  <si>
    <t>Relative Temperature Difference</t>
  </si>
  <si>
    <t>r [cm]</t>
  </si>
  <si>
    <t>T(r)-T(s) [C]</t>
  </si>
  <si>
    <t>Analytical</t>
  </si>
  <si>
    <t>Difference</t>
  </si>
  <si>
    <t>Absolute Temperature Difference</t>
  </si>
  <si>
    <t>T(r)[C]</t>
  </si>
  <si>
    <t>Relative Difference</t>
  </si>
  <si>
    <t>DATA</t>
  </si>
  <si>
    <t>AXIAL LEVEL 3 10 Radial Nodes</t>
  </si>
  <si>
    <t>AXIAL LEVEL 3 20 Radial Nodes</t>
  </si>
  <si>
    <t>Axial Centerline Temperature [K]</t>
  </si>
  <si>
    <t>Fuel Centerline Temperature Difference [K]</t>
  </si>
  <si>
    <t>delta_R_1 [cm]</t>
  </si>
  <si>
    <t>EXACT</t>
  </si>
  <si>
    <t>NR</t>
  </si>
  <si>
    <t>Fuel Centerline Temperature Error [%]</t>
  </si>
  <si>
    <t>1/N</t>
  </si>
  <si>
    <t>Order of Accuracies</t>
  </si>
  <si>
    <t>dt</t>
  </si>
  <si>
    <t>Original Semi-implic</t>
  </si>
  <si>
    <t>r</t>
  </si>
  <si>
    <t>rb</t>
  </si>
  <si>
    <t>A</t>
  </si>
  <si>
    <t>A_calc</t>
  </si>
  <si>
    <t>A_total</t>
  </si>
  <si>
    <t>NODE 10</t>
  </si>
  <si>
    <t>CTF</t>
  </si>
  <si>
    <t>A_i</t>
  </si>
  <si>
    <t>q'''</t>
  </si>
  <si>
    <t>q_region</t>
  </si>
  <si>
    <t>q_total</t>
  </si>
  <si>
    <t>qgen_i</t>
  </si>
  <si>
    <t>q_left</t>
  </si>
  <si>
    <t>q_right</t>
  </si>
  <si>
    <t>q_gen_exp</t>
  </si>
  <si>
    <t>-</t>
  </si>
  <si>
    <t>q_gen_ratio</t>
  </si>
  <si>
    <t>q_left_ratio</t>
  </si>
  <si>
    <t>q_right_ratio</t>
  </si>
  <si>
    <t>Radial Nodes in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</si>
</sst>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"/>
    <numFmt numFmtId="165" formatCode="0.000"/>
    <numFmt numFmtId="166" formatCode="0.00000"/>
    <numFmt numFmtId="167" formatCode="0.0000"/>
    <numFmt numFmtId="168" formatCode="0.00E+000"/>
    <numFmt numFmtId="169" formatCode="0.0000E+00"/>
    <numFmt numFmtId="170" formatCode="0.000000E+00"/>
    <numFmt numFmtId="171" formatCode="0.00000000"/>
    <numFmt numFmtId="172" formatCode="0.000%"/>
  </numFmts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Monospace"/>
      <charset val="1"/>
    </font>
    <font>
      <b/>
      <sz val="15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/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/>
    <xf numFmtId="17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10" fontId="0" fillId="0" borderId="2" xfId="0" applyNumberForma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Profile_5'!$L$24:$L$24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5"/>
          </c:marker>
          <c:xVal>
            <c:numRef>
              <c:f>'SS Rod Radial Profile_5'!$D$14:$I$14</c:f>
              <c:numCache>
                <c:formatCode>0.000</c:formatCode>
                <c:ptCount val="6"/>
                <c:pt idx="0">
                  <c:v>0.0643624305720021</c:v>
                </c:pt>
                <c:pt idx="1">
                  <c:v>0.143918769956108</c:v>
                </c:pt>
                <c:pt idx="2">
                  <c:v>0.232062043640845</c:v>
                </c:pt>
                <c:pt idx="3">
                  <c:v>0.321812152860012</c:v>
                </c:pt>
                <c:pt idx="4">
                  <c:v>0.409600000000001</c:v>
                </c:pt>
                <c:pt idx="5">
                  <c:v>0.418000000000001</c:v>
                </c:pt>
              </c:numCache>
            </c:numRef>
          </c:xVal>
          <c:yVal>
            <c:numRef>
              <c:f>'SS Rod Radial Profile_5'!$M$24:$W$24</c:f>
              <c:numCache>
                <c:formatCode>0.000%</c:formatCode>
                <c:ptCount val="11"/>
                <c:pt idx="0">
                  <c:v>-0.00322070953956899</c:v>
                </c:pt>
                <c:pt idx="1">
                  <c:v>-0.00385974193539581</c:v>
                </c:pt>
                <c:pt idx="2">
                  <c:v>-0.0019784991626861</c:v>
                </c:pt>
                <c:pt idx="3">
                  <c:v>-0.00103466519546333</c:v>
                </c:pt>
                <c:pt idx="4">
                  <c:v>-0.000384708232615106</c:v>
                </c:pt>
                <c:pt idx="5">
                  <c:v>-0.000103153917138206</c:v>
                </c:pt>
                <c:pt idx="6">
                  <c:v>-0.000108593952080283</c:v>
                </c:pt>
                <c:pt idx="7">
                  <c:v>-8.4485978470357E-5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Profile_5'!$L$25:$L$25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</c:marker>
          <c:xVal>
            <c:numRef>
              <c:f>'SS Rod Radial Profile_5'!$D$14:$I$14</c:f>
              <c:numCache>
                <c:formatCode>0.000</c:formatCode>
                <c:ptCount val="6"/>
                <c:pt idx="0">
                  <c:v>0.0643624305720021</c:v>
                </c:pt>
                <c:pt idx="1">
                  <c:v>0.143918769956108</c:v>
                </c:pt>
                <c:pt idx="2">
                  <c:v>0.232062043640845</c:v>
                </c:pt>
                <c:pt idx="3">
                  <c:v>0.321812152860012</c:v>
                </c:pt>
                <c:pt idx="4">
                  <c:v>0.409600000000001</c:v>
                </c:pt>
                <c:pt idx="5">
                  <c:v>0.418000000000001</c:v>
                </c:pt>
              </c:numCache>
            </c:numRef>
          </c:xVal>
          <c:yVal>
            <c:numRef>
              <c:f>'SS Rod Radial Profile_5'!$M$25:$W$25</c:f>
              <c:numCache>
                <c:formatCode>0.000%</c:formatCode>
                <c:ptCount val="11"/>
                <c:pt idx="0">
                  <c:v>-0.00328256035720401</c:v>
                </c:pt>
                <c:pt idx="1">
                  <c:v>-0.00392038899198077</c:v>
                </c:pt>
                <c:pt idx="2">
                  <c:v>-0.00203569891458256</c:v>
                </c:pt>
                <c:pt idx="3">
                  <c:v>-0.0010841992852229</c:v>
                </c:pt>
                <c:pt idx="4">
                  <c:v>-0.000423004551351688</c:v>
                </c:pt>
                <c:pt idx="5">
                  <c:v>-0.000127713256185635</c:v>
                </c:pt>
                <c:pt idx="6">
                  <c:v>-0.000116106577540545</c:v>
                </c:pt>
                <c:pt idx="7">
                  <c:v>-8.8106845384096E-5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Profile_5'!$L$26:$L$26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5"/>
          </c:marker>
          <c:xVal>
            <c:numRef>
              <c:f>'SS Rod Radial Profile_5'!$D$14:$I$14</c:f>
              <c:numCache>
                <c:formatCode>0.000</c:formatCode>
                <c:ptCount val="6"/>
                <c:pt idx="0">
                  <c:v>0.0643624305720021</c:v>
                </c:pt>
                <c:pt idx="1">
                  <c:v>0.143918769956108</c:v>
                </c:pt>
                <c:pt idx="2">
                  <c:v>0.232062043640845</c:v>
                </c:pt>
                <c:pt idx="3">
                  <c:v>0.321812152860012</c:v>
                </c:pt>
                <c:pt idx="4">
                  <c:v>0.409600000000001</c:v>
                </c:pt>
                <c:pt idx="5">
                  <c:v>0.418000000000001</c:v>
                </c:pt>
              </c:numCache>
            </c:numRef>
          </c:xVal>
          <c:yVal>
            <c:numRef>
              <c:f>'SS Rod Radial Profile_5'!$M$26:$W$26</c:f>
              <c:numCache>
                <c:formatCode>0.000%</c:formatCode>
                <c:ptCount val="11"/>
                <c:pt idx="0">
                  <c:v>-0.00320800676757544</c:v>
                </c:pt>
                <c:pt idx="1">
                  <c:v>-0.00384728595635341</c:v>
                </c:pt>
                <c:pt idx="2">
                  <c:v>-0.00196674985834773</c:v>
                </c:pt>
                <c:pt idx="3">
                  <c:v>-0.00102449022576525</c:v>
                </c:pt>
                <c:pt idx="4">
                  <c:v>-0.00037684286158412</c:v>
                </c:pt>
                <c:pt idx="5">
                  <c:v>-9.8109497716301E-5</c:v>
                </c:pt>
                <c:pt idx="6">
                  <c:v>-0.000107049628530518</c:v>
                </c:pt>
                <c:pt idx="7">
                  <c:v>-8.37418356863013E-5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25800"/>
        <c:axId val="2082002616"/>
      </c:scatterChart>
      <c:valAx>
        <c:axId val="208202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2002616"/>
        <c:crossesAt val="0.0"/>
        <c:crossBetween val="midCat"/>
      </c:valAx>
      <c:valAx>
        <c:axId val="20820026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202580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>
                <a:latin typeface="Arial"/>
              </a:rPr>
              <a:t>Relative Temperature Difference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Profile_20'!$B$15:$B$15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5"/>
          </c:marker>
          <c:xVal>
            <c:strRef>
              <c:f>'SS Rod Radial Profile_20'!$C$14:$AO$14</c:f>
              <c:strCache>
                <c:ptCount val="27"/>
                <c:pt idx="0">
                  <c:v>0.000</c:v>
                </c:pt>
                <c:pt idx="1">
                  <c:v>0.015</c:v>
                </c:pt>
                <c:pt idx="2">
                  <c:v>0.033</c:v>
                </c:pt>
                <c:pt idx="3">
                  <c:v>0.054</c:v>
                </c:pt>
                <c:pt idx="4">
                  <c:v>0.074</c:v>
                </c:pt>
                <c:pt idx="5">
                  <c:v>0.095</c:v>
                </c:pt>
                <c:pt idx="6">
                  <c:v>0.116</c:v>
                </c:pt>
                <c:pt idx="7">
                  <c:v>0.137</c:v>
                </c:pt>
                <c:pt idx="8">
                  <c:v>0.158</c:v>
                </c:pt>
                <c:pt idx="9">
                  <c:v>0.179</c:v>
                </c:pt>
                <c:pt idx="10">
                  <c:v>0.200</c:v>
                </c:pt>
                <c:pt idx="11">
                  <c:v>0.221</c:v>
                </c:pt>
                <c:pt idx="12">
                  <c:v>0.242</c:v>
                </c:pt>
                <c:pt idx="13">
                  <c:v>0.263</c:v>
                </c:pt>
                <c:pt idx="14">
                  <c:v>0.284</c:v>
                </c:pt>
                <c:pt idx="15">
                  <c:v>0.305</c:v>
                </c:pt>
                <c:pt idx="16">
                  <c:v>0.326</c:v>
                </c:pt>
                <c:pt idx="17">
                  <c:v>0.347</c:v>
                </c:pt>
                <c:pt idx="18">
                  <c:v>0.368</c:v>
                </c:pt>
                <c:pt idx="19">
                  <c:v>0.389</c:v>
                </c:pt>
                <c:pt idx="20">
                  <c:v>0.410</c:v>
                </c:pt>
                <c:pt idx="21">
                  <c:v>0.418</c:v>
                </c:pt>
                <c:pt idx="22">
                  <c:v>0.475</c:v>
                </c:pt>
                <c:pt idx="26">
                  <c:v>Difference</c:v>
                </c:pt>
              </c:strCache>
            </c:strRef>
          </c:xVal>
          <c:yVal>
            <c:numRef>
              <c:f>'SS Rod Radial Profile_20'!$C$15:$AO$15</c:f>
              <c:numCache>
                <c:formatCode>0.000</c:formatCode>
                <c:ptCount val="39"/>
                <c:pt idx="0">
                  <c:v>92.05696231459466</c:v>
                </c:pt>
                <c:pt idx="1">
                  <c:v>91.97912188302344</c:v>
                </c:pt>
                <c:pt idx="2">
                  <c:v>91.66776015673851</c:v>
                </c:pt>
                <c:pt idx="3">
                  <c:v>91.04503670416868</c:v>
                </c:pt>
                <c:pt idx="4">
                  <c:v>90.11095152531395</c:v>
                </c:pt>
                <c:pt idx="5">
                  <c:v>88.86550462017427</c:v>
                </c:pt>
                <c:pt idx="6">
                  <c:v>87.3086959887497</c:v>
                </c:pt>
                <c:pt idx="7">
                  <c:v>85.4405256310402</c:v>
                </c:pt>
                <c:pt idx="8">
                  <c:v>83.26099354704582</c:v>
                </c:pt>
                <c:pt idx="9">
                  <c:v>80.77009973676651</c:v>
                </c:pt>
                <c:pt idx="10">
                  <c:v>77.9678442002023</c:v>
                </c:pt>
                <c:pt idx="11">
                  <c:v>74.85422693735314</c:v>
                </c:pt>
                <c:pt idx="12">
                  <c:v>71.4292479482191</c:v>
                </c:pt>
                <c:pt idx="13">
                  <c:v>67.69290723280015</c:v>
                </c:pt>
                <c:pt idx="14">
                  <c:v>63.64520479109625</c:v>
                </c:pt>
                <c:pt idx="15">
                  <c:v>59.28614062310741</c:v>
                </c:pt>
                <c:pt idx="16">
                  <c:v>54.61571472883392</c:v>
                </c:pt>
                <c:pt idx="17">
                  <c:v>49.63392710827527</c:v>
                </c:pt>
                <c:pt idx="18">
                  <c:v>44.34077776143118</c:v>
                </c:pt>
                <c:pt idx="19">
                  <c:v>38.73626668830297</c:v>
                </c:pt>
                <c:pt idx="20">
                  <c:v>32.85931410467533</c:v>
                </c:pt>
                <c:pt idx="21">
                  <c:v>5.487609701389308</c:v>
                </c:pt>
                <c:pt idx="22">
                  <c:v>0.0</c:v>
                </c:pt>
                <c:pt idx="23">
                  <c:v>-3.961063674805323</c:v>
                </c:pt>
                <c:pt idx="25" formatCode="General">
                  <c:v>0.0</c:v>
                </c:pt>
                <c:pt idx="26" formatCode="0.00">
                  <c:v>-0.136903610890954</c:v>
                </c:pt>
                <c:pt idx="27" formatCode="0.00">
                  <c:v>-0.14977077191233</c:v>
                </c:pt>
                <c:pt idx="28" formatCode="0.00">
                  <c:v>-0.110531823405182</c:v>
                </c:pt>
                <c:pt idx="29" formatCode="0.00">
                  <c:v>-0.0907978152797994</c:v>
                </c:pt>
                <c:pt idx="30" formatCode="0.00">
                  <c:v>-0.0776854142028185</c:v>
                </c:pt>
                <c:pt idx="31" formatCode="0.00">
                  <c:v>-0.067842397952063</c:v>
                </c:pt>
                <c:pt idx="32" formatCode="0.00">
                  <c:v>-0.0599448776385571</c:v>
                </c:pt>
                <c:pt idx="33" formatCode="0.00">
                  <c:v>-0.0533345199290949</c:v>
                </c:pt>
                <c:pt idx="34" formatCode="0.00">
                  <c:v>-0.0476379914902623</c:v>
                </c:pt>
                <c:pt idx="35" formatCode="0.00">
                  <c:v>-0.0426230700998076</c:v>
                </c:pt>
                <c:pt idx="36" formatCode="0.00">
                  <c:v>-0.0381358668689131</c:v>
                </c:pt>
                <c:pt idx="37" formatCode="0.00">
                  <c:v>-0.0340686040198079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Profile_20'!$B$16:$B$16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5"/>
          </c:marker>
          <c:xVal>
            <c:strRef>
              <c:f>'SS Rod Radial Profile_20'!$C$14:$AO$14</c:f>
              <c:strCache>
                <c:ptCount val="27"/>
                <c:pt idx="0">
                  <c:v>0.000</c:v>
                </c:pt>
                <c:pt idx="1">
                  <c:v>0.015</c:v>
                </c:pt>
                <c:pt idx="2">
                  <c:v>0.033</c:v>
                </c:pt>
                <c:pt idx="3">
                  <c:v>0.054</c:v>
                </c:pt>
                <c:pt idx="4">
                  <c:v>0.074</c:v>
                </c:pt>
                <c:pt idx="5">
                  <c:v>0.095</c:v>
                </c:pt>
                <c:pt idx="6">
                  <c:v>0.116</c:v>
                </c:pt>
                <c:pt idx="7">
                  <c:v>0.137</c:v>
                </c:pt>
                <c:pt idx="8">
                  <c:v>0.158</c:v>
                </c:pt>
                <c:pt idx="9">
                  <c:v>0.179</c:v>
                </c:pt>
                <c:pt idx="10">
                  <c:v>0.200</c:v>
                </c:pt>
                <c:pt idx="11">
                  <c:v>0.221</c:v>
                </c:pt>
                <c:pt idx="12">
                  <c:v>0.242</c:v>
                </c:pt>
                <c:pt idx="13">
                  <c:v>0.263</c:v>
                </c:pt>
                <c:pt idx="14">
                  <c:v>0.284</c:v>
                </c:pt>
                <c:pt idx="15">
                  <c:v>0.305</c:v>
                </c:pt>
                <c:pt idx="16">
                  <c:v>0.326</c:v>
                </c:pt>
                <c:pt idx="17">
                  <c:v>0.347</c:v>
                </c:pt>
                <c:pt idx="18">
                  <c:v>0.368</c:v>
                </c:pt>
                <c:pt idx="19">
                  <c:v>0.389</c:v>
                </c:pt>
                <c:pt idx="20">
                  <c:v>0.410</c:v>
                </c:pt>
                <c:pt idx="21">
                  <c:v>0.418</c:v>
                </c:pt>
                <c:pt idx="22">
                  <c:v>0.475</c:v>
                </c:pt>
                <c:pt idx="26">
                  <c:v>Difference</c:v>
                </c:pt>
              </c:strCache>
            </c:strRef>
          </c:xVal>
          <c:yVal>
            <c:numRef>
              <c:f>'SS Rod Radial Profile_20'!$C$16:$AO$16</c:f>
              <c:numCache>
                <c:formatCode>0.000</c:formatCode>
                <c:ptCount val="39"/>
                <c:pt idx="0">
                  <c:v>91.9200587037037</c:v>
                </c:pt>
                <c:pt idx="1">
                  <c:v>91.82935111111111</c:v>
                </c:pt>
                <c:pt idx="2">
                  <c:v>91.55722833333333</c:v>
                </c:pt>
                <c:pt idx="3">
                  <c:v>90.95423888888888</c:v>
                </c:pt>
                <c:pt idx="4">
                  <c:v>90.03326611111113</c:v>
                </c:pt>
                <c:pt idx="5">
                  <c:v>88.7976622222222</c:v>
                </c:pt>
                <c:pt idx="6">
                  <c:v>87.24875111111115</c:v>
                </c:pt>
                <c:pt idx="7">
                  <c:v>85.38719111111114</c:v>
                </c:pt>
                <c:pt idx="8">
                  <c:v>83.21335555555557</c:v>
                </c:pt>
                <c:pt idx="9">
                  <c:v>80.7274766666667</c:v>
                </c:pt>
                <c:pt idx="10">
                  <c:v>77.92970833333338</c:v>
                </c:pt>
                <c:pt idx="11">
                  <c:v>74.82015833333334</c:v>
                </c:pt>
                <c:pt idx="12">
                  <c:v>71.39890388888894</c:v>
                </c:pt>
                <c:pt idx="13">
                  <c:v>67.66600277777779</c:v>
                </c:pt>
                <c:pt idx="14">
                  <c:v>63.62149944444443</c:v>
                </c:pt>
                <c:pt idx="15">
                  <c:v>59.26542722222223</c:v>
                </c:pt>
                <c:pt idx="16">
                  <c:v>54.5978138888889</c:v>
                </c:pt>
                <c:pt idx="17">
                  <c:v>49.61868</c:v>
                </c:pt>
                <c:pt idx="18">
                  <c:v>44.32804333333334</c:v>
                </c:pt>
                <c:pt idx="19">
                  <c:v>38.72591777777782</c:v>
                </c:pt>
                <c:pt idx="20">
                  <c:v>32.85022999999999</c:v>
                </c:pt>
                <c:pt idx="21">
                  <c:v>5.479872777777801</c:v>
                </c:pt>
                <c:pt idx="22">
                  <c:v>0.0</c:v>
                </c:pt>
                <c:pt idx="23">
                  <c:v>-3.93612024128111</c:v>
                </c:pt>
                <c:pt idx="25" formatCode="General">
                  <c:v>0.0</c:v>
                </c:pt>
                <c:pt idx="26" formatCode="0.00">
                  <c:v>-0.161508055335375</c:v>
                </c:pt>
                <c:pt idx="27" formatCode="0.00">
                  <c:v>-0.174342994134548</c:v>
                </c:pt>
                <c:pt idx="28" formatCode="0.00">
                  <c:v>-0.135007378960722</c:v>
                </c:pt>
                <c:pt idx="29" formatCode="0.00">
                  <c:v>-0.115060593057578</c:v>
                </c:pt>
                <c:pt idx="30" formatCode="0.00">
                  <c:v>-0.101624303091711</c:v>
                </c:pt>
                <c:pt idx="31" formatCode="0.00">
                  <c:v>-0.0913507312853596</c:v>
                </c:pt>
                <c:pt idx="32" formatCode="0.00">
                  <c:v>-0.0829176554163808</c:v>
                </c:pt>
                <c:pt idx="33" formatCode="0.00">
                  <c:v>-0.0756722977068875</c:v>
                </c:pt>
                <c:pt idx="34" formatCode="0.00">
                  <c:v>-0.0692441026014023</c:v>
                </c:pt>
                <c:pt idx="35" formatCode="0.00">
                  <c:v>-0.0634064034331487</c:v>
                </c:pt>
                <c:pt idx="36" formatCode="0.00">
                  <c:v>-0.0580097557578369</c:v>
                </c:pt>
                <c:pt idx="37" formatCode="0.00">
                  <c:v>-0.0529530484642606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Profile_20'!$B$17:$B$17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5"/>
          </c:marker>
          <c:xVal>
            <c:strRef>
              <c:f>'SS Rod Radial Profile_20'!$C$14:$AO$14</c:f>
              <c:strCache>
                <c:ptCount val="27"/>
                <c:pt idx="0">
                  <c:v>0.000</c:v>
                </c:pt>
                <c:pt idx="1">
                  <c:v>0.015</c:v>
                </c:pt>
                <c:pt idx="2">
                  <c:v>0.033</c:v>
                </c:pt>
                <c:pt idx="3">
                  <c:v>0.054</c:v>
                </c:pt>
                <c:pt idx="4">
                  <c:v>0.074</c:v>
                </c:pt>
                <c:pt idx="5">
                  <c:v>0.095</c:v>
                </c:pt>
                <c:pt idx="6">
                  <c:v>0.116</c:v>
                </c:pt>
                <c:pt idx="7">
                  <c:v>0.137</c:v>
                </c:pt>
                <c:pt idx="8">
                  <c:v>0.158</c:v>
                </c:pt>
                <c:pt idx="9">
                  <c:v>0.179</c:v>
                </c:pt>
                <c:pt idx="10">
                  <c:v>0.200</c:v>
                </c:pt>
                <c:pt idx="11">
                  <c:v>0.221</c:v>
                </c:pt>
                <c:pt idx="12">
                  <c:v>0.242</c:v>
                </c:pt>
                <c:pt idx="13">
                  <c:v>0.263</c:v>
                </c:pt>
                <c:pt idx="14">
                  <c:v>0.284</c:v>
                </c:pt>
                <c:pt idx="15">
                  <c:v>0.305</c:v>
                </c:pt>
                <c:pt idx="16">
                  <c:v>0.326</c:v>
                </c:pt>
                <c:pt idx="17">
                  <c:v>0.347</c:v>
                </c:pt>
                <c:pt idx="18">
                  <c:v>0.368</c:v>
                </c:pt>
                <c:pt idx="19">
                  <c:v>0.389</c:v>
                </c:pt>
                <c:pt idx="20">
                  <c:v>0.410</c:v>
                </c:pt>
                <c:pt idx="21">
                  <c:v>0.418</c:v>
                </c:pt>
                <c:pt idx="22">
                  <c:v>0.475</c:v>
                </c:pt>
                <c:pt idx="26">
                  <c:v>Difference</c:v>
                </c:pt>
              </c:strCache>
            </c:strRef>
          </c:xVal>
          <c:yVal>
            <c:numRef>
              <c:f>'SS Rod Radial Profile_20'!$C$17:$AO$17</c:f>
              <c:numCache>
                <c:formatCode>0.000</c:formatCode>
                <c:ptCount val="39"/>
                <c:pt idx="0">
                  <c:v>91.89545425925928</c:v>
                </c:pt>
                <c:pt idx="1">
                  <c:v>91.80477888888889</c:v>
                </c:pt>
                <c:pt idx="2">
                  <c:v>91.53275277777779</c:v>
                </c:pt>
                <c:pt idx="3">
                  <c:v>90.9299761111111</c:v>
                </c:pt>
                <c:pt idx="4">
                  <c:v>90.00932722222224</c:v>
                </c:pt>
                <c:pt idx="5">
                  <c:v>88.77415388888891</c:v>
                </c:pt>
                <c:pt idx="6">
                  <c:v>87.22577833333332</c:v>
                </c:pt>
                <c:pt idx="7">
                  <c:v>85.36485333333334</c:v>
                </c:pt>
                <c:pt idx="8">
                  <c:v>83.19174944444443</c:v>
                </c:pt>
                <c:pt idx="9">
                  <c:v>80.70669333333336</c:v>
                </c:pt>
                <c:pt idx="10">
                  <c:v>77.90983444444445</c:v>
                </c:pt>
                <c:pt idx="11">
                  <c:v>74.80127388888888</c:v>
                </c:pt>
                <c:pt idx="12">
                  <c:v>71.38108333333334</c:v>
                </c:pt>
                <c:pt idx="13">
                  <c:v>67.64931333333335</c:v>
                </c:pt>
                <c:pt idx="14">
                  <c:v>63.60600111111113</c:v>
                </c:pt>
                <c:pt idx="15">
                  <c:v>59.25117277777777</c:v>
                </c:pt>
                <c:pt idx="16">
                  <c:v>54.58484722222226</c:v>
                </c:pt>
                <c:pt idx="17">
                  <c:v>49.60703888888891</c:v>
                </c:pt>
                <c:pt idx="18">
                  <c:v>44.31775555555558</c:v>
                </c:pt>
                <c:pt idx="19">
                  <c:v>38.71700444444444</c:v>
                </c:pt>
                <c:pt idx="20">
                  <c:v>32.84269333333334</c:v>
                </c:pt>
                <c:pt idx="21">
                  <c:v>5.478589444444423</c:v>
                </c:pt>
                <c:pt idx="22">
                  <c:v>0.0</c:v>
                </c:pt>
                <c:pt idx="23">
                  <c:v>-3.934967463503338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'SS Rod Radial Profile_20'!$B$17:$B$17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5"/>
          </c:marker>
          <c:xVal>
            <c:strRef>
              <c:f>'SS Rod Radial Profile_20'!$C$14:$AO$14</c:f>
              <c:strCache>
                <c:ptCount val="27"/>
                <c:pt idx="0">
                  <c:v>0.000</c:v>
                </c:pt>
                <c:pt idx="1">
                  <c:v>0.015</c:v>
                </c:pt>
                <c:pt idx="2">
                  <c:v>0.033</c:v>
                </c:pt>
                <c:pt idx="3">
                  <c:v>0.054</c:v>
                </c:pt>
                <c:pt idx="4">
                  <c:v>0.074</c:v>
                </c:pt>
                <c:pt idx="5">
                  <c:v>0.095</c:v>
                </c:pt>
                <c:pt idx="6">
                  <c:v>0.116</c:v>
                </c:pt>
                <c:pt idx="7">
                  <c:v>0.137</c:v>
                </c:pt>
                <c:pt idx="8">
                  <c:v>0.158</c:v>
                </c:pt>
                <c:pt idx="9">
                  <c:v>0.179</c:v>
                </c:pt>
                <c:pt idx="10">
                  <c:v>0.200</c:v>
                </c:pt>
                <c:pt idx="11">
                  <c:v>0.221</c:v>
                </c:pt>
                <c:pt idx="12">
                  <c:v>0.242</c:v>
                </c:pt>
                <c:pt idx="13">
                  <c:v>0.263</c:v>
                </c:pt>
                <c:pt idx="14">
                  <c:v>0.284</c:v>
                </c:pt>
                <c:pt idx="15">
                  <c:v>0.305</c:v>
                </c:pt>
                <c:pt idx="16">
                  <c:v>0.326</c:v>
                </c:pt>
                <c:pt idx="17">
                  <c:v>0.347</c:v>
                </c:pt>
                <c:pt idx="18">
                  <c:v>0.368</c:v>
                </c:pt>
                <c:pt idx="19">
                  <c:v>0.389</c:v>
                </c:pt>
                <c:pt idx="20">
                  <c:v>0.410</c:v>
                </c:pt>
                <c:pt idx="21">
                  <c:v>0.418</c:v>
                </c:pt>
                <c:pt idx="22">
                  <c:v>0.475</c:v>
                </c:pt>
                <c:pt idx="26">
                  <c:v>Difference</c:v>
                </c:pt>
              </c:strCache>
            </c:strRef>
          </c:xVal>
          <c:yVal>
            <c:numRef>
              <c:f>'SS Rod Radial Profile_20'!$C$17:$AO$17</c:f>
              <c:numCache>
                <c:formatCode>0.000</c:formatCode>
                <c:ptCount val="39"/>
                <c:pt idx="0">
                  <c:v>91.89545425925928</c:v>
                </c:pt>
                <c:pt idx="1">
                  <c:v>91.80477888888889</c:v>
                </c:pt>
                <c:pt idx="2">
                  <c:v>91.53275277777779</c:v>
                </c:pt>
                <c:pt idx="3">
                  <c:v>90.9299761111111</c:v>
                </c:pt>
                <c:pt idx="4">
                  <c:v>90.00932722222224</c:v>
                </c:pt>
                <c:pt idx="5">
                  <c:v>88.77415388888891</c:v>
                </c:pt>
                <c:pt idx="6">
                  <c:v>87.22577833333332</c:v>
                </c:pt>
                <c:pt idx="7">
                  <c:v>85.36485333333334</c:v>
                </c:pt>
                <c:pt idx="8">
                  <c:v>83.19174944444443</c:v>
                </c:pt>
                <c:pt idx="9">
                  <c:v>80.70669333333336</c:v>
                </c:pt>
                <c:pt idx="10">
                  <c:v>77.90983444444445</c:v>
                </c:pt>
                <c:pt idx="11">
                  <c:v>74.80127388888888</c:v>
                </c:pt>
                <c:pt idx="12">
                  <c:v>71.38108333333334</c:v>
                </c:pt>
                <c:pt idx="13">
                  <c:v>67.64931333333335</c:v>
                </c:pt>
                <c:pt idx="14">
                  <c:v>63.60600111111113</c:v>
                </c:pt>
                <c:pt idx="15">
                  <c:v>59.25117277777777</c:v>
                </c:pt>
                <c:pt idx="16">
                  <c:v>54.58484722222226</c:v>
                </c:pt>
                <c:pt idx="17">
                  <c:v>49.60703888888891</c:v>
                </c:pt>
                <c:pt idx="18">
                  <c:v>44.31775555555558</c:v>
                </c:pt>
                <c:pt idx="19">
                  <c:v>38.71700444444444</c:v>
                </c:pt>
                <c:pt idx="20">
                  <c:v>32.84269333333334</c:v>
                </c:pt>
                <c:pt idx="21">
                  <c:v>5.478589444444423</c:v>
                </c:pt>
                <c:pt idx="22">
                  <c:v>0.0</c:v>
                </c:pt>
                <c:pt idx="23">
                  <c:v>-3.934967463503338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724008"/>
        <c:axId val="2081718216"/>
      </c:scatterChart>
      <c:valAx>
        <c:axId val="208172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1718216"/>
        <c:crossesAt val="0.0"/>
        <c:crossBetween val="midCat"/>
      </c:valAx>
      <c:valAx>
        <c:axId val="20817182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1724008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Profile_20'!$AB$24:$AB$24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5"/>
          </c:marker>
          <c:xVal>
            <c:numRef>
              <c:f>'SS Rod Radial Profile_20'!$D$14:$M$14</c:f>
              <c:numCache>
                <c:formatCode>0.000</c:formatCode>
                <c:ptCount val="10"/>
                <c:pt idx="0">
                  <c:v>0.014852868593539</c:v>
                </c:pt>
                <c:pt idx="1">
                  <c:v>0.0332120238360248</c:v>
                </c:pt>
                <c:pt idx="2">
                  <c:v>0.0535527793017334</c:v>
                </c:pt>
                <c:pt idx="3">
                  <c:v>0.0742643429676947</c:v>
                </c:pt>
                <c:pt idx="4">
                  <c:v>0.0951047628866945</c:v>
                </c:pt>
                <c:pt idx="5">
                  <c:v>0.116004612118972</c:v>
                </c:pt>
                <c:pt idx="6">
                  <c:v>0.136936682316462</c:v>
                </c:pt>
                <c:pt idx="7">
                  <c:v>0.157888158886706</c:v>
                </c:pt>
                <c:pt idx="8">
                  <c:v>0.178852221935473</c:v>
                </c:pt>
                <c:pt idx="9">
                  <c:v>0.199824910078062</c:v>
                </c:pt>
              </c:numCache>
            </c:numRef>
          </c:xVal>
          <c:yVal>
            <c:numRef>
              <c:f>'SS Rod Radial Profile_20'!$AC$24:$AM$24</c:f>
              <c:numCache>
                <c:formatCode>0.000%</c:formatCode>
                <c:ptCount val="11"/>
                <c:pt idx="0">
                  <c:v>-0.000418260669728746</c:v>
                </c:pt>
                <c:pt idx="1">
                  <c:v>-0.000451604068407228</c:v>
                </c:pt>
                <c:pt idx="2">
                  <c:v>-0.00035046066287215</c:v>
                </c:pt>
                <c:pt idx="3">
                  <c:v>-0.000299893903625532</c:v>
                </c:pt>
                <c:pt idx="4">
                  <c:v>-0.000266563888710939</c:v>
                </c:pt>
                <c:pt idx="5">
                  <c:v>-0.000241780176713933</c:v>
                </c:pt>
                <c:pt idx="6">
                  <c:v>-0.000222101919252401</c:v>
                </c:pt>
                <c:pt idx="7">
                  <c:v>-0.000205812556199593</c:v>
                </c:pt>
                <c:pt idx="8">
                  <c:v>-0.000191934831358521</c:v>
                </c:pt>
                <c:pt idx="9">
                  <c:v>-0.000179858051601533</c:v>
                </c:pt>
                <c:pt idx="10">
                  <c:v>-0.000169175334095405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Profile_20'!$AB$25:$AB$25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</c:marker>
          <c:xVal>
            <c:numRef>
              <c:f>'SS Rod Radial Profile_20'!$D$14:$M$14</c:f>
              <c:numCache>
                <c:formatCode>0.000</c:formatCode>
                <c:ptCount val="10"/>
                <c:pt idx="0">
                  <c:v>0.014852868593539</c:v>
                </c:pt>
                <c:pt idx="1">
                  <c:v>0.0332120238360248</c:v>
                </c:pt>
                <c:pt idx="2">
                  <c:v>0.0535527793017334</c:v>
                </c:pt>
                <c:pt idx="3">
                  <c:v>0.0742643429676947</c:v>
                </c:pt>
                <c:pt idx="4">
                  <c:v>0.0951047628866945</c:v>
                </c:pt>
                <c:pt idx="5">
                  <c:v>0.116004612118972</c:v>
                </c:pt>
                <c:pt idx="6">
                  <c:v>0.136936682316462</c:v>
                </c:pt>
                <c:pt idx="7">
                  <c:v>0.157888158886706</c:v>
                </c:pt>
                <c:pt idx="8">
                  <c:v>0.178852221935473</c:v>
                </c:pt>
                <c:pt idx="9">
                  <c:v>0.199824910078062</c:v>
                </c:pt>
              </c:numCache>
            </c:numRef>
          </c:xVal>
          <c:yVal>
            <c:numRef>
              <c:f>'SS Rod Radial Profile_20'!$AC$25:$AM$25</c:f>
              <c:numCache>
                <c:formatCode>0.000%</c:formatCode>
                <c:ptCount val="11"/>
                <c:pt idx="0">
                  <c:v>-0.00048482495612617</c:v>
                </c:pt>
                <c:pt idx="1">
                  <c:v>-0.000518098459236882</c:v>
                </c:pt>
                <c:pt idx="2">
                  <c:v>-0.000416758545540177</c:v>
                </c:pt>
                <c:pt idx="3">
                  <c:v>-0.000365747436805242</c:v>
                </c:pt>
                <c:pt idx="4">
                  <c:v>-0.000331735937204586</c:v>
                </c:pt>
                <c:pt idx="5">
                  <c:v>-0.000306041796268822</c:v>
                </c:pt>
                <c:pt idx="6">
                  <c:v>-0.000285224063143964</c:v>
                </c:pt>
                <c:pt idx="7">
                  <c:v>-0.000267575173541398</c:v>
                </c:pt>
                <c:pt idx="8">
                  <c:v>-0.000252118597383118</c:v>
                </c:pt>
                <c:pt idx="9">
                  <c:v>-0.000238250686894885</c:v>
                </c:pt>
                <c:pt idx="10">
                  <c:v>-0.000225567737563558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Profile_20'!$AB$26:$AB$26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5"/>
          </c:marker>
          <c:xVal>
            <c:numRef>
              <c:f>'SS Rod Radial Profile_20'!$D$14:$M$14</c:f>
              <c:numCache>
                <c:formatCode>0.000</c:formatCode>
                <c:ptCount val="10"/>
                <c:pt idx="0">
                  <c:v>0.014852868593539</c:v>
                </c:pt>
                <c:pt idx="1">
                  <c:v>0.0332120238360248</c:v>
                </c:pt>
                <c:pt idx="2">
                  <c:v>0.0535527793017334</c:v>
                </c:pt>
                <c:pt idx="3">
                  <c:v>0.0742643429676947</c:v>
                </c:pt>
                <c:pt idx="4">
                  <c:v>0.0951047628866945</c:v>
                </c:pt>
                <c:pt idx="5">
                  <c:v>0.116004612118972</c:v>
                </c:pt>
                <c:pt idx="6">
                  <c:v>0.136936682316462</c:v>
                </c:pt>
                <c:pt idx="7">
                  <c:v>0.157888158886706</c:v>
                </c:pt>
                <c:pt idx="8">
                  <c:v>0.178852221935473</c:v>
                </c:pt>
                <c:pt idx="9">
                  <c:v>0.199824910078062</c:v>
                </c:pt>
              </c:numCache>
            </c:numRef>
          </c:xVal>
          <c:yVal>
            <c:numRef>
              <c:f>'SS Rod Radial Profile_20'!$AC$26:$AM$26</c:f>
              <c:numCache>
                <c:formatCode>0.000%</c:formatCode>
                <c:ptCount val="11"/>
                <c:pt idx="0">
                  <c:v>-0.00048482495612617</c:v>
                </c:pt>
                <c:pt idx="1">
                  <c:v>-0.000518098459236882</c:v>
                </c:pt>
                <c:pt idx="2">
                  <c:v>-0.000416758545540177</c:v>
                </c:pt>
                <c:pt idx="3">
                  <c:v>-0.000365747436805242</c:v>
                </c:pt>
                <c:pt idx="4">
                  <c:v>-0.000331735937204586</c:v>
                </c:pt>
                <c:pt idx="5">
                  <c:v>-0.000306041796268822</c:v>
                </c:pt>
                <c:pt idx="6">
                  <c:v>-0.000285224063143964</c:v>
                </c:pt>
                <c:pt idx="7">
                  <c:v>-0.000267575173541398</c:v>
                </c:pt>
                <c:pt idx="8">
                  <c:v>-0.000252118597383118</c:v>
                </c:pt>
                <c:pt idx="9">
                  <c:v>-0.000238250686894885</c:v>
                </c:pt>
                <c:pt idx="10">
                  <c:v>-0.000225567737563558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673688"/>
        <c:axId val="2081670360"/>
      </c:scatterChart>
      <c:valAx>
        <c:axId val="208167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1670360"/>
        <c:crossesAt val="0.0"/>
        <c:crossBetween val="midCat"/>
      </c:valAx>
      <c:valAx>
        <c:axId val="2081670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1673688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>
                <a:latin typeface="Arial"/>
              </a:rPr>
              <a:t>Temperature Profile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Profile_20'!$B$23:$B$23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5"/>
          </c:marker>
          <c:xVal>
            <c:numRef>
              <c:f>'SS Rod Radial Profile_20'!$C$22:$AO$22</c:f>
              <c:numCache>
                <c:formatCode>0.00000</c:formatCode>
                <c:ptCount val="39"/>
                <c:pt idx="0">
                  <c:v>0.0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0.0951047628866945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</c:numCache>
            </c:numRef>
          </c:xVal>
          <c:yVal>
            <c:numRef>
              <c:f>'SS Rod Radial Profile_20'!$C$23:$AO$23</c:f>
              <c:numCache>
                <c:formatCode>0.000</c:formatCode>
                <c:ptCount val="39"/>
                <c:pt idx="0">
                  <c:v>386.9525779703411</c:v>
                </c:pt>
                <c:pt idx="1">
                  <c:v>386.8747375387699</c:v>
                </c:pt>
                <c:pt idx="2">
                  <c:v>386.5633758124849</c:v>
                </c:pt>
                <c:pt idx="3">
                  <c:v>385.9406523599151</c:v>
                </c:pt>
                <c:pt idx="4">
                  <c:v>385.0065671810604</c:v>
                </c:pt>
                <c:pt idx="5">
                  <c:v>383.7611202759207</c:v>
                </c:pt>
                <c:pt idx="6">
                  <c:v>382.2043116444962</c:v>
                </c:pt>
                <c:pt idx="7">
                  <c:v>380.3361412867867</c:v>
                </c:pt>
                <c:pt idx="8">
                  <c:v>378.1566092027923</c:v>
                </c:pt>
                <c:pt idx="9">
                  <c:v>375.6657153925129</c:v>
                </c:pt>
                <c:pt idx="10">
                  <c:v>372.8634598559487</c:v>
                </c:pt>
                <c:pt idx="11">
                  <c:v>369.7498425930995</c:v>
                </c:pt>
                <c:pt idx="12">
                  <c:v>366.3248636039655</c:v>
                </c:pt>
                <c:pt idx="13">
                  <c:v>362.5885228885466</c:v>
                </c:pt>
                <c:pt idx="14">
                  <c:v>358.5408204468427</c:v>
                </c:pt>
                <c:pt idx="15">
                  <c:v>354.1817562788539</c:v>
                </c:pt>
                <c:pt idx="16">
                  <c:v>349.5113303845804</c:v>
                </c:pt>
                <c:pt idx="17">
                  <c:v>344.5295427640217</c:v>
                </c:pt>
                <c:pt idx="18">
                  <c:v>339.2363934171776</c:v>
                </c:pt>
                <c:pt idx="19">
                  <c:v>333.6318823440494</c:v>
                </c:pt>
                <c:pt idx="20">
                  <c:v>327.7549297604218</c:v>
                </c:pt>
                <c:pt idx="21">
                  <c:v>300.3832253571358</c:v>
                </c:pt>
                <c:pt idx="22">
                  <c:v>294.8956156557464</c:v>
                </c:pt>
                <c:pt idx="23">
                  <c:v>290.9345519809411</c:v>
                </c:pt>
                <c:pt idx="26" formatCode="General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Profile_20'!$B$24:$B$24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5"/>
          </c:marker>
          <c:xVal>
            <c:numRef>
              <c:f>'SS Rod Radial Profile_20'!$C$22:$AO$22</c:f>
              <c:numCache>
                <c:formatCode>0.00000</c:formatCode>
                <c:ptCount val="39"/>
                <c:pt idx="0">
                  <c:v>0.0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0.0951047628866945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</c:numCache>
            </c:numRef>
          </c:xVal>
          <c:yVal>
            <c:numRef>
              <c:f>'SS Rod Radial Profile_20'!$C$24:$AO$24</c:f>
              <c:numCache>
                <c:formatCode>0.000</c:formatCode>
                <c:ptCount val="39"/>
                <c:pt idx="0">
                  <c:v>386.790730925926</c:v>
                </c:pt>
                <c:pt idx="1">
                  <c:v>386.7000233333333</c:v>
                </c:pt>
                <c:pt idx="2">
                  <c:v>386.4279005555556</c:v>
                </c:pt>
                <c:pt idx="3">
                  <c:v>385.8249111111111</c:v>
                </c:pt>
                <c:pt idx="4">
                  <c:v>384.9039383333334</c:v>
                </c:pt>
                <c:pt idx="5">
                  <c:v>383.6683344444445</c:v>
                </c:pt>
                <c:pt idx="6">
                  <c:v>382.1194233333333</c:v>
                </c:pt>
                <c:pt idx="7">
                  <c:v>380.2578633333333</c:v>
                </c:pt>
                <c:pt idx="8">
                  <c:v>378.0840277777778</c:v>
                </c:pt>
                <c:pt idx="9">
                  <c:v>375.5981488888889</c:v>
                </c:pt>
                <c:pt idx="10">
                  <c:v>372.8003805555556</c:v>
                </c:pt>
                <c:pt idx="11">
                  <c:v>369.6908305555556</c:v>
                </c:pt>
                <c:pt idx="12">
                  <c:v>366.2695761111112</c:v>
                </c:pt>
                <c:pt idx="13">
                  <c:v>362.5366750000001</c:v>
                </c:pt>
                <c:pt idx="14">
                  <c:v>358.4921716666667</c:v>
                </c:pt>
                <c:pt idx="15">
                  <c:v>354.1360994444445</c:v>
                </c:pt>
                <c:pt idx="16">
                  <c:v>349.4684861111111</c:v>
                </c:pt>
                <c:pt idx="17">
                  <c:v>344.4893522222222</c:v>
                </c:pt>
                <c:pt idx="18">
                  <c:v>339.1987155555556</c:v>
                </c:pt>
                <c:pt idx="19">
                  <c:v>333.59659</c:v>
                </c:pt>
                <c:pt idx="20">
                  <c:v>327.7209022222223</c:v>
                </c:pt>
                <c:pt idx="21">
                  <c:v>300.3505450000001</c:v>
                </c:pt>
                <c:pt idx="22">
                  <c:v>294.8706722222223</c:v>
                </c:pt>
                <c:pt idx="23">
                  <c:v>290.9345519809411</c:v>
                </c:pt>
                <c:pt idx="25" formatCode="General">
                  <c:v>0.0</c:v>
                </c:pt>
                <c:pt idx="26" formatCode="0.000%">
                  <c:v>-0.000418260669728746</c:v>
                </c:pt>
                <c:pt idx="27" formatCode="0.000%">
                  <c:v>-0.000451604068407228</c:v>
                </c:pt>
                <c:pt idx="28" formatCode="0.000%">
                  <c:v>-0.00035046066287215</c:v>
                </c:pt>
                <c:pt idx="29" formatCode="0.000%">
                  <c:v>-0.000299893903625532</c:v>
                </c:pt>
                <c:pt idx="30" formatCode="0.000%">
                  <c:v>-0.000266563888710939</c:v>
                </c:pt>
                <c:pt idx="31" formatCode="0.000%">
                  <c:v>-0.000241780176713933</c:v>
                </c:pt>
                <c:pt idx="32" formatCode="0.000%">
                  <c:v>-0.000222101919252401</c:v>
                </c:pt>
                <c:pt idx="33" formatCode="0.000%">
                  <c:v>-0.000205812556199593</c:v>
                </c:pt>
                <c:pt idx="34" formatCode="0.000%">
                  <c:v>-0.000191934831358521</c:v>
                </c:pt>
                <c:pt idx="35" formatCode="0.000%">
                  <c:v>-0.000179858051601533</c:v>
                </c:pt>
                <c:pt idx="36" formatCode="0.000%">
                  <c:v>-0.000169175334095405</c:v>
                </c:pt>
                <c:pt idx="37" formatCode="0.000%">
                  <c:v>-0.000159599899029396</c:v>
                </c:pt>
                <c:pt idx="38" formatCode="0.000%">
                  <c:v>-0.000150924762000645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Profile_20'!$B$26:$B$26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5"/>
          </c:marker>
          <c:xVal>
            <c:numRef>
              <c:f>'SS Rod Radial Profile_20'!$C$22:$AO$22</c:f>
              <c:numCache>
                <c:formatCode>0.00000</c:formatCode>
                <c:ptCount val="39"/>
                <c:pt idx="0">
                  <c:v>0.0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0.0951047628866945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</c:numCache>
            </c:numRef>
          </c:xVal>
          <c:yVal>
            <c:numRef>
              <c:f>'SS Rod Radial Profile_20'!$C$26:$AO$26</c:f>
              <c:numCache>
                <c:formatCode>0.000</c:formatCode>
                <c:ptCount val="39"/>
                <c:pt idx="0">
                  <c:v>386.7649737037037</c:v>
                </c:pt>
                <c:pt idx="1">
                  <c:v>386.6742983333333</c:v>
                </c:pt>
                <c:pt idx="2">
                  <c:v>386.4022722222222</c:v>
                </c:pt>
                <c:pt idx="3">
                  <c:v>385.7994955555556</c:v>
                </c:pt>
                <c:pt idx="4">
                  <c:v>384.8788466666666</c:v>
                </c:pt>
                <c:pt idx="5">
                  <c:v>383.6436733333333</c:v>
                </c:pt>
                <c:pt idx="6">
                  <c:v>382.0952977777778</c:v>
                </c:pt>
                <c:pt idx="7">
                  <c:v>380.2343727777778</c:v>
                </c:pt>
                <c:pt idx="8">
                  <c:v>378.0612688888889</c:v>
                </c:pt>
                <c:pt idx="9">
                  <c:v>375.5762127777778</c:v>
                </c:pt>
                <c:pt idx="10">
                  <c:v>372.7793538888889</c:v>
                </c:pt>
                <c:pt idx="11">
                  <c:v>369.6707933333333</c:v>
                </c:pt>
                <c:pt idx="12">
                  <c:v>366.2506027777778</c:v>
                </c:pt>
                <c:pt idx="13">
                  <c:v>362.5188327777778</c:v>
                </c:pt>
                <c:pt idx="14">
                  <c:v>358.4755205555556</c:v>
                </c:pt>
                <c:pt idx="15">
                  <c:v>354.1206922222222</c:v>
                </c:pt>
                <c:pt idx="16">
                  <c:v>349.4543666666667</c:v>
                </c:pt>
                <c:pt idx="17">
                  <c:v>344.4765583333333</c:v>
                </c:pt>
                <c:pt idx="18">
                  <c:v>339.187275</c:v>
                </c:pt>
                <c:pt idx="19">
                  <c:v>333.5865238888889</c:v>
                </c:pt>
                <c:pt idx="20">
                  <c:v>327.7122127777778</c:v>
                </c:pt>
                <c:pt idx="21">
                  <c:v>300.3481088888889</c:v>
                </c:pt>
                <c:pt idx="22">
                  <c:v>294.8695194444444</c:v>
                </c:pt>
                <c:pt idx="23">
                  <c:v>290.9345519809411</c:v>
                </c:pt>
                <c:pt idx="25" formatCode="General">
                  <c:v>0.0</c:v>
                </c:pt>
                <c:pt idx="26" formatCode="0.000%">
                  <c:v>-0.00048482495612617</c:v>
                </c:pt>
                <c:pt idx="27" formatCode="0.000%">
                  <c:v>-0.000518098459236882</c:v>
                </c:pt>
                <c:pt idx="28" formatCode="0.000%">
                  <c:v>-0.000416758545540177</c:v>
                </c:pt>
                <c:pt idx="29" formatCode="0.000%">
                  <c:v>-0.000365747436805242</c:v>
                </c:pt>
                <c:pt idx="30" formatCode="0.000%">
                  <c:v>-0.000331735937204586</c:v>
                </c:pt>
                <c:pt idx="31" formatCode="0.000%">
                  <c:v>-0.000306041796268822</c:v>
                </c:pt>
                <c:pt idx="32" formatCode="0.000%">
                  <c:v>-0.000285224063143964</c:v>
                </c:pt>
                <c:pt idx="33" formatCode="0.000%">
                  <c:v>-0.000267575173541398</c:v>
                </c:pt>
                <c:pt idx="34" formatCode="0.000%">
                  <c:v>-0.000252118597383118</c:v>
                </c:pt>
                <c:pt idx="35" formatCode="0.000%">
                  <c:v>-0.000238250686894885</c:v>
                </c:pt>
                <c:pt idx="36" formatCode="0.000%">
                  <c:v>-0.000225567737563558</c:v>
                </c:pt>
                <c:pt idx="37" formatCode="0.000%">
                  <c:v>-0.000213791192477202</c:v>
                </c:pt>
                <c:pt idx="38" formatCode="0.000%">
                  <c:v>-0.000202718498158064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630584"/>
        <c:axId val="2081624840"/>
      </c:scatterChart>
      <c:valAx>
        <c:axId val="208163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1624840"/>
        <c:crossesAt val="0.0"/>
        <c:crossBetween val="midCat"/>
      </c:valAx>
      <c:valAx>
        <c:axId val="20816248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1630584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sz="1300" b="1">
                <a:latin typeface="Arial"/>
              </a:rPr>
              <a:t>Relative Temperature Difference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Profile_20'!$B$15:$B$15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5"/>
          </c:marker>
          <c:xVal>
            <c:strRef>
              <c:f>'SS Rod Radial Profile_20'!$C$14:$AO$14</c:f>
              <c:strCache>
                <c:ptCount val="27"/>
                <c:pt idx="0">
                  <c:v>0.000</c:v>
                </c:pt>
                <c:pt idx="1">
                  <c:v>0.015</c:v>
                </c:pt>
                <c:pt idx="2">
                  <c:v>0.033</c:v>
                </c:pt>
                <c:pt idx="3">
                  <c:v>0.054</c:v>
                </c:pt>
                <c:pt idx="4">
                  <c:v>0.074</c:v>
                </c:pt>
                <c:pt idx="5">
                  <c:v>0.095</c:v>
                </c:pt>
                <c:pt idx="6">
                  <c:v>0.116</c:v>
                </c:pt>
                <c:pt idx="7">
                  <c:v>0.137</c:v>
                </c:pt>
                <c:pt idx="8">
                  <c:v>0.158</c:v>
                </c:pt>
                <c:pt idx="9">
                  <c:v>0.179</c:v>
                </c:pt>
                <c:pt idx="10">
                  <c:v>0.200</c:v>
                </c:pt>
                <c:pt idx="11">
                  <c:v>0.221</c:v>
                </c:pt>
                <c:pt idx="12">
                  <c:v>0.242</c:v>
                </c:pt>
                <c:pt idx="13">
                  <c:v>0.263</c:v>
                </c:pt>
                <c:pt idx="14">
                  <c:v>0.284</c:v>
                </c:pt>
                <c:pt idx="15">
                  <c:v>0.305</c:v>
                </c:pt>
                <c:pt idx="16">
                  <c:v>0.326</c:v>
                </c:pt>
                <c:pt idx="17">
                  <c:v>0.347</c:v>
                </c:pt>
                <c:pt idx="18">
                  <c:v>0.368</c:v>
                </c:pt>
                <c:pt idx="19">
                  <c:v>0.389</c:v>
                </c:pt>
                <c:pt idx="20">
                  <c:v>0.410</c:v>
                </c:pt>
                <c:pt idx="21">
                  <c:v>0.418</c:v>
                </c:pt>
                <c:pt idx="22">
                  <c:v>0.475</c:v>
                </c:pt>
                <c:pt idx="26">
                  <c:v>Difference</c:v>
                </c:pt>
              </c:strCache>
            </c:strRef>
          </c:xVal>
          <c:yVal>
            <c:numRef>
              <c:f>'SS Rod Radial Profile_20'!$C$15:$AO$15</c:f>
              <c:numCache>
                <c:formatCode>0.000</c:formatCode>
                <c:ptCount val="39"/>
                <c:pt idx="0">
                  <c:v>92.05696231459466</c:v>
                </c:pt>
                <c:pt idx="1">
                  <c:v>91.97912188302344</c:v>
                </c:pt>
                <c:pt idx="2">
                  <c:v>91.66776015673851</c:v>
                </c:pt>
                <c:pt idx="3">
                  <c:v>91.04503670416868</c:v>
                </c:pt>
                <c:pt idx="4">
                  <c:v>90.11095152531395</c:v>
                </c:pt>
                <c:pt idx="5">
                  <c:v>88.86550462017427</c:v>
                </c:pt>
                <c:pt idx="6">
                  <c:v>87.3086959887497</c:v>
                </c:pt>
                <c:pt idx="7">
                  <c:v>85.4405256310402</c:v>
                </c:pt>
                <c:pt idx="8">
                  <c:v>83.26099354704582</c:v>
                </c:pt>
                <c:pt idx="9">
                  <c:v>80.77009973676651</c:v>
                </c:pt>
                <c:pt idx="10">
                  <c:v>77.9678442002023</c:v>
                </c:pt>
                <c:pt idx="11">
                  <c:v>74.85422693735314</c:v>
                </c:pt>
                <c:pt idx="12">
                  <c:v>71.4292479482191</c:v>
                </c:pt>
                <c:pt idx="13">
                  <c:v>67.69290723280015</c:v>
                </c:pt>
                <c:pt idx="14">
                  <c:v>63.64520479109625</c:v>
                </c:pt>
                <c:pt idx="15">
                  <c:v>59.28614062310741</c:v>
                </c:pt>
                <c:pt idx="16">
                  <c:v>54.61571472883392</c:v>
                </c:pt>
                <c:pt idx="17">
                  <c:v>49.63392710827527</c:v>
                </c:pt>
                <c:pt idx="18">
                  <c:v>44.34077776143118</c:v>
                </c:pt>
                <c:pt idx="19">
                  <c:v>38.73626668830297</c:v>
                </c:pt>
                <c:pt idx="20">
                  <c:v>32.85931410467533</c:v>
                </c:pt>
                <c:pt idx="21">
                  <c:v>5.487609701389308</c:v>
                </c:pt>
                <c:pt idx="22">
                  <c:v>0.0</c:v>
                </c:pt>
                <c:pt idx="23">
                  <c:v>-3.961063674805323</c:v>
                </c:pt>
                <c:pt idx="25" formatCode="General">
                  <c:v>0.0</c:v>
                </c:pt>
                <c:pt idx="26" formatCode="0.00">
                  <c:v>-0.136903610890954</c:v>
                </c:pt>
                <c:pt idx="27" formatCode="0.00">
                  <c:v>-0.14977077191233</c:v>
                </c:pt>
                <c:pt idx="28" formatCode="0.00">
                  <c:v>-0.110531823405182</c:v>
                </c:pt>
                <c:pt idx="29" formatCode="0.00">
                  <c:v>-0.0907978152797994</c:v>
                </c:pt>
                <c:pt idx="30" formatCode="0.00">
                  <c:v>-0.0776854142028185</c:v>
                </c:pt>
                <c:pt idx="31" formatCode="0.00">
                  <c:v>-0.067842397952063</c:v>
                </c:pt>
                <c:pt idx="32" formatCode="0.00">
                  <c:v>-0.0599448776385571</c:v>
                </c:pt>
                <c:pt idx="33" formatCode="0.00">
                  <c:v>-0.0533345199290949</c:v>
                </c:pt>
                <c:pt idx="34" formatCode="0.00">
                  <c:v>-0.0476379914902623</c:v>
                </c:pt>
                <c:pt idx="35" formatCode="0.00">
                  <c:v>-0.0426230700998076</c:v>
                </c:pt>
                <c:pt idx="36" formatCode="0.00">
                  <c:v>-0.0381358668689131</c:v>
                </c:pt>
                <c:pt idx="37" formatCode="0.00">
                  <c:v>-0.0340686040198079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Profile_20'!$B$16:$B$16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5"/>
          </c:marker>
          <c:xVal>
            <c:strRef>
              <c:f>'SS Rod Radial Profile_20'!$C$14:$AO$14</c:f>
              <c:strCache>
                <c:ptCount val="27"/>
                <c:pt idx="0">
                  <c:v>0.000</c:v>
                </c:pt>
                <c:pt idx="1">
                  <c:v>0.015</c:v>
                </c:pt>
                <c:pt idx="2">
                  <c:v>0.033</c:v>
                </c:pt>
                <c:pt idx="3">
                  <c:v>0.054</c:v>
                </c:pt>
                <c:pt idx="4">
                  <c:v>0.074</c:v>
                </c:pt>
                <c:pt idx="5">
                  <c:v>0.095</c:v>
                </c:pt>
                <c:pt idx="6">
                  <c:v>0.116</c:v>
                </c:pt>
                <c:pt idx="7">
                  <c:v>0.137</c:v>
                </c:pt>
                <c:pt idx="8">
                  <c:v>0.158</c:v>
                </c:pt>
                <c:pt idx="9">
                  <c:v>0.179</c:v>
                </c:pt>
                <c:pt idx="10">
                  <c:v>0.200</c:v>
                </c:pt>
                <c:pt idx="11">
                  <c:v>0.221</c:v>
                </c:pt>
                <c:pt idx="12">
                  <c:v>0.242</c:v>
                </c:pt>
                <c:pt idx="13">
                  <c:v>0.263</c:v>
                </c:pt>
                <c:pt idx="14">
                  <c:v>0.284</c:v>
                </c:pt>
                <c:pt idx="15">
                  <c:v>0.305</c:v>
                </c:pt>
                <c:pt idx="16">
                  <c:v>0.326</c:v>
                </c:pt>
                <c:pt idx="17">
                  <c:v>0.347</c:v>
                </c:pt>
                <c:pt idx="18">
                  <c:v>0.368</c:v>
                </c:pt>
                <c:pt idx="19">
                  <c:v>0.389</c:v>
                </c:pt>
                <c:pt idx="20">
                  <c:v>0.410</c:v>
                </c:pt>
                <c:pt idx="21">
                  <c:v>0.418</c:v>
                </c:pt>
                <c:pt idx="22">
                  <c:v>0.475</c:v>
                </c:pt>
                <c:pt idx="26">
                  <c:v>Difference</c:v>
                </c:pt>
              </c:strCache>
            </c:strRef>
          </c:xVal>
          <c:yVal>
            <c:numRef>
              <c:f>'SS Rod Radial Profile_20'!$C$16:$AO$16</c:f>
              <c:numCache>
                <c:formatCode>0.000</c:formatCode>
                <c:ptCount val="39"/>
                <c:pt idx="0">
                  <c:v>91.9200587037037</c:v>
                </c:pt>
                <c:pt idx="1">
                  <c:v>91.82935111111111</c:v>
                </c:pt>
                <c:pt idx="2">
                  <c:v>91.55722833333333</c:v>
                </c:pt>
                <c:pt idx="3">
                  <c:v>90.95423888888888</c:v>
                </c:pt>
                <c:pt idx="4">
                  <c:v>90.03326611111113</c:v>
                </c:pt>
                <c:pt idx="5">
                  <c:v>88.7976622222222</c:v>
                </c:pt>
                <c:pt idx="6">
                  <c:v>87.24875111111115</c:v>
                </c:pt>
                <c:pt idx="7">
                  <c:v>85.38719111111114</c:v>
                </c:pt>
                <c:pt idx="8">
                  <c:v>83.21335555555557</c:v>
                </c:pt>
                <c:pt idx="9">
                  <c:v>80.7274766666667</c:v>
                </c:pt>
                <c:pt idx="10">
                  <c:v>77.92970833333338</c:v>
                </c:pt>
                <c:pt idx="11">
                  <c:v>74.82015833333334</c:v>
                </c:pt>
                <c:pt idx="12">
                  <c:v>71.39890388888894</c:v>
                </c:pt>
                <c:pt idx="13">
                  <c:v>67.66600277777779</c:v>
                </c:pt>
                <c:pt idx="14">
                  <c:v>63.62149944444443</c:v>
                </c:pt>
                <c:pt idx="15">
                  <c:v>59.26542722222223</c:v>
                </c:pt>
                <c:pt idx="16">
                  <c:v>54.5978138888889</c:v>
                </c:pt>
                <c:pt idx="17">
                  <c:v>49.61868</c:v>
                </c:pt>
                <c:pt idx="18">
                  <c:v>44.32804333333334</c:v>
                </c:pt>
                <c:pt idx="19">
                  <c:v>38.72591777777782</c:v>
                </c:pt>
                <c:pt idx="20">
                  <c:v>32.85022999999999</c:v>
                </c:pt>
                <c:pt idx="21">
                  <c:v>5.479872777777801</c:v>
                </c:pt>
                <c:pt idx="22">
                  <c:v>0.0</c:v>
                </c:pt>
                <c:pt idx="23">
                  <c:v>-3.93612024128111</c:v>
                </c:pt>
                <c:pt idx="25" formatCode="General">
                  <c:v>0.0</c:v>
                </c:pt>
                <c:pt idx="26" formatCode="0.00">
                  <c:v>-0.161508055335375</c:v>
                </c:pt>
                <c:pt idx="27" formatCode="0.00">
                  <c:v>-0.174342994134548</c:v>
                </c:pt>
                <c:pt idx="28" formatCode="0.00">
                  <c:v>-0.135007378960722</c:v>
                </c:pt>
                <c:pt idx="29" formatCode="0.00">
                  <c:v>-0.115060593057578</c:v>
                </c:pt>
                <c:pt idx="30" formatCode="0.00">
                  <c:v>-0.101624303091711</c:v>
                </c:pt>
                <c:pt idx="31" formatCode="0.00">
                  <c:v>-0.0913507312853596</c:v>
                </c:pt>
                <c:pt idx="32" formatCode="0.00">
                  <c:v>-0.0829176554163808</c:v>
                </c:pt>
                <c:pt idx="33" formatCode="0.00">
                  <c:v>-0.0756722977068875</c:v>
                </c:pt>
                <c:pt idx="34" formatCode="0.00">
                  <c:v>-0.0692441026014023</c:v>
                </c:pt>
                <c:pt idx="35" formatCode="0.00">
                  <c:v>-0.0634064034331487</c:v>
                </c:pt>
                <c:pt idx="36" formatCode="0.00">
                  <c:v>-0.0580097557578369</c:v>
                </c:pt>
                <c:pt idx="37" formatCode="0.00">
                  <c:v>-0.0529530484642606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Profile_20'!$B$17:$B$17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5"/>
          </c:marker>
          <c:xVal>
            <c:strRef>
              <c:f>'SS Rod Radial Profile_20'!$C$14:$AO$14</c:f>
              <c:strCache>
                <c:ptCount val="27"/>
                <c:pt idx="0">
                  <c:v>0.000</c:v>
                </c:pt>
                <c:pt idx="1">
                  <c:v>0.015</c:v>
                </c:pt>
                <c:pt idx="2">
                  <c:v>0.033</c:v>
                </c:pt>
                <c:pt idx="3">
                  <c:v>0.054</c:v>
                </c:pt>
                <c:pt idx="4">
                  <c:v>0.074</c:v>
                </c:pt>
                <c:pt idx="5">
                  <c:v>0.095</c:v>
                </c:pt>
                <c:pt idx="6">
                  <c:v>0.116</c:v>
                </c:pt>
                <c:pt idx="7">
                  <c:v>0.137</c:v>
                </c:pt>
                <c:pt idx="8">
                  <c:v>0.158</c:v>
                </c:pt>
                <c:pt idx="9">
                  <c:v>0.179</c:v>
                </c:pt>
                <c:pt idx="10">
                  <c:v>0.200</c:v>
                </c:pt>
                <c:pt idx="11">
                  <c:v>0.221</c:v>
                </c:pt>
                <c:pt idx="12">
                  <c:v>0.242</c:v>
                </c:pt>
                <c:pt idx="13">
                  <c:v>0.263</c:v>
                </c:pt>
                <c:pt idx="14">
                  <c:v>0.284</c:v>
                </c:pt>
                <c:pt idx="15">
                  <c:v>0.305</c:v>
                </c:pt>
                <c:pt idx="16">
                  <c:v>0.326</c:v>
                </c:pt>
                <c:pt idx="17">
                  <c:v>0.347</c:v>
                </c:pt>
                <c:pt idx="18">
                  <c:v>0.368</c:v>
                </c:pt>
                <c:pt idx="19">
                  <c:v>0.389</c:v>
                </c:pt>
                <c:pt idx="20">
                  <c:v>0.410</c:v>
                </c:pt>
                <c:pt idx="21">
                  <c:v>0.418</c:v>
                </c:pt>
                <c:pt idx="22">
                  <c:v>0.475</c:v>
                </c:pt>
                <c:pt idx="26">
                  <c:v>Difference</c:v>
                </c:pt>
              </c:strCache>
            </c:strRef>
          </c:xVal>
          <c:yVal>
            <c:numRef>
              <c:f>'SS Rod Radial Profile_20'!$C$17:$AO$17</c:f>
              <c:numCache>
                <c:formatCode>0.000</c:formatCode>
                <c:ptCount val="39"/>
                <c:pt idx="0">
                  <c:v>91.89545425925928</c:v>
                </c:pt>
                <c:pt idx="1">
                  <c:v>91.80477888888889</c:v>
                </c:pt>
                <c:pt idx="2">
                  <c:v>91.53275277777779</c:v>
                </c:pt>
                <c:pt idx="3">
                  <c:v>90.9299761111111</c:v>
                </c:pt>
                <c:pt idx="4">
                  <c:v>90.00932722222224</c:v>
                </c:pt>
                <c:pt idx="5">
                  <c:v>88.77415388888891</c:v>
                </c:pt>
                <c:pt idx="6">
                  <c:v>87.22577833333332</c:v>
                </c:pt>
                <c:pt idx="7">
                  <c:v>85.36485333333334</c:v>
                </c:pt>
                <c:pt idx="8">
                  <c:v>83.19174944444443</c:v>
                </c:pt>
                <c:pt idx="9">
                  <c:v>80.70669333333336</c:v>
                </c:pt>
                <c:pt idx="10">
                  <c:v>77.90983444444445</c:v>
                </c:pt>
                <c:pt idx="11">
                  <c:v>74.80127388888888</c:v>
                </c:pt>
                <c:pt idx="12">
                  <c:v>71.38108333333334</c:v>
                </c:pt>
                <c:pt idx="13">
                  <c:v>67.64931333333335</c:v>
                </c:pt>
                <c:pt idx="14">
                  <c:v>63.60600111111113</c:v>
                </c:pt>
                <c:pt idx="15">
                  <c:v>59.25117277777777</c:v>
                </c:pt>
                <c:pt idx="16">
                  <c:v>54.58484722222226</c:v>
                </c:pt>
                <c:pt idx="17">
                  <c:v>49.60703888888891</c:v>
                </c:pt>
                <c:pt idx="18">
                  <c:v>44.31775555555558</c:v>
                </c:pt>
                <c:pt idx="19">
                  <c:v>38.71700444444444</c:v>
                </c:pt>
                <c:pt idx="20">
                  <c:v>32.84269333333334</c:v>
                </c:pt>
                <c:pt idx="21">
                  <c:v>5.478589444444423</c:v>
                </c:pt>
                <c:pt idx="22">
                  <c:v>0.0</c:v>
                </c:pt>
                <c:pt idx="23">
                  <c:v>-3.934967463503338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'SS Rod Radial Profile_20'!$B$17:$B$17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5"/>
          </c:marker>
          <c:xVal>
            <c:strRef>
              <c:f>'SS Rod Radial Profile_20'!$C$14:$AO$14</c:f>
              <c:strCache>
                <c:ptCount val="27"/>
                <c:pt idx="0">
                  <c:v>0.000</c:v>
                </c:pt>
                <c:pt idx="1">
                  <c:v>0.015</c:v>
                </c:pt>
                <c:pt idx="2">
                  <c:v>0.033</c:v>
                </c:pt>
                <c:pt idx="3">
                  <c:v>0.054</c:v>
                </c:pt>
                <c:pt idx="4">
                  <c:v>0.074</c:v>
                </c:pt>
                <c:pt idx="5">
                  <c:v>0.095</c:v>
                </c:pt>
                <c:pt idx="6">
                  <c:v>0.116</c:v>
                </c:pt>
                <c:pt idx="7">
                  <c:v>0.137</c:v>
                </c:pt>
                <c:pt idx="8">
                  <c:v>0.158</c:v>
                </c:pt>
                <c:pt idx="9">
                  <c:v>0.179</c:v>
                </c:pt>
                <c:pt idx="10">
                  <c:v>0.200</c:v>
                </c:pt>
                <c:pt idx="11">
                  <c:v>0.221</c:v>
                </c:pt>
                <c:pt idx="12">
                  <c:v>0.242</c:v>
                </c:pt>
                <c:pt idx="13">
                  <c:v>0.263</c:v>
                </c:pt>
                <c:pt idx="14">
                  <c:v>0.284</c:v>
                </c:pt>
                <c:pt idx="15">
                  <c:v>0.305</c:v>
                </c:pt>
                <c:pt idx="16">
                  <c:v>0.326</c:v>
                </c:pt>
                <c:pt idx="17">
                  <c:v>0.347</c:v>
                </c:pt>
                <c:pt idx="18">
                  <c:v>0.368</c:v>
                </c:pt>
                <c:pt idx="19">
                  <c:v>0.389</c:v>
                </c:pt>
                <c:pt idx="20">
                  <c:v>0.410</c:v>
                </c:pt>
                <c:pt idx="21">
                  <c:v>0.418</c:v>
                </c:pt>
                <c:pt idx="22">
                  <c:v>0.475</c:v>
                </c:pt>
                <c:pt idx="26">
                  <c:v>Difference</c:v>
                </c:pt>
              </c:strCache>
            </c:strRef>
          </c:xVal>
          <c:yVal>
            <c:numRef>
              <c:f>'SS Rod Radial Profile_20'!$C$17:$AO$17</c:f>
              <c:numCache>
                <c:formatCode>0.000</c:formatCode>
                <c:ptCount val="39"/>
                <c:pt idx="0">
                  <c:v>91.89545425925928</c:v>
                </c:pt>
                <c:pt idx="1">
                  <c:v>91.80477888888889</c:v>
                </c:pt>
                <c:pt idx="2">
                  <c:v>91.53275277777779</c:v>
                </c:pt>
                <c:pt idx="3">
                  <c:v>90.9299761111111</c:v>
                </c:pt>
                <c:pt idx="4">
                  <c:v>90.00932722222224</c:v>
                </c:pt>
                <c:pt idx="5">
                  <c:v>88.77415388888891</c:v>
                </c:pt>
                <c:pt idx="6">
                  <c:v>87.22577833333332</c:v>
                </c:pt>
                <c:pt idx="7">
                  <c:v>85.36485333333334</c:v>
                </c:pt>
                <c:pt idx="8">
                  <c:v>83.19174944444443</c:v>
                </c:pt>
                <c:pt idx="9">
                  <c:v>80.70669333333336</c:v>
                </c:pt>
                <c:pt idx="10">
                  <c:v>77.90983444444445</c:v>
                </c:pt>
                <c:pt idx="11">
                  <c:v>74.80127388888888</c:v>
                </c:pt>
                <c:pt idx="12">
                  <c:v>71.38108333333334</c:v>
                </c:pt>
                <c:pt idx="13">
                  <c:v>67.64931333333335</c:v>
                </c:pt>
                <c:pt idx="14">
                  <c:v>63.60600111111113</c:v>
                </c:pt>
                <c:pt idx="15">
                  <c:v>59.25117277777777</c:v>
                </c:pt>
                <c:pt idx="16">
                  <c:v>54.58484722222226</c:v>
                </c:pt>
                <c:pt idx="17">
                  <c:v>49.60703888888891</c:v>
                </c:pt>
                <c:pt idx="18">
                  <c:v>44.31775555555558</c:v>
                </c:pt>
                <c:pt idx="19">
                  <c:v>38.71700444444444</c:v>
                </c:pt>
                <c:pt idx="20">
                  <c:v>32.84269333333334</c:v>
                </c:pt>
                <c:pt idx="21">
                  <c:v>5.478589444444423</c:v>
                </c:pt>
                <c:pt idx="22">
                  <c:v>0.0</c:v>
                </c:pt>
                <c:pt idx="23">
                  <c:v>-3.934967463503338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75320"/>
        <c:axId val="2081569528"/>
      </c:scatterChart>
      <c:valAx>
        <c:axId val="208157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Radius [cm]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1569528"/>
        <c:crossesAt val="0.0"/>
        <c:crossBetween val="midCat"/>
      </c:valAx>
      <c:valAx>
        <c:axId val="20815695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Temperature [C]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157532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Profile_20'!$AB$15:$AB$15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5"/>
          </c:marker>
          <c:xVal>
            <c:numRef>
              <c:f>'SS Rod Radial Profile_20'!$C$14:$M$14</c:f>
              <c:numCache>
                <c:formatCode>0.000</c:formatCode>
                <c:ptCount val="11"/>
                <c:pt idx="0">
                  <c:v>0.0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0.0951047628866945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</c:numCache>
            </c:numRef>
          </c:xVal>
          <c:yVal>
            <c:numRef>
              <c:f>'SS Rod Radial Profile_20'!$R$15:$AD$15</c:f>
              <c:numCache>
                <c:formatCode>0.000</c:formatCode>
                <c:ptCount val="13"/>
                <c:pt idx="0">
                  <c:v>59.28614062310741</c:v>
                </c:pt>
                <c:pt idx="1">
                  <c:v>54.61571472883392</c:v>
                </c:pt>
                <c:pt idx="2">
                  <c:v>49.63392710827527</c:v>
                </c:pt>
                <c:pt idx="3">
                  <c:v>44.34077776143118</c:v>
                </c:pt>
                <c:pt idx="4">
                  <c:v>38.73626668830297</c:v>
                </c:pt>
                <c:pt idx="5">
                  <c:v>32.85931410467533</c:v>
                </c:pt>
                <c:pt idx="6">
                  <c:v>5.487609701389308</c:v>
                </c:pt>
                <c:pt idx="7">
                  <c:v>0.0</c:v>
                </c:pt>
                <c:pt idx="8">
                  <c:v>-3.961063674805323</c:v>
                </c:pt>
                <c:pt idx="10" formatCode="General">
                  <c:v>0.0</c:v>
                </c:pt>
                <c:pt idx="11" formatCode="0.00">
                  <c:v>-0.136903610890954</c:v>
                </c:pt>
                <c:pt idx="12" formatCode="0.00">
                  <c:v>-0.14977077191233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Profile_20'!$AB$16:$AB$16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</c:marker>
          <c:xVal>
            <c:numRef>
              <c:f>'SS Rod Radial Profile_20'!$C$14:$M$14</c:f>
              <c:numCache>
                <c:formatCode>0.000</c:formatCode>
                <c:ptCount val="11"/>
                <c:pt idx="0">
                  <c:v>0.0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0.0951047628866945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</c:numCache>
            </c:numRef>
          </c:xVal>
          <c:yVal>
            <c:numRef>
              <c:f>'SS Rod Radial Profile_20'!$R$16:$AD$16</c:f>
              <c:numCache>
                <c:formatCode>0.000</c:formatCode>
                <c:ptCount val="13"/>
                <c:pt idx="0">
                  <c:v>59.26542722222223</c:v>
                </c:pt>
                <c:pt idx="1">
                  <c:v>54.5978138888889</c:v>
                </c:pt>
                <c:pt idx="2">
                  <c:v>49.61868</c:v>
                </c:pt>
                <c:pt idx="3">
                  <c:v>44.32804333333334</c:v>
                </c:pt>
                <c:pt idx="4">
                  <c:v>38.72591777777782</c:v>
                </c:pt>
                <c:pt idx="5">
                  <c:v>32.85022999999999</c:v>
                </c:pt>
                <c:pt idx="6">
                  <c:v>5.479872777777801</c:v>
                </c:pt>
                <c:pt idx="7">
                  <c:v>0.0</c:v>
                </c:pt>
                <c:pt idx="8">
                  <c:v>-3.93612024128111</c:v>
                </c:pt>
                <c:pt idx="10" formatCode="General">
                  <c:v>0.0</c:v>
                </c:pt>
                <c:pt idx="11" formatCode="0.00">
                  <c:v>-0.161508055335375</c:v>
                </c:pt>
                <c:pt idx="12" formatCode="0.00">
                  <c:v>-0.174342994134548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37784"/>
        <c:axId val="2081534440"/>
      </c:scatterChart>
      <c:valAx>
        <c:axId val="20815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1534440"/>
        <c:crossesAt val="0.0"/>
        <c:crossBetween val="midCat"/>
      </c:valAx>
      <c:valAx>
        <c:axId val="20815344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1537784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Fuel_Centerline_Temperature!$M$8:$M$8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5"/>
          </c:marker>
          <c:trendline>
            <c:spPr>
              <a:ln>
                <a:solidFill>
                  <a:srgbClr val="FF420E"/>
                </a:solidFill>
              </a:ln>
            </c:spPr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Fuel_Centerline_Temperature!$E$9:$E$11</c:f>
              <c:numCache>
                <c:formatCode>0.0000</c:formatCode>
                <c:ptCount val="3"/>
                <c:pt idx="0">
                  <c:v>0.0643624305720021</c:v>
                </c:pt>
                <c:pt idx="1">
                  <c:v>0.0304874671130536</c:v>
                </c:pt>
                <c:pt idx="2">
                  <c:v>0.014852868593539</c:v>
                </c:pt>
              </c:numCache>
            </c:numRef>
          </c:xVal>
          <c:yVal>
            <c:numRef>
              <c:f>Fuel_Centerline_Temperature!$M$15:$M$17</c:f>
              <c:numCache>
                <c:formatCode>0.00%</c:formatCode>
                <c:ptCount val="3"/>
                <c:pt idx="0">
                  <c:v>0.0132672997662119</c:v>
                </c:pt>
                <c:pt idx="1">
                  <c:v>0.00451616011226333</c:v>
                </c:pt>
                <c:pt idx="2">
                  <c:v>0.0014871619424406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Fuel_Centerline_Temperature!$N$8:$N$8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5"/>
          </c:marker>
          <c:xVal>
            <c:numRef>
              <c:f>Fuel_Centerline_Temperature!$E$9:$E$11</c:f>
              <c:numCache>
                <c:formatCode>0.0000</c:formatCode>
                <c:ptCount val="3"/>
                <c:pt idx="0">
                  <c:v>0.0643624305720021</c:v>
                </c:pt>
                <c:pt idx="1">
                  <c:v>0.0304874671130536</c:v>
                </c:pt>
                <c:pt idx="2">
                  <c:v>0.014852868593539</c:v>
                </c:pt>
              </c:numCache>
            </c:numRef>
          </c:xVal>
          <c:yVal>
            <c:numRef>
              <c:f>Fuel_Centerline_Temperature!$N$9:$N$11</c:f>
              <c:numCache>
                <c:formatCode>General</c:formatCode>
                <c:ptCount val="3"/>
                <c:pt idx="0">
                  <c:v>1.244212870150278</c:v>
                </c:pt>
                <c:pt idx="1">
                  <c:v>0.439988240520549</c:v>
                </c:pt>
                <c:pt idx="2">
                  <c:v>0.161508055335375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Fuel_Centerline_Temperature!$O$8:$O$8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5"/>
          </c:marker>
          <c:xVal>
            <c:numRef>
              <c:f>Fuel_Centerline_Temperature!$E$9:$E$11</c:f>
              <c:numCache>
                <c:formatCode>0.0000</c:formatCode>
                <c:ptCount val="3"/>
                <c:pt idx="0">
                  <c:v>0.0643624305720021</c:v>
                </c:pt>
                <c:pt idx="1">
                  <c:v>0.0304874671130536</c:v>
                </c:pt>
                <c:pt idx="2">
                  <c:v>0.014852868593539</c:v>
                </c:pt>
              </c:numCache>
            </c:numRef>
          </c:xVal>
          <c:yVal>
            <c:numRef>
              <c:f>Fuel_Centerline_Temperature!$O$9:$O$11</c:f>
              <c:numCache>
                <c:formatCode>General</c:formatCode>
                <c:ptCount val="3"/>
                <c:pt idx="0">
                  <c:v>1.216651388668723</c:v>
                </c:pt>
                <c:pt idx="1">
                  <c:v>0.410569536816908</c:v>
                </c:pt>
                <c:pt idx="2">
                  <c:v>0.131604907187238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78840"/>
        <c:axId val="2081475352"/>
      </c:scatterChart>
      <c:valAx>
        <c:axId val="208147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1475352"/>
        <c:crossesAt val="0.0"/>
        <c:crossBetween val="midCat"/>
      </c:valAx>
      <c:valAx>
        <c:axId val="2081475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147884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Fuel_Centerline_Temperature!$M$8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xVal>
            <c:numRef>
              <c:f>Fuel_Centerline_Temperature!$E$9:$E$11</c:f>
              <c:numCache>
                <c:formatCode>0.0000</c:formatCode>
                <c:ptCount val="3"/>
                <c:pt idx="0">
                  <c:v>0.0643624305720021</c:v>
                </c:pt>
                <c:pt idx="1">
                  <c:v>0.0304874671130536</c:v>
                </c:pt>
                <c:pt idx="2">
                  <c:v>0.014852868593539</c:v>
                </c:pt>
              </c:numCache>
            </c:numRef>
          </c:xVal>
          <c:yVal>
            <c:numRef>
              <c:f>Fuel_Centerline_Temperature!$M$9:$M$11</c:f>
              <c:numCache>
                <c:formatCode>General</c:formatCode>
                <c:ptCount val="3"/>
                <c:pt idx="0">
                  <c:v>1.221347314594595</c:v>
                </c:pt>
                <c:pt idx="1">
                  <c:v>0.415743981261301</c:v>
                </c:pt>
                <c:pt idx="2">
                  <c:v>0.136903610890954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Fuel_Centerline_Temperature!$N$8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Fuel_Centerline_Temperature!$E$9:$E$11</c:f>
              <c:numCache>
                <c:formatCode>0.0000</c:formatCode>
                <c:ptCount val="3"/>
                <c:pt idx="0">
                  <c:v>0.0643624305720021</c:v>
                </c:pt>
                <c:pt idx="1">
                  <c:v>0.0304874671130536</c:v>
                </c:pt>
                <c:pt idx="2">
                  <c:v>0.014852868593539</c:v>
                </c:pt>
              </c:numCache>
            </c:numRef>
          </c:xVal>
          <c:yVal>
            <c:numRef>
              <c:f>Fuel_Centerline_Temperature!$N$9:$N$11</c:f>
              <c:numCache>
                <c:formatCode>General</c:formatCode>
                <c:ptCount val="3"/>
                <c:pt idx="0">
                  <c:v>1.244212870150278</c:v>
                </c:pt>
                <c:pt idx="1">
                  <c:v>0.439988240520549</c:v>
                </c:pt>
                <c:pt idx="2">
                  <c:v>0.161508055335375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Fuel_Centerline_Temperature!$O$8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Fuel_Centerline_Temperature!$E$9:$E$11</c:f>
              <c:numCache>
                <c:formatCode>0.0000</c:formatCode>
                <c:ptCount val="3"/>
                <c:pt idx="0">
                  <c:v>0.0643624305720021</c:v>
                </c:pt>
                <c:pt idx="1">
                  <c:v>0.0304874671130536</c:v>
                </c:pt>
                <c:pt idx="2">
                  <c:v>0.014852868593539</c:v>
                </c:pt>
              </c:numCache>
            </c:numRef>
          </c:xVal>
          <c:yVal>
            <c:numRef>
              <c:f>Fuel_Centerline_Temperature!$O$9:$O$11</c:f>
              <c:numCache>
                <c:formatCode>General</c:formatCode>
                <c:ptCount val="3"/>
                <c:pt idx="0">
                  <c:v>1.216651388668723</c:v>
                </c:pt>
                <c:pt idx="1">
                  <c:v>0.410569536816908</c:v>
                </c:pt>
                <c:pt idx="2">
                  <c:v>0.131604907187238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Fuel_Centerline_Temperature!$P$8</c:f>
              <c:strCache>
                <c:ptCount val="1"/>
                <c:pt idx="0">
                  <c:v>Original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7"/>
          </c:marker>
          <c:xVal>
            <c:numRef>
              <c:f>Fuel_Centerline_Temperature!$E$9:$E$11</c:f>
              <c:numCache>
                <c:formatCode>0.0000</c:formatCode>
                <c:ptCount val="3"/>
                <c:pt idx="0">
                  <c:v>0.0643624305720021</c:v>
                </c:pt>
                <c:pt idx="1">
                  <c:v>0.0304874671130536</c:v>
                </c:pt>
                <c:pt idx="2">
                  <c:v>0.014852868593539</c:v>
                </c:pt>
              </c:numCache>
            </c:numRef>
          </c:xVal>
          <c:yVal>
            <c:numRef>
              <c:f>Fuel_Centerline_Temperature!$P$9:$P$11</c:f>
              <c:numCache>
                <c:formatCode>General</c:formatCode>
                <c:ptCount val="3"/>
                <c:pt idx="0">
                  <c:v>1.980932499779911</c:v>
                </c:pt>
                <c:pt idx="1">
                  <c:v>0.716773981261326</c:v>
                </c:pt>
                <c:pt idx="2">
                  <c:v>0.187490647927916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33768"/>
        <c:axId val="2081430296"/>
      </c:scatterChart>
      <c:valAx>
        <c:axId val="2081433768"/>
        <c:scaling>
          <c:logBase val="10.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1430296"/>
        <c:crosses val="autoZero"/>
        <c:crossBetween val="midCat"/>
      </c:valAx>
      <c:valAx>
        <c:axId val="2081430296"/>
        <c:scaling>
          <c:logBase val="10.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1433768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Fuel_Centerline_Temperature!$M$14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xVal>
            <c:numRef>
              <c:f>Fuel_Centerline_Temperature!$L$15:$L$17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</c:numCache>
            </c:numRef>
          </c:xVal>
          <c:yVal>
            <c:numRef>
              <c:f>Fuel_Centerline_Temperature!$M$15:$M$17</c:f>
              <c:numCache>
                <c:formatCode>0.00%</c:formatCode>
                <c:ptCount val="3"/>
                <c:pt idx="0">
                  <c:v>0.0132672997662119</c:v>
                </c:pt>
                <c:pt idx="1">
                  <c:v>0.00451616011226333</c:v>
                </c:pt>
                <c:pt idx="2">
                  <c:v>0.0014871619424406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Fuel_Centerline_Temperature!$N$14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Fuel_Centerline_Temperature!$L$15:$L$17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</c:numCache>
            </c:numRef>
          </c:xVal>
          <c:yVal>
            <c:numRef>
              <c:f>Fuel_Centerline_Temperature!$N$15:$N$17</c:f>
              <c:numCache>
                <c:formatCode>0.00%</c:formatCode>
                <c:ptCount val="3"/>
                <c:pt idx="0">
                  <c:v>0.0135156846246818</c:v>
                </c:pt>
                <c:pt idx="1">
                  <c:v>0.00477952160768608</c:v>
                </c:pt>
                <c:pt idx="2">
                  <c:v>0.00175443607169481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Fuel_Centerline_Temperature!$O$14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Fuel_Centerline_Temperature!$L$15:$L$17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</c:numCache>
            </c:numRef>
          </c:xVal>
          <c:yVal>
            <c:numRef>
              <c:f>Fuel_Centerline_Temperature!$O$15:$O$17</c:f>
              <c:numCache>
                <c:formatCode>0.00%</c:formatCode>
                <c:ptCount val="3"/>
                <c:pt idx="0">
                  <c:v>0.0132162886769058</c:v>
                </c:pt>
                <c:pt idx="1">
                  <c:v>0.00445995095312651</c:v>
                </c:pt>
                <c:pt idx="2">
                  <c:v>0.00142960297492212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Fuel_Centerline_Temperature!$P$14</c:f>
              <c:strCache>
                <c:ptCount val="1"/>
                <c:pt idx="0">
                  <c:v>Original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7"/>
          </c:marker>
          <c:xVal>
            <c:numRef>
              <c:f>Fuel_Centerline_Temperature!$L$15:$L$17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</c:numCache>
            </c:numRef>
          </c:xVal>
          <c:yVal>
            <c:numRef>
              <c:f>Fuel_Centerline_Temperature!$P$15:$P$17</c:f>
              <c:numCache>
                <c:formatCode>0.00%</c:formatCode>
                <c:ptCount val="3"/>
                <c:pt idx="0">
                  <c:v>0.0215185516659814</c:v>
                </c:pt>
                <c:pt idx="1">
                  <c:v>0.0077862006657555</c:v>
                </c:pt>
                <c:pt idx="2">
                  <c:v>0.00203668080299225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26360"/>
        <c:axId val="2084029832"/>
      </c:scatterChart>
      <c:valAx>
        <c:axId val="2084026360"/>
        <c:scaling>
          <c:logBase val="10.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4029832"/>
        <c:crosses val="autoZero"/>
        <c:crossBetween val="midCat"/>
      </c:valAx>
      <c:valAx>
        <c:axId val="2084029832"/>
        <c:scaling>
          <c:logBase val="10.0"/>
          <c:orientation val="minMax"/>
          <c:max val="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402636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Fuel_Centerline_Temperature!$H$14</c:f>
              <c:strCache>
                <c:ptCount val="1"/>
                <c:pt idx="0">
                  <c:v>delta_R_1 [cm]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0"/>
          </c:trendline>
          <c:xVal>
            <c:numRef>
              <c:f>Fuel_Centerline_Temperature!$G$15:$G$17</c:f>
              <c:numCache>
                <c:formatCode>General</c:formatCode>
                <c:ptCount val="3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</c:numCache>
            </c:numRef>
          </c:xVal>
          <c:yVal>
            <c:numRef>
              <c:f>Fuel_Centerline_Temperature!$H$15:$H$17</c:f>
              <c:numCache>
                <c:formatCode>General</c:formatCode>
                <c:ptCount val="3"/>
                <c:pt idx="0">
                  <c:v>0.0643624305720021</c:v>
                </c:pt>
                <c:pt idx="1">
                  <c:v>0.0304874671130536</c:v>
                </c:pt>
                <c:pt idx="2">
                  <c:v>0.014852868593539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56072"/>
        <c:axId val="2084059128"/>
      </c:scatterChart>
      <c:valAx>
        <c:axId val="208405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4059128"/>
        <c:crosses val="autoZero"/>
        <c:crossBetween val="midCat"/>
      </c:valAx>
      <c:valAx>
        <c:axId val="20840591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40560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sz="1300" b="1">
                <a:latin typeface="Arial"/>
              </a:rPr>
              <a:t>Temperature Profile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Profile_5'!$B$23:$B$23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5"/>
          </c:marker>
          <c:xVal>
            <c:numRef>
              <c:f>'SS Rod Radial Profile_5'!$C$22:$J$22</c:f>
              <c:numCache>
                <c:formatCode>0.00000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Profile_5'!$C$23:$J$23</c:f>
              <c:numCache>
                <c:formatCode>0.000</c:formatCode>
                <c:ptCount val="8"/>
                <c:pt idx="0">
                  <c:v>386.9525779703411</c:v>
                </c:pt>
                <c:pt idx="1">
                  <c:v>385.4909076441702</c:v>
                </c:pt>
                <c:pt idx="2">
                  <c:v>379.6442263394868</c:v>
                </c:pt>
                <c:pt idx="3">
                  <c:v>367.9508637301201</c:v>
                </c:pt>
                <c:pt idx="4">
                  <c:v>350.4108198160696</c:v>
                </c:pt>
                <c:pt idx="5">
                  <c:v>327.7549297604218</c:v>
                </c:pt>
                <c:pt idx="6">
                  <c:v>300.3832253571358</c:v>
                </c:pt>
                <c:pt idx="7">
                  <c:v>294.8956156557464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Profile_5'!$B$24:$B$24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5"/>
          </c:marker>
          <c:xVal>
            <c:numRef>
              <c:f>'SS Rod Radial Profile_5'!$C$22:$J$22</c:f>
              <c:numCache>
                <c:formatCode>0.00000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Profile_5'!$C$24:$J$24</c:f>
              <c:numCache>
                <c:formatCode>0.000</c:formatCode>
                <c:ptCount val="8"/>
                <c:pt idx="0">
                  <c:v>385.7063161111112</c:v>
                </c:pt>
                <c:pt idx="1">
                  <c:v>384.0030122222223</c:v>
                </c:pt>
                <c:pt idx="2">
                  <c:v>378.8931005555556</c:v>
                </c:pt>
                <c:pt idx="3">
                  <c:v>367.5701577777779</c:v>
                </c:pt>
                <c:pt idx="4">
                  <c:v>350.2760138888889</c:v>
                </c:pt>
                <c:pt idx="5">
                  <c:v>327.7211205555556</c:v>
                </c:pt>
                <c:pt idx="6">
                  <c:v>300.3506055555556</c:v>
                </c:pt>
                <c:pt idx="7">
                  <c:v>294.8707011111111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Profile_5'!$B$26:$B$26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5"/>
          </c:marker>
          <c:xVal>
            <c:numRef>
              <c:f>'SS Rod Radial Profile_5'!$C$22:$J$22</c:f>
              <c:numCache>
                <c:formatCode>0.00000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Profile_5'!$C$26:$J$26</c:f>
              <c:numCache>
                <c:formatCode>0.000</c:formatCode>
                <c:ptCount val="8"/>
                <c:pt idx="0">
                  <c:v>385.7112314814815</c:v>
                </c:pt>
                <c:pt idx="1">
                  <c:v>384.007813888889</c:v>
                </c:pt>
                <c:pt idx="2">
                  <c:v>378.8975611111111</c:v>
                </c:pt>
                <c:pt idx="3">
                  <c:v>367.5739016666667</c:v>
                </c:pt>
                <c:pt idx="4">
                  <c:v>350.2787700000001</c:v>
                </c:pt>
                <c:pt idx="5">
                  <c:v>327.7227738888889</c:v>
                </c:pt>
                <c:pt idx="6">
                  <c:v>300.3510694444445</c:v>
                </c:pt>
                <c:pt idx="7">
                  <c:v>294.8709205555556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94344"/>
        <c:axId val="2082300088"/>
      </c:scatterChart>
      <c:valAx>
        <c:axId val="208229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Radius [cm]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2300088"/>
        <c:crossesAt val="0.0"/>
        <c:crossBetween val="midCat"/>
      </c:valAx>
      <c:valAx>
        <c:axId val="20823000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Temperature [C]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2294344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sz="1300" b="1">
                <a:latin typeface="Arial"/>
              </a:rPr>
              <a:t>Relative Temperature Difference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Profile_5'!$B$15:$B$15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5"/>
          </c:marker>
          <c:xVal>
            <c:numRef>
              <c:f>'SS Rod Radial Profile_5'!$C$14:$J$14</c:f>
              <c:numCache>
                <c:formatCode>0.000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Profile_5'!$C$15:$J$15</c:f>
              <c:numCache>
                <c:formatCode>0.000</c:formatCode>
                <c:ptCount val="8"/>
                <c:pt idx="0">
                  <c:v>92.05696231459466</c:v>
                </c:pt>
                <c:pt idx="1">
                  <c:v>90.59529198842381</c:v>
                </c:pt>
                <c:pt idx="2">
                  <c:v>84.7486106837404</c:v>
                </c:pt>
                <c:pt idx="3">
                  <c:v>73.05524807437364</c:v>
                </c:pt>
                <c:pt idx="4">
                  <c:v>55.51520416032317</c:v>
                </c:pt>
                <c:pt idx="5">
                  <c:v>32.85931410467533</c:v>
                </c:pt>
                <c:pt idx="6">
                  <c:v>5.487609701389308</c:v>
                </c:pt>
                <c:pt idx="7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Profile_5'!$B$16:$B$16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5"/>
          </c:marker>
          <c:xVal>
            <c:numRef>
              <c:f>'SS Rod Radial Profile_5'!$C$14:$J$14</c:f>
              <c:numCache>
                <c:formatCode>0.000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Profile_5'!$C$16:$J$16</c:f>
              <c:numCache>
                <c:formatCode>0.000</c:formatCode>
                <c:ptCount val="8"/>
                <c:pt idx="0">
                  <c:v>90.83561500000006</c:v>
                </c:pt>
                <c:pt idx="1">
                  <c:v>89.13231111111114</c:v>
                </c:pt>
                <c:pt idx="2">
                  <c:v>84.02239944444445</c:v>
                </c:pt>
                <c:pt idx="3">
                  <c:v>72.69945666666672</c:v>
                </c:pt>
                <c:pt idx="4">
                  <c:v>55.40531277777777</c:v>
                </c:pt>
                <c:pt idx="5">
                  <c:v>32.85041944444445</c:v>
                </c:pt>
                <c:pt idx="6">
                  <c:v>5.479904444444451</c:v>
                </c:pt>
                <c:pt idx="7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Profile_5'!$B$18:$B$18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5"/>
          </c:marker>
          <c:xVal>
            <c:numRef>
              <c:f>'SS Rod Radial Profile_5'!$C$14:$J$14</c:f>
              <c:numCache>
                <c:formatCode>0.000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Profile_5'!$C$18:$J$18</c:f>
              <c:numCache>
                <c:formatCode>0.000</c:formatCode>
                <c:ptCount val="8"/>
                <c:pt idx="0">
                  <c:v>90.84031092592593</c:v>
                </c:pt>
                <c:pt idx="1">
                  <c:v>89.13689333333335</c:v>
                </c:pt>
                <c:pt idx="2">
                  <c:v>84.02664055555559</c:v>
                </c:pt>
                <c:pt idx="3">
                  <c:v>72.70298111111111</c:v>
                </c:pt>
                <c:pt idx="4">
                  <c:v>55.40784944444447</c:v>
                </c:pt>
                <c:pt idx="5">
                  <c:v>32.85185333333332</c:v>
                </c:pt>
                <c:pt idx="6">
                  <c:v>5.480148888888911</c:v>
                </c:pt>
                <c:pt idx="7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'SS Rod Radial Profile_5'!$B$17:$B$17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5"/>
          </c:marker>
          <c:xVal>
            <c:numRef>
              <c:f>'SS Rod Radial Profile_5'!$C$14:$J$14</c:f>
              <c:numCache>
                <c:formatCode>0.000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Profile_5'!$C$17:$J$17</c:f>
              <c:numCache>
                <c:formatCode>0.000</c:formatCode>
                <c:ptCount val="8"/>
                <c:pt idx="0">
                  <c:v>90.81274944444438</c:v>
                </c:pt>
                <c:pt idx="1">
                  <c:v>89.10999999999995</c:v>
                </c:pt>
                <c:pt idx="2">
                  <c:v>84.00175166666664</c:v>
                </c:pt>
                <c:pt idx="3">
                  <c:v>72.68229833333332</c:v>
                </c:pt>
                <c:pt idx="4">
                  <c:v>55.3929611111111</c:v>
                </c:pt>
                <c:pt idx="5">
                  <c:v>32.84343777777774</c:v>
                </c:pt>
                <c:pt idx="6">
                  <c:v>5.478715555555532</c:v>
                </c:pt>
                <c:pt idx="7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46152"/>
        <c:axId val="2082351944"/>
      </c:scatterChart>
      <c:valAx>
        <c:axId val="208234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Radius [cm]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2351944"/>
        <c:crossesAt val="0.0"/>
        <c:crossBetween val="midCat"/>
      </c:valAx>
      <c:valAx>
        <c:axId val="2082351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Temperature [C]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2346152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Profile_5'!$L$16:$L$16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5"/>
          </c:marker>
          <c:xVal>
            <c:numRef>
              <c:f>'SS Rod Radial Profile_5'!$C$14:$I$14</c:f>
              <c:numCache>
                <c:formatCode>0.000</c:formatCode>
                <c:ptCount val="7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</c:numCache>
            </c:numRef>
          </c:xVal>
          <c:yVal>
            <c:numRef>
              <c:f>'SS Rod Radial Profile_5'!$M$16:$Y$16</c:f>
              <c:numCache>
                <c:formatCode>0.00</c:formatCode>
                <c:ptCount val="13"/>
                <c:pt idx="0">
                  <c:v>-1.221347314594595</c:v>
                </c:pt>
                <c:pt idx="1">
                  <c:v>-1.462980877312674</c:v>
                </c:pt>
                <c:pt idx="2">
                  <c:v>-0.726211239295964</c:v>
                </c:pt>
                <c:pt idx="3">
                  <c:v>-0.355791407706917</c:v>
                </c:pt>
                <c:pt idx="4">
                  <c:v>-0.109891382545399</c:v>
                </c:pt>
                <c:pt idx="5">
                  <c:v>-0.00889466023087948</c:v>
                </c:pt>
                <c:pt idx="6">
                  <c:v>-0.00770525694485702</c:v>
                </c:pt>
                <c:pt idx="7">
                  <c:v>0.0</c:v>
                </c:pt>
                <c:pt idx="8">
                  <c:v>0.0249145446353332</c:v>
                </c:pt>
                <c:pt idx="9">
                  <c:v>0.0</c:v>
                </c:pt>
                <c:pt idx="10">
                  <c:v>-0.0228655555556827</c:v>
                </c:pt>
                <c:pt idx="11">
                  <c:v>-0.0223111111111791</c:v>
                </c:pt>
                <c:pt idx="12">
                  <c:v>-0.0206477777778105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Profile_5'!$L$17:$L$17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</c:marker>
          <c:xVal>
            <c:numRef>
              <c:f>'SS Rod Radial Profile_5'!$C$14:$I$14</c:f>
              <c:numCache>
                <c:formatCode>0.000</c:formatCode>
                <c:ptCount val="7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</c:numCache>
            </c:numRef>
          </c:xVal>
          <c:yVal>
            <c:numRef>
              <c:f>'SS Rod Radial Profile_5'!$M$17:$Y$17</c:f>
              <c:numCache>
                <c:formatCode>0.00</c:formatCode>
                <c:ptCount val="13"/>
                <c:pt idx="0">
                  <c:v>-1.244212870150278</c:v>
                </c:pt>
                <c:pt idx="1">
                  <c:v>-1.485291988423853</c:v>
                </c:pt>
                <c:pt idx="2">
                  <c:v>-0.746859017073774</c:v>
                </c:pt>
                <c:pt idx="3">
                  <c:v>-0.372949741040315</c:v>
                </c:pt>
                <c:pt idx="4">
                  <c:v>-0.122243049212081</c:v>
                </c:pt>
                <c:pt idx="5">
                  <c:v>-0.0158763268975974</c:v>
                </c:pt>
                <c:pt idx="6">
                  <c:v>-0.0088941458337759</c:v>
                </c:pt>
                <c:pt idx="7">
                  <c:v>0.0</c:v>
                </c:pt>
                <c:pt idx="8">
                  <c:v>0.0259823224130677</c:v>
                </c:pt>
                <c:pt idx="9">
                  <c:v>0.0</c:v>
                </c:pt>
                <c:pt idx="10">
                  <c:v>0.00469592592587276</c:v>
                </c:pt>
                <c:pt idx="11">
                  <c:v>0.00458222222221138</c:v>
                </c:pt>
                <c:pt idx="12">
                  <c:v>0.004241111111142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82248"/>
        <c:axId val="2082385496"/>
      </c:scatterChart>
      <c:valAx>
        <c:axId val="208238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2385496"/>
        <c:crossesAt val="0.0"/>
        <c:crossBetween val="midCat"/>
      </c:valAx>
      <c:valAx>
        <c:axId val="2082385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2382248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Profile_5'!$B$16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xVal>
            <c:numRef>
              <c:f>'SS Rod Radial Profile_5'!$C$14:$J$14</c:f>
              <c:numCache>
                <c:formatCode>0.000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Profile_5'!$C$16:$J$16</c:f>
              <c:numCache>
                <c:formatCode>0.000</c:formatCode>
                <c:ptCount val="8"/>
                <c:pt idx="0">
                  <c:v>90.83561500000006</c:v>
                </c:pt>
                <c:pt idx="1">
                  <c:v>89.13231111111114</c:v>
                </c:pt>
                <c:pt idx="2">
                  <c:v>84.02239944444445</c:v>
                </c:pt>
                <c:pt idx="3">
                  <c:v>72.69945666666672</c:v>
                </c:pt>
                <c:pt idx="4">
                  <c:v>55.40531277777777</c:v>
                </c:pt>
                <c:pt idx="5">
                  <c:v>32.85041944444445</c:v>
                </c:pt>
                <c:pt idx="6">
                  <c:v>5.479904444444451</c:v>
                </c:pt>
                <c:pt idx="7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Profile_5'!$B$17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'SS Rod Radial Profile_5'!$C$14:$J$14</c:f>
              <c:numCache>
                <c:formatCode>0.000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Profile_5'!$C$17:$J$17</c:f>
              <c:numCache>
                <c:formatCode>0.000</c:formatCode>
                <c:ptCount val="8"/>
                <c:pt idx="0">
                  <c:v>90.81274944444438</c:v>
                </c:pt>
                <c:pt idx="1">
                  <c:v>89.10999999999995</c:v>
                </c:pt>
                <c:pt idx="2">
                  <c:v>84.00175166666664</c:v>
                </c:pt>
                <c:pt idx="3">
                  <c:v>72.68229833333332</c:v>
                </c:pt>
                <c:pt idx="4">
                  <c:v>55.3929611111111</c:v>
                </c:pt>
                <c:pt idx="5">
                  <c:v>32.84343777777774</c:v>
                </c:pt>
                <c:pt idx="6">
                  <c:v>5.478715555555532</c:v>
                </c:pt>
                <c:pt idx="7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Profile_5'!$B$18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'SS Rod Radial Profile_5'!$C$14:$J$14</c:f>
              <c:numCache>
                <c:formatCode>0.000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Profile_5'!$C$18:$J$18</c:f>
              <c:numCache>
                <c:formatCode>0.000</c:formatCode>
                <c:ptCount val="8"/>
                <c:pt idx="0">
                  <c:v>90.84031092592593</c:v>
                </c:pt>
                <c:pt idx="1">
                  <c:v>89.13689333333335</c:v>
                </c:pt>
                <c:pt idx="2">
                  <c:v>84.02664055555559</c:v>
                </c:pt>
                <c:pt idx="3">
                  <c:v>72.70298111111111</c:v>
                </c:pt>
                <c:pt idx="4">
                  <c:v>55.40784944444447</c:v>
                </c:pt>
                <c:pt idx="5">
                  <c:v>32.85185333333332</c:v>
                </c:pt>
                <c:pt idx="6">
                  <c:v>5.480148888888911</c:v>
                </c:pt>
                <c:pt idx="7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'SS Rod Radial Profile_5'!$B$19</c:f>
              <c:strCache>
                <c:ptCount val="1"/>
                <c:pt idx="0">
                  <c:v>Original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7"/>
          </c:marker>
          <c:xVal>
            <c:numRef>
              <c:f>'SS Rod Radial Profile_5'!$C$14:$J$14</c:f>
              <c:numCache>
                <c:formatCode>0.000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Profile_5'!$C$19:$J$19</c:f>
              <c:numCache>
                <c:formatCode>0.000</c:formatCode>
                <c:ptCount val="8"/>
                <c:pt idx="0">
                  <c:v>90.07602981481475</c:v>
                </c:pt>
                <c:pt idx="1">
                  <c:v>88.50769777777777</c:v>
                </c:pt>
                <c:pt idx="2">
                  <c:v>83.80270166666669</c:v>
                </c:pt>
                <c:pt idx="3">
                  <c:v>72.62941444444444</c:v>
                </c:pt>
                <c:pt idx="4">
                  <c:v>55.42434277777779</c:v>
                </c:pt>
                <c:pt idx="5">
                  <c:v>32.85931444444449</c:v>
                </c:pt>
                <c:pt idx="6">
                  <c:v>5.487610000000005</c:v>
                </c:pt>
                <c:pt idx="7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'SS Rod Radial Profile_5'!$B$15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tar"/>
            <c:size val="7"/>
          </c:marker>
          <c:xVal>
            <c:numRef>
              <c:f>'SS Rod Radial Profile_5'!$C$14:$J$14</c:f>
              <c:numCache>
                <c:formatCode>0.000</c:formatCode>
                <c:ptCount val="8"/>
                <c:pt idx="0">
                  <c:v>0.0</c:v>
                </c:pt>
                <c:pt idx="1">
                  <c:v>0.0643624305720021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0.321812152860012</c:v>
                </c:pt>
                <c:pt idx="5">
                  <c:v>0.409600000000001</c:v>
                </c:pt>
                <c:pt idx="6">
                  <c:v>0.418000000000001</c:v>
                </c:pt>
                <c:pt idx="7">
                  <c:v>0.474999999999999</c:v>
                </c:pt>
              </c:numCache>
            </c:numRef>
          </c:xVal>
          <c:yVal>
            <c:numRef>
              <c:f>'SS Rod Radial Profile_5'!$C$15:$J$15</c:f>
              <c:numCache>
                <c:formatCode>0.000</c:formatCode>
                <c:ptCount val="8"/>
                <c:pt idx="0">
                  <c:v>92.05696231459466</c:v>
                </c:pt>
                <c:pt idx="1">
                  <c:v>90.59529198842381</c:v>
                </c:pt>
                <c:pt idx="2">
                  <c:v>84.7486106837404</c:v>
                </c:pt>
                <c:pt idx="3">
                  <c:v>73.05524807437364</c:v>
                </c:pt>
                <c:pt idx="4">
                  <c:v>55.51520416032317</c:v>
                </c:pt>
                <c:pt idx="5">
                  <c:v>32.85931410467533</c:v>
                </c:pt>
                <c:pt idx="6">
                  <c:v>5.487609701389308</c:v>
                </c:pt>
                <c:pt idx="7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32760"/>
        <c:axId val="2082436072"/>
      </c:scatterChart>
      <c:valAx>
        <c:axId val="208243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2436072"/>
        <c:crosses val="autoZero"/>
        <c:crossBetween val="midCat"/>
      </c:valAx>
      <c:valAx>
        <c:axId val="20824360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24327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Profile_10'!$Q$24:$Q$24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5"/>
          </c:marker>
          <c:xVal>
            <c:numRef>
              <c:f>'SS Rod Radial Profile_10'!$E$14:$M$14</c:f>
              <c:numCache>
                <c:formatCode>0.000</c:formatCode>
                <c:ptCount val="9"/>
                <c:pt idx="0">
                  <c:v>0.0681720489265772</c:v>
                </c:pt>
                <c:pt idx="1">
                  <c:v>0.109924125935137</c:v>
                </c:pt>
                <c:pt idx="2">
                  <c:v>0.152437335565268</c:v>
                </c:pt>
                <c:pt idx="3">
                  <c:v>0.195215039609531</c:v>
                </c:pt>
                <c:pt idx="4">
                  <c:v>0.238114730138942</c:v>
                </c:pt>
                <c:pt idx="5">
                  <c:v>0.281080558439053</c:v>
                </c:pt>
                <c:pt idx="6">
                  <c:v>0.324086220872712</c:v>
                </c:pt>
                <c:pt idx="7">
                  <c:v>0.367117718709654</c:v>
                </c:pt>
                <c:pt idx="8">
                  <c:v>0.409600000000001</c:v>
                </c:pt>
              </c:numCache>
            </c:numRef>
          </c:xVal>
          <c:yVal>
            <c:numRef>
              <c:f>'SS Rod Radial Profile_10'!$R$24:$AB$24</c:f>
              <c:numCache>
                <c:formatCode>0.000%</c:formatCode>
                <c:ptCount val="11"/>
                <c:pt idx="0">
                  <c:v>-0.00113885236671999</c:v>
                </c:pt>
                <c:pt idx="1">
                  <c:v>-0.00128004250439773</c:v>
                </c:pt>
                <c:pt idx="2">
                  <c:v>-0.000855339879866677</c:v>
                </c:pt>
                <c:pt idx="3">
                  <c:v>-0.000643953054564871</c:v>
                </c:pt>
                <c:pt idx="4">
                  <c:v>-0.00050481958700866</c:v>
                </c:pt>
                <c:pt idx="5">
                  <c:v>-0.000400959424748399</c:v>
                </c:pt>
                <c:pt idx="6">
                  <c:v>-0.000317577444690732</c:v>
                </c:pt>
                <c:pt idx="7">
                  <c:v>-0.000247194039028438</c:v>
                </c:pt>
                <c:pt idx="8">
                  <c:v>-0.000185426744406641</c:v>
                </c:pt>
                <c:pt idx="9">
                  <c:v>-0.000129402327252269</c:v>
                </c:pt>
                <c:pt idx="10">
                  <c:v>-0.000103687852661741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Profile_10'!$Q$26:$Q$26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</c:marker>
          <c:xVal>
            <c:numRef>
              <c:f>'SS Rod Radial Profile_10'!$E$14:$M$14</c:f>
              <c:numCache>
                <c:formatCode>0.000</c:formatCode>
                <c:ptCount val="9"/>
                <c:pt idx="0">
                  <c:v>0.0681720489265772</c:v>
                </c:pt>
                <c:pt idx="1">
                  <c:v>0.109924125935137</c:v>
                </c:pt>
                <c:pt idx="2">
                  <c:v>0.152437335565268</c:v>
                </c:pt>
                <c:pt idx="3">
                  <c:v>0.195215039609531</c:v>
                </c:pt>
                <c:pt idx="4">
                  <c:v>0.238114730138942</c:v>
                </c:pt>
                <c:pt idx="5">
                  <c:v>0.281080558439053</c:v>
                </c:pt>
                <c:pt idx="6">
                  <c:v>0.324086220872712</c:v>
                </c:pt>
                <c:pt idx="7">
                  <c:v>0.367117718709654</c:v>
                </c:pt>
                <c:pt idx="8">
                  <c:v>0.409600000000001</c:v>
                </c:pt>
              </c:numCache>
            </c:numRef>
          </c:xVal>
          <c:yVal>
            <c:numRef>
              <c:f>'SS Rod Radial Profile_10'!$R$26:$AB$26</c:f>
              <c:numCache>
                <c:formatCode>0.000%</c:formatCode>
                <c:ptCount val="11"/>
                <c:pt idx="0">
                  <c:v>-0.00112485266099232</c:v>
                </c:pt>
                <c:pt idx="1">
                  <c:v>-0.00126610420687243</c:v>
                </c:pt>
                <c:pt idx="2">
                  <c:v>-0.000841574727182493</c:v>
                </c:pt>
                <c:pt idx="3">
                  <c:v>-0.000630582755986255</c:v>
                </c:pt>
                <c:pt idx="4">
                  <c:v>-0.000492046692981934</c:v>
                </c:pt>
                <c:pt idx="5">
                  <c:v>-0.000388975384699983</c:v>
                </c:pt>
                <c:pt idx="6">
                  <c:v>-0.000306567672073802</c:v>
                </c:pt>
                <c:pt idx="7">
                  <c:v>-0.000237329201298255</c:v>
                </c:pt>
                <c:pt idx="8">
                  <c:v>-0.000176862210441405</c:v>
                </c:pt>
                <c:pt idx="9">
                  <c:v>-0.000122278596253111</c:v>
                </c:pt>
                <c:pt idx="10">
                  <c:v>-9.8109497716301E-5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Profile_10'!$Q$25:$Q$25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5"/>
          </c:marker>
          <c:xVal>
            <c:numRef>
              <c:f>'SS Rod Radial Profile_10'!$E$14:$M$14</c:f>
              <c:numCache>
                <c:formatCode>0.000</c:formatCode>
                <c:ptCount val="9"/>
                <c:pt idx="0">
                  <c:v>0.0681720489265772</c:v>
                </c:pt>
                <c:pt idx="1">
                  <c:v>0.109924125935137</c:v>
                </c:pt>
                <c:pt idx="2">
                  <c:v>0.152437335565268</c:v>
                </c:pt>
                <c:pt idx="3">
                  <c:v>0.195215039609531</c:v>
                </c:pt>
                <c:pt idx="4">
                  <c:v>0.238114730138942</c:v>
                </c:pt>
                <c:pt idx="5">
                  <c:v>0.281080558439053</c:v>
                </c:pt>
                <c:pt idx="6">
                  <c:v>0.324086220872712</c:v>
                </c:pt>
                <c:pt idx="7">
                  <c:v>0.367117718709654</c:v>
                </c:pt>
                <c:pt idx="8">
                  <c:v>0.409600000000001</c:v>
                </c:pt>
              </c:numCache>
            </c:numRef>
          </c:xVal>
          <c:yVal>
            <c:numRef>
              <c:f>'SS Rod Radial Profile_10'!$R$25:$AB$25</c:f>
              <c:numCache>
                <c:formatCode>0.000%</c:formatCode>
                <c:ptCount val="11"/>
                <c:pt idx="0">
                  <c:v>-0.00120444275638353</c:v>
                </c:pt>
                <c:pt idx="1">
                  <c:v>-0.00134534414677353</c:v>
                </c:pt>
                <c:pt idx="2">
                  <c:v>-0.000919827176290252</c:v>
                </c:pt>
                <c:pt idx="3">
                  <c:v>-0.000706597476310163</c:v>
                </c:pt>
                <c:pt idx="4">
                  <c:v>-0.000564665025260625</c:v>
                </c:pt>
                <c:pt idx="5">
                  <c:v>-0.000457098635813187</c:v>
                </c:pt>
                <c:pt idx="6">
                  <c:v>-0.000369154716933542</c:v>
                </c:pt>
                <c:pt idx="7">
                  <c:v>-0.000293414578920425</c:v>
                </c:pt>
                <c:pt idx="8">
                  <c:v>-0.000225556524057858</c:v>
                </c:pt>
                <c:pt idx="9">
                  <c:v>-0.000162778447444457</c:v>
                </c:pt>
                <c:pt idx="10">
                  <c:v>-0.000129821877745087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95192"/>
        <c:axId val="2082198440"/>
      </c:scatterChart>
      <c:valAx>
        <c:axId val="208219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2198440"/>
        <c:crossesAt val="0.0"/>
        <c:crossBetween val="midCat"/>
      </c:valAx>
      <c:valAx>
        <c:axId val="2082198440"/>
        <c:scaling>
          <c:orientation val="minMax"/>
          <c:min val="0.00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2195192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>
                <a:latin typeface="Arial"/>
              </a:rPr>
              <a:t>Temperature Profile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Profile_10'!$B$23:$B$23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5"/>
          </c:marker>
          <c:xVal>
            <c:numRef>
              <c:f>'SS Rod Radial Profile_10'!$C$22:$O$22</c:f>
              <c:numCache>
                <c:formatCode>0.00000</c:formatCode>
                <c:ptCount val="13"/>
                <c:pt idx="0">
                  <c:v>0.0</c:v>
                </c:pt>
                <c:pt idx="1">
                  <c:v>0.0304874671130536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Profile_10'!$C$23:$O$23</c:f>
              <c:numCache>
                <c:formatCode>0.000</c:formatCode>
                <c:ptCount val="13"/>
                <c:pt idx="0">
                  <c:v>386.9525779703411</c:v>
                </c:pt>
                <c:pt idx="1">
                  <c:v>386.6246131603138</c:v>
                </c:pt>
                <c:pt idx="2">
                  <c:v>385.3127539202048</c:v>
                </c:pt>
                <c:pt idx="3">
                  <c:v>382.6890354399868</c:v>
                </c:pt>
                <c:pt idx="4">
                  <c:v>378.7534577196598</c:v>
                </c:pt>
                <c:pt idx="5">
                  <c:v>373.5060207592237</c:v>
                </c:pt>
                <c:pt idx="6">
                  <c:v>366.9467245586786</c:v>
                </c:pt>
                <c:pt idx="7">
                  <c:v>359.0755691180245</c:v>
                </c:pt>
                <c:pt idx="8">
                  <c:v>349.8925544372615</c:v>
                </c:pt>
                <c:pt idx="9">
                  <c:v>339.3976805163896</c:v>
                </c:pt>
                <c:pt idx="10">
                  <c:v>327.7549297604218</c:v>
                </c:pt>
                <c:pt idx="11">
                  <c:v>300.3832253571358</c:v>
                </c:pt>
                <c:pt idx="12">
                  <c:v>294.8956156557464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Profile_10'!$B$24:$B$24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5"/>
          </c:marker>
          <c:xVal>
            <c:numRef>
              <c:f>'SS Rod Radial Profile_10'!$C$22:$O$22</c:f>
              <c:numCache>
                <c:formatCode>0.00000</c:formatCode>
                <c:ptCount val="13"/>
                <c:pt idx="0">
                  <c:v>0.0</c:v>
                </c:pt>
                <c:pt idx="1">
                  <c:v>0.0304874671130536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Profile_10'!$C$24:$O$24</c:f>
              <c:numCache>
                <c:formatCode>0.000</c:formatCode>
                <c:ptCount val="13"/>
                <c:pt idx="0">
                  <c:v>386.5118961111112</c:v>
                </c:pt>
                <c:pt idx="1">
                  <c:v>386.1297172222223</c:v>
                </c:pt>
                <c:pt idx="2">
                  <c:v>384.9831805555556</c:v>
                </c:pt>
                <c:pt idx="3">
                  <c:v>382.4426016666667</c:v>
                </c:pt>
                <c:pt idx="4">
                  <c:v>378.5622555555556</c:v>
                </c:pt>
                <c:pt idx="5">
                  <c:v>373.35626</c:v>
                </c:pt>
                <c:pt idx="6">
                  <c:v>366.8301905555556</c:v>
                </c:pt>
                <c:pt idx="7">
                  <c:v>358.9868077777778</c:v>
                </c:pt>
                <c:pt idx="8">
                  <c:v>349.8276750000001</c:v>
                </c:pt>
                <c:pt idx="9">
                  <c:v>339.3537616666667</c:v>
                </c:pt>
                <c:pt idx="10">
                  <c:v>327.7209455555556</c:v>
                </c:pt>
                <c:pt idx="11">
                  <c:v>300.3505566666667</c:v>
                </c:pt>
                <c:pt idx="12">
                  <c:v>294.8706777777778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Profile_10'!$B$26:$B$26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5"/>
          </c:marker>
          <c:xVal>
            <c:numRef>
              <c:f>'SS Rod Radial Profile_10'!$C$22:$O$22</c:f>
              <c:numCache>
                <c:formatCode>0.00000</c:formatCode>
                <c:ptCount val="13"/>
                <c:pt idx="0">
                  <c:v>0.0</c:v>
                </c:pt>
                <c:pt idx="1">
                  <c:v>0.0304874671130536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Profile_10'!$C$26:$O$26</c:f>
              <c:numCache>
                <c:formatCode>0.000</c:formatCode>
                <c:ptCount val="13"/>
                <c:pt idx="0">
                  <c:v>386.5173133333333</c:v>
                </c:pt>
                <c:pt idx="1">
                  <c:v>386.1351061111112</c:v>
                </c:pt>
                <c:pt idx="2">
                  <c:v>384.9884844444445</c:v>
                </c:pt>
                <c:pt idx="3">
                  <c:v>382.4477183333333</c:v>
                </c:pt>
                <c:pt idx="4">
                  <c:v>378.5670933333333</c:v>
                </c:pt>
                <c:pt idx="5">
                  <c:v>373.3607361111111</c:v>
                </c:pt>
                <c:pt idx="6">
                  <c:v>366.8342305555556</c:v>
                </c:pt>
                <c:pt idx="7">
                  <c:v>358.99035</c:v>
                </c:pt>
                <c:pt idx="8">
                  <c:v>349.8306716666667</c:v>
                </c:pt>
                <c:pt idx="9">
                  <c:v>339.3561794444445</c:v>
                </c:pt>
                <c:pt idx="10">
                  <c:v>327.7227738888889</c:v>
                </c:pt>
                <c:pt idx="11">
                  <c:v>300.3510694444445</c:v>
                </c:pt>
                <c:pt idx="12">
                  <c:v>294.8709205555556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54360"/>
        <c:axId val="2082270520"/>
      </c:scatterChart>
      <c:valAx>
        <c:axId val="208245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2270520"/>
        <c:crossesAt val="0.0"/>
        <c:crossBetween val="midCat"/>
      </c:valAx>
      <c:valAx>
        <c:axId val="2082270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245436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>
                <a:latin typeface="Arial"/>
              </a:rPr>
              <a:t>Relative Temperature Difference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2654932839277"/>
          <c:y val="0.162482205254303"/>
          <c:w val="0.832920333487726"/>
          <c:h val="0.6843099952547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'SS Rod Radial Profile_10'!$B$15:$B$15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5"/>
            <c:spPr>
              <a:noFill/>
              <a:ln>
                <a:noFill/>
              </a:ln>
            </c:spPr>
          </c:marker>
          <c:xVal>
            <c:numRef>
              <c:f>'SS Rod Radial Profile_10'!$C$14:$O$14</c:f>
              <c:numCache>
                <c:formatCode>0.000</c:formatCode>
                <c:ptCount val="13"/>
                <c:pt idx="0">
                  <c:v>0.0</c:v>
                </c:pt>
                <c:pt idx="1">
                  <c:v>0.0304874671130536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Profile_10'!$C$15:$O$15</c:f>
              <c:numCache>
                <c:formatCode>0.000</c:formatCode>
                <c:ptCount val="13"/>
                <c:pt idx="0">
                  <c:v>92.05696231459466</c:v>
                </c:pt>
                <c:pt idx="1">
                  <c:v>91.7289975045674</c:v>
                </c:pt>
                <c:pt idx="2">
                  <c:v>90.41713826445838</c:v>
                </c:pt>
                <c:pt idx="3">
                  <c:v>87.79341978424037</c:v>
                </c:pt>
                <c:pt idx="4">
                  <c:v>83.85784206391332</c:v>
                </c:pt>
                <c:pt idx="5">
                  <c:v>78.61040510347725</c:v>
                </c:pt>
                <c:pt idx="6">
                  <c:v>72.0511089029322</c:v>
                </c:pt>
                <c:pt idx="7">
                  <c:v>64.1799534622781</c:v>
                </c:pt>
                <c:pt idx="8">
                  <c:v>54.99693878151505</c:v>
                </c:pt>
                <c:pt idx="9">
                  <c:v>44.50206486064314</c:v>
                </c:pt>
                <c:pt idx="10">
                  <c:v>32.85931410467533</c:v>
                </c:pt>
                <c:pt idx="11">
                  <c:v>5.487609701389308</c:v>
                </c:pt>
                <c:pt idx="1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'SS Rod Radial Profile_10'!$B$16:$B$16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5"/>
          </c:marker>
          <c:xVal>
            <c:numRef>
              <c:f>'SS Rod Radial Profile_10'!$C$14:$O$14</c:f>
              <c:numCache>
                <c:formatCode>0.000</c:formatCode>
                <c:ptCount val="13"/>
                <c:pt idx="0">
                  <c:v>0.0</c:v>
                </c:pt>
                <c:pt idx="1">
                  <c:v>0.0304874671130536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Profile_10'!$C$16:$O$16</c:f>
              <c:numCache>
                <c:formatCode>0.000</c:formatCode>
                <c:ptCount val="13"/>
                <c:pt idx="0">
                  <c:v>91.64121833333335</c:v>
                </c:pt>
                <c:pt idx="1">
                  <c:v>91.2590394444445</c:v>
                </c:pt>
                <c:pt idx="2">
                  <c:v>90.11250277777783</c:v>
                </c:pt>
                <c:pt idx="3">
                  <c:v>87.57192388888894</c:v>
                </c:pt>
                <c:pt idx="4">
                  <c:v>83.69157777777781</c:v>
                </c:pt>
                <c:pt idx="5">
                  <c:v>78.48558222222222</c:v>
                </c:pt>
                <c:pt idx="6">
                  <c:v>71.95951277777781</c:v>
                </c:pt>
                <c:pt idx="7">
                  <c:v>64.11613000000001</c:v>
                </c:pt>
                <c:pt idx="8">
                  <c:v>54.95699722222223</c:v>
                </c:pt>
                <c:pt idx="9">
                  <c:v>44.48308388888892</c:v>
                </c:pt>
                <c:pt idx="10">
                  <c:v>32.85026777777779</c:v>
                </c:pt>
                <c:pt idx="11">
                  <c:v>5.479878888888896</c:v>
                </c:pt>
                <c:pt idx="12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Profile_10'!$B$18:$B$18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5"/>
          </c:marker>
          <c:xVal>
            <c:numRef>
              <c:f>'SS Rod Radial Profile_10'!$C$14:$O$14</c:f>
              <c:numCache>
                <c:formatCode>0.000</c:formatCode>
                <c:ptCount val="13"/>
                <c:pt idx="0">
                  <c:v>0.0</c:v>
                </c:pt>
                <c:pt idx="1">
                  <c:v>0.0304874671130536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Profile_10'!$C$18:$O$18</c:f>
              <c:numCache>
                <c:formatCode>0.000</c:formatCode>
                <c:ptCount val="13"/>
                <c:pt idx="0">
                  <c:v>91.64639277777775</c:v>
                </c:pt>
                <c:pt idx="1">
                  <c:v>91.26418555555555</c:v>
                </c:pt>
                <c:pt idx="2">
                  <c:v>90.11756388888892</c:v>
                </c:pt>
                <c:pt idx="3">
                  <c:v>87.57679777777778</c:v>
                </c:pt>
                <c:pt idx="4">
                  <c:v>83.69617277777776</c:v>
                </c:pt>
                <c:pt idx="5">
                  <c:v>78.48981555555554</c:v>
                </c:pt>
                <c:pt idx="6">
                  <c:v>71.96331</c:v>
                </c:pt>
                <c:pt idx="7">
                  <c:v>64.11942944444446</c:v>
                </c:pt>
                <c:pt idx="8">
                  <c:v>54.95975111111111</c:v>
                </c:pt>
                <c:pt idx="9">
                  <c:v>44.48525888888892</c:v>
                </c:pt>
                <c:pt idx="10">
                  <c:v>32.85185333333332</c:v>
                </c:pt>
                <c:pt idx="11">
                  <c:v>5.480148888888911</c:v>
                </c:pt>
                <c:pt idx="12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'SS Rod Radial Profile_10'!$B$17:$B$17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5"/>
          </c:marker>
          <c:xVal>
            <c:numRef>
              <c:f>'SS Rod Radial Profile_10'!$C$14:$O$14</c:f>
              <c:numCache>
                <c:formatCode>0.000</c:formatCode>
                <c:ptCount val="13"/>
                <c:pt idx="0">
                  <c:v>0.0</c:v>
                </c:pt>
                <c:pt idx="1">
                  <c:v>0.0304874671130536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Profile_10'!$C$17:$O$17</c:f>
              <c:numCache>
                <c:formatCode>0.000</c:formatCode>
                <c:ptCount val="13"/>
                <c:pt idx="0">
                  <c:v>91.61697407407411</c:v>
                </c:pt>
                <c:pt idx="1">
                  <c:v>91.23492833333337</c:v>
                </c:pt>
                <c:pt idx="2">
                  <c:v>90.08879111111109</c:v>
                </c:pt>
                <c:pt idx="3">
                  <c:v>87.54908666666665</c:v>
                </c:pt>
                <c:pt idx="4">
                  <c:v>83.67004722222222</c:v>
                </c:pt>
                <c:pt idx="5">
                  <c:v>78.46574999999998</c:v>
                </c:pt>
                <c:pt idx="6">
                  <c:v>71.94172277777776</c:v>
                </c:pt>
                <c:pt idx="7">
                  <c:v>64.10066944444446</c:v>
                </c:pt>
                <c:pt idx="8">
                  <c:v>54.94409222222222</c:v>
                </c:pt>
                <c:pt idx="9">
                  <c:v>44.47289222222221</c:v>
                </c:pt>
                <c:pt idx="10">
                  <c:v>32.84283833333335</c:v>
                </c:pt>
                <c:pt idx="11">
                  <c:v>5.47861388888887</c:v>
                </c:pt>
                <c:pt idx="12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'SS Rod Radial Profile_10'!$B$19</c:f>
              <c:strCache>
                <c:ptCount val="1"/>
                <c:pt idx="0">
                  <c:v>Original</c:v>
                </c:pt>
              </c:strCache>
            </c:strRef>
          </c:tx>
          <c:spPr>
            <a:ln>
              <a:noFill/>
            </a:ln>
          </c:spPr>
          <c:xVal>
            <c:numRef>
              <c:f>'SS Rod Radial Profile_10'!$C$14:$O$14</c:f>
              <c:numCache>
                <c:formatCode>0.000</c:formatCode>
                <c:ptCount val="13"/>
                <c:pt idx="0">
                  <c:v>0.0</c:v>
                </c:pt>
                <c:pt idx="1">
                  <c:v>0.0304874671130536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Profile_10'!$C$19:$O$19</c:f>
              <c:numCache>
                <c:formatCode>0.000</c:formatCode>
                <c:ptCount val="13"/>
                <c:pt idx="0">
                  <c:v>91.34018833333333</c:v>
                </c:pt>
                <c:pt idx="1">
                  <c:v>91.0787327777778</c:v>
                </c:pt>
                <c:pt idx="2">
                  <c:v>90.02304055555555</c:v>
                </c:pt>
                <c:pt idx="3">
                  <c:v>87.516015</c:v>
                </c:pt>
                <c:pt idx="4">
                  <c:v>83.65559722222227</c:v>
                </c:pt>
                <c:pt idx="5">
                  <c:v>78.46375555555559</c:v>
                </c:pt>
                <c:pt idx="6">
                  <c:v>71.94862055555556</c:v>
                </c:pt>
                <c:pt idx="7">
                  <c:v>64.11410444444445</c:v>
                </c:pt>
                <c:pt idx="8">
                  <c:v>54.96239555555557</c:v>
                </c:pt>
                <c:pt idx="9">
                  <c:v>44.49484333333336</c:v>
                </c:pt>
                <c:pt idx="10">
                  <c:v>32.85931444444449</c:v>
                </c:pt>
                <c:pt idx="11">
                  <c:v>5.487610000000005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840088"/>
        <c:axId val="2081834296"/>
      </c:scatterChart>
      <c:valAx>
        <c:axId val="208184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1834296"/>
        <c:crossesAt val="0.0"/>
        <c:crossBetween val="midCat"/>
      </c:valAx>
      <c:valAx>
        <c:axId val="2081834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1840088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988296936270663"/>
          <c:y val="0.508615189706727"/>
          <c:w val="0.334911996294581"/>
          <c:h val="0.304755666454002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Profile_10'!$Q$16:$Q$16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5"/>
          </c:marker>
          <c:xVal>
            <c:numRef>
              <c:f>'SS Rod Radial Profile_10'!$C$14:$M$14</c:f>
              <c:numCache>
                <c:formatCode>0.000</c:formatCode>
                <c:ptCount val="11"/>
                <c:pt idx="0">
                  <c:v>0.0</c:v>
                </c:pt>
                <c:pt idx="1">
                  <c:v>0.0304874671130536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</c:numCache>
            </c:numRef>
          </c:xVal>
          <c:yVal>
            <c:numRef>
              <c:f>'SS Rod Radial Profile_10'!$R$15:$AD$15</c:f>
              <c:numCache>
                <c:formatCode>0.00</c:formatCode>
                <c:ptCount val="13"/>
                <c:pt idx="0" formatCode="General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Profile_10'!$Q$17:$Q$17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</c:marker>
          <c:xVal>
            <c:numRef>
              <c:f>'SS Rod Radial Profile_10'!$C$14:$M$14</c:f>
              <c:numCache>
                <c:formatCode>0.000</c:formatCode>
                <c:ptCount val="11"/>
                <c:pt idx="0">
                  <c:v>0.0</c:v>
                </c:pt>
                <c:pt idx="1">
                  <c:v>0.0304874671130536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</c:numCache>
            </c:numRef>
          </c:xVal>
          <c:yVal>
            <c:numRef>
              <c:f>'SS Rod Radial Profile_10'!$R$16:$AD$16</c:f>
              <c:numCache>
                <c:formatCode>0.00</c:formatCode>
                <c:ptCount val="13"/>
                <c:pt idx="0">
                  <c:v>-0.415743981261301</c:v>
                </c:pt>
                <c:pt idx="1">
                  <c:v>-0.469958060122906</c:v>
                </c:pt>
                <c:pt idx="2">
                  <c:v>-0.304635486680553</c:v>
                </c:pt>
                <c:pt idx="3">
                  <c:v>-0.221495895351424</c:v>
                </c:pt>
                <c:pt idx="4">
                  <c:v>-0.166264286135515</c:v>
                </c:pt>
                <c:pt idx="5">
                  <c:v>-0.124822881255028</c:v>
                </c:pt>
                <c:pt idx="6">
                  <c:v>-0.091596125154382</c:v>
                </c:pt>
                <c:pt idx="7">
                  <c:v>-0.0638234622780942</c:v>
                </c:pt>
                <c:pt idx="8">
                  <c:v>-0.0399415592928278</c:v>
                </c:pt>
                <c:pt idx="9">
                  <c:v>-0.0189809717542175</c:v>
                </c:pt>
                <c:pt idx="10">
                  <c:v>-0.00904632689753981</c:v>
                </c:pt>
                <c:pt idx="11">
                  <c:v>-0.00773081250041141</c:v>
                </c:pt>
                <c:pt idx="1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803560"/>
        <c:axId val="2081800232"/>
      </c:scatterChart>
      <c:valAx>
        <c:axId val="208180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1800232"/>
        <c:crossesAt val="0.0"/>
        <c:crossBetween val="midCat"/>
      </c:valAx>
      <c:valAx>
        <c:axId val="20818002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180356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400320</xdr:colOff>
      <xdr:row>37</xdr:row>
      <xdr:rowOff>79920</xdr:rowOff>
    </xdr:from>
    <xdr:to>
      <xdr:col>20</xdr:col>
      <xdr:colOff>224640</xdr:colOff>
      <xdr:row>54</xdr:row>
      <xdr:rowOff>89640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718560</xdr:colOff>
      <xdr:row>38</xdr:row>
      <xdr:rowOff>155160</xdr:rowOff>
    </xdr:from>
    <xdr:to>
      <xdr:col>13</xdr:col>
      <xdr:colOff>720000</xdr:colOff>
      <xdr:row>56</xdr:row>
      <xdr:rowOff>13680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120240</xdr:colOff>
      <xdr:row>59</xdr:row>
      <xdr:rowOff>4320</xdr:rowOff>
    </xdr:from>
    <xdr:to>
      <xdr:col>7</xdr:col>
      <xdr:colOff>82080</xdr:colOff>
      <xdr:row>83</xdr:row>
      <xdr:rowOff>24840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48600</xdr:colOff>
      <xdr:row>56</xdr:row>
      <xdr:rowOff>36360</xdr:rowOff>
    </xdr:from>
    <xdr:to>
      <xdr:col>14</xdr:col>
      <xdr:colOff>699840</xdr:colOff>
      <xdr:row>73</xdr:row>
      <xdr:rowOff>46800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54720</xdr:colOff>
      <xdr:row>38</xdr:row>
      <xdr:rowOff>144720</xdr:rowOff>
    </xdr:from>
    <xdr:to>
      <xdr:col>6</xdr:col>
      <xdr:colOff>168120</xdr:colOff>
      <xdr:row>58</xdr:row>
      <xdr:rowOff>133200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680760</xdr:colOff>
      <xdr:row>46</xdr:row>
      <xdr:rowOff>58680</xdr:rowOff>
    </xdr:from>
    <xdr:to>
      <xdr:col>20</xdr:col>
      <xdr:colOff>505080</xdr:colOff>
      <xdr:row>63</xdr:row>
      <xdr:rowOff>68040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81000</xdr:colOff>
      <xdr:row>43</xdr:row>
      <xdr:rowOff>101880</xdr:rowOff>
    </xdr:from>
    <xdr:to>
      <xdr:col>14</xdr:col>
      <xdr:colOff>83160</xdr:colOff>
      <xdr:row>60</xdr:row>
      <xdr:rowOff>122400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324556</xdr:colOff>
      <xdr:row>44</xdr:row>
      <xdr:rowOff>52566</xdr:rowOff>
    </xdr:from>
    <xdr:to>
      <xdr:col>7</xdr:col>
      <xdr:colOff>28222</xdr:colOff>
      <xdr:row>59</xdr:row>
      <xdr:rowOff>42333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92160</xdr:colOff>
      <xdr:row>62</xdr:row>
      <xdr:rowOff>91080</xdr:rowOff>
    </xdr:from>
    <xdr:to>
      <xdr:col>14</xdr:col>
      <xdr:colOff>667920</xdr:colOff>
      <xdr:row>79</xdr:row>
      <xdr:rowOff>101160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646920</xdr:colOff>
      <xdr:row>41</xdr:row>
      <xdr:rowOff>156240</xdr:rowOff>
    </xdr:from>
    <xdr:to>
      <xdr:col>6</xdr:col>
      <xdr:colOff>213120</xdr:colOff>
      <xdr:row>59</xdr:row>
      <xdr:rowOff>14400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91800</xdr:colOff>
      <xdr:row>40</xdr:row>
      <xdr:rowOff>4320</xdr:rowOff>
    </xdr:from>
    <xdr:to>
      <xdr:col>22</xdr:col>
      <xdr:colOff>329400</xdr:colOff>
      <xdr:row>57</xdr:row>
      <xdr:rowOff>14400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212760</xdr:colOff>
      <xdr:row>47</xdr:row>
      <xdr:rowOff>14760</xdr:rowOff>
    </xdr:from>
    <xdr:to>
      <xdr:col>14</xdr:col>
      <xdr:colOff>214560</xdr:colOff>
      <xdr:row>64</xdr:row>
      <xdr:rowOff>36000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252000</xdr:colOff>
      <xdr:row>65</xdr:row>
      <xdr:rowOff>69120</xdr:rowOff>
    </xdr:from>
    <xdr:to>
      <xdr:col>7</xdr:col>
      <xdr:colOff>213840</xdr:colOff>
      <xdr:row>89</xdr:row>
      <xdr:rowOff>90360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268200</xdr:colOff>
      <xdr:row>63</xdr:row>
      <xdr:rowOff>14760</xdr:rowOff>
    </xdr:from>
    <xdr:to>
      <xdr:col>15</xdr:col>
      <xdr:colOff>106920</xdr:colOff>
      <xdr:row>80</xdr:row>
      <xdr:rowOff>24840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107640</xdr:colOff>
      <xdr:row>1</xdr:row>
      <xdr:rowOff>115560</xdr:rowOff>
    </xdr:from>
    <xdr:to>
      <xdr:col>32</xdr:col>
      <xdr:colOff>177480</xdr:colOff>
      <xdr:row>21</xdr:row>
      <xdr:rowOff>103320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483120</xdr:colOff>
      <xdr:row>26</xdr:row>
      <xdr:rowOff>21960</xdr:rowOff>
    </xdr:from>
    <xdr:to>
      <xdr:col>12</xdr:col>
      <xdr:colOff>986498</xdr:colOff>
      <xdr:row>46</xdr:row>
      <xdr:rowOff>11520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525960</xdr:colOff>
      <xdr:row>27</xdr:row>
      <xdr:rowOff>11160</xdr:rowOff>
    </xdr:from>
    <xdr:to>
      <xdr:col>21</xdr:col>
      <xdr:colOff>606213</xdr:colOff>
      <xdr:row>47</xdr:row>
      <xdr:rowOff>720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294480</xdr:colOff>
      <xdr:row>30</xdr:row>
      <xdr:rowOff>11520</xdr:rowOff>
    </xdr:from>
    <xdr:to>
      <xdr:col>7</xdr:col>
      <xdr:colOff>614520</xdr:colOff>
      <xdr:row>49</xdr:row>
      <xdr:rowOff>150380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90" zoomScaleNormal="90" zoomScalePageLayoutView="90" workbookViewId="0">
      <selection activeCell="A19" sqref="A19"/>
    </sheetView>
  </sheetViews>
  <sheetFormatPr baseColWidth="10" defaultColWidth="8.83203125" defaultRowHeight="12" x14ac:dyDescent="0"/>
  <cols>
    <col min="3" max="5" width="8.83203125" style="3"/>
  </cols>
  <sheetData>
    <row r="1" spans="3:14">
      <c r="C1"/>
      <c r="D1"/>
      <c r="E1"/>
      <c r="G1" s="4"/>
    </row>
    <row r="2" spans="3:14">
      <c r="C2"/>
      <c r="D2"/>
      <c r="E2"/>
      <c r="G2" s="4"/>
      <c r="L2" s="3">
        <v>1</v>
      </c>
      <c r="M2" s="3" t="s">
        <v>0</v>
      </c>
      <c r="N2" s="3" t="s">
        <v>1</v>
      </c>
    </row>
    <row r="3" spans="3:14">
      <c r="C3" s="5" t="s">
        <v>2</v>
      </c>
      <c r="D3"/>
      <c r="E3"/>
      <c r="G3" s="6" t="s">
        <v>3</v>
      </c>
      <c r="L3" s="6" t="s">
        <v>4</v>
      </c>
    </row>
    <row r="4" spans="3:14">
      <c r="C4" s="3" t="s">
        <v>5</v>
      </c>
      <c r="D4" s="3">
        <v>10</v>
      </c>
      <c r="E4"/>
      <c r="G4" t="s">
        <v>6</v>
      </c>
      <c r="H4" s="7">
        <v>5.3770697959999998</v>
      </c>
      <c r="I4" t="s">
        <v>7</v>
      </c>
      <c r="L4" s="3" t="s">
        <v>8</v>
      </c>
      <c r="M4" s="3" t="s">
        <v>9</v>
      </c>
      <c r="N4" s="3" t="s">
        <v>10</v>
      </c>
    </row>
    <row r="5" spans="3:14" ht="13">
      <c r="C5" s="3" t="s">
        <v>11</v>
      </c>
      <c r="D5" s="3">
        <v>20</v>
      </c>
      <c r="E5"/>
      <c r="G5" t="s">
        <v>12</v>
      </c>
      <c r="H5" s="7">
        <v>14.83</v>
      </c>
      <c r="I5" t="s">
        <v>7</v>
      </c>
      <c r="L5" s="3" t="s">
        <v>13</v>
      </c>
      <c r="M5" s="3" t="s">
        <v>14</v>
      </c>
      <c r="N5" s="8">
        <v>1.05505585262</v>
      </c>
    </row>
    <row r="6" spans="3:14">
      <c r="C6" s="3" t="s">
        <v>15</v>
      </c>
      <c r="D6" s="3">
        <v>3.6579999999999999</v>
      </c>
      <c r="E6" s="3" t="s">
        <v>16</v>
      </c>
      <c r="G6" t="s">
        <v>17</v>
      </c>
      <c r="H6" s="9">
        <v>10970.404570000001</v>
      </c>
      <c r="I6" t="s">
        <v>18</v>
      </c>
      <c r="L6" s="3" t="s">
        <v>19</v>
      </c>
      <c r="M6" s="3" t="s">
        <v>16</v>
      </c>
      <c r="N6" s="3">
        <f>12*0.0254</f>
        <v>0.30479999999999996</v>
      </c>
    </row>
    <row r="7" spans="3:14">
      <c r="C7" s="3" t="s">
        <v>20</v>
      </c>
      <c r="D7" s="3">
        <f>Problem_Setup!D6/Problem_Setup!D5</f>
        <v>0.18290000000000001</v>
      </c>
      <c r="E7" s="3" t="s">
        <v>16</v>
      </c>
      <c r="G7" t="s">
        <v>21</v>
      </c>
      <c r="H7" s="3">
        <v>8470.57</v>
      </c>
      <c r="I7" t="s">
        <v>18</v>
      </c>
      <c r="L7" s="3" t="s">
        <v>22</v>
      </c>
      <c r="M7" s="3" t="s">
        <v>23</v>
      </c>
      <c r="N7" s="3">
        <f>5/9</f>
        <v>0.55555555555555558</v>
      </c>
    </row>
    <row r="8" spans="3:14">
      <c r="C8" s="3" t="s">
        <v>24</v>
      </c>
      <c r="D8" s="3">
        <f>0.475</f>
        <v>0.47499999999999998</v>
      </c>
      <c r="E8" s="3" t="s">
        <v>25</v>
      </c>
      <c r="G8" t="s">
        <v>26</v>
      </c>
      <c r="H8" s="10">
        <v>0.28894779599999998</v>
      </c>
      <c r="I8" t="s">
        <v>27</v>
      </c>
      <c r="L8" t="s">
        <v>28</v>
      </c>
      <c r="M8" t="s">
        <v>29</v>
      </c>
      <c r="N8">
        <f>1000*t_btu_kw/(t_R_K*t_ft_m^2)/3600</f>
        <v>5.6782633411134888</v>
      </c>
    </row>
    <row r="9" spans="3:14">
      <c r="C9" s="3" t="s">
        <v>30</v>
      </c>
      <c r="D9" s="3">
        <f>0.8192/2</f>
        <v>0.40960000000000002</v>
      </c>
      <c r="E9" s="3" t="s">
        <v>25</v>
      </c>
      <c r="G9" t="s">
        <v>31</v>
      </c>
      <c r="H9" s="10">
        <v>0.43099999999999999</v>
      </c>
      <c r="I9" t="s">
        <v>27</v>
      </c>
      <c r="L9" t="s">
        <v>32</v>
      </c>
      <c r="M9" t="s">
        <v>33</v>
      </c>
      <c r="N9">
        <f>1/2.20462</f>
        <v>0.45359290943563974</v>
      </c>
    </row>
    <row r="10" spans="3:14">
      <c r="C10" s="3" t="s">
        <v>34</v>
      </c>
      <c r="D10" s="11">
        <f>0.057</f>
        <v>5.7000000000000002E-2</v>
      </c>
      <c r="E10" s="3" t="s">
        <v>25</v>
      </c>
      <c r="G10" t="s">
        <v>35</v>
      </c>
      <c r="H10" s="9">
        <v>5678.3</v>
      </c>
      <c r="I10" t="s">
        <v>29</v>
      </c>
      <c r="L10" s="12"/>
    </row>
    <row r="11" spans="3:14">
      <c r="C11" s="3" t="s">
        <v>36</v>
      </c>
      <c r="D11" s="3">
        <f>(D8-D9)-D10</f>
        <v>8.3999999999999561E-3</v>
      </c>
      <c r="E11" s="3" t="s">
        <v>16</v>
      </c>
    </row>
    <row r="12" spans="3:14">
      <c r="C12" s="3" t="s">
        <v>37</v>
      </c>
      <c r="D12" s="3">
        <v>1.26</v>
      </c>
      <c r="E12" s="3" t="s">
        <v>25</v>
      </c>
    </row>
    <row r="13" spans="3:14">
      <c r="C13" s="3" t="s">
        <v>38</v>
      </c>
      <c r="D13" s="13">
        <f>(2*PI()*'SS Rod Radial Profile_10'!O14/100*Problem_Setup!D7)</f>
        <v>5.4586743152449328E-3</v>
      </c>
      <c r="E13" s="3" t="s">
        <v>39</v>
      </c>
      <c r="I13" s="9"/>
    </row>
    <row r="14" spans="3:14">
      <c r="C14" s="3" t="s">
        <v>40</v>
      </c>
      <c r="D14" s="14">
        <f>(D12^2-(PI()*D8^2))*10^-4</f>
        <v>8.7877815753380304E-5</v>
      </c>
      <c r="E14" s="3" t="s">
        <v>39</v>
      </c>
    </row>
    <row r="15" spans="3:14">
      <c r="C15" s="3" t="s">
        <v>41</v>
      </c>
      <c r="D15" s="14">
        <f>2*PI()*D8/100</f>
        <v>2.9845130209103034E-2</v>
      </c>
      <c r="E15" s="3" t="s">
        <v>16</v>
      </c>
      <c r="G15" s="6" t="s">
        <v>42</v>
      </c>
      <c r="M15" s="12"/>
    </row>
    <row r="16" spans="3:14">
      <c r="C16" s="3" t="s">
        <v>43</v>
      </c>
      <c r="D16"/>
      <c r="E16" s="3" t="s">
        <v>16</v>
      </c>
      <c r="G16" t="s">
        <v>44</v>
      </c>
      <c r="H16" s="11">
        <v>0.31110354838709697</v>
      </c>
      <c r="I16" t="s">
        <v>45</v>
      </c>
    </row>
    <row r="17" spans="1:10">
      <c r="C17" s="3" t="s">
        <v>46</v>
      </c>
      <c r="D17" s="3">
        <f>A_surf*L_chan</f>
        <v>1.9967830645165965E-2</v>
      </c>
      <c r="E17" s="3" t="s">
        <v>47</v>
      </c>
      <c r="G17" t="s">
        <v>48</v>
      </c>
      <c r="H17" s="11">
        <v>3.8641217872042999E-2</v>
      </c>
      <c r="I17" t="s">
        <v>49</v>
      </c>
    </row>
    <row r="18" spans="1:10">
      <c r="C18" s="3" t="s">
        <v>50</v>
      </c>
      <c r="D18" s="3">
        <f>vol_fuel*Rho_fuel</f>
        <v>219.05518056271475</v>
      </c>
      <c r="E18" s="3" t="s">
        <v>33</v>
      </c>
      <c r="G18" t="s">
        <v>51</v>
      </c>
      <c r="H18" s="11">
        <f>Problem_Setup!D6/(2*'SS Rod Radial Profile_10'!O14/100)</f>
        <v>385.05263157894831</v>
      </c>
      <c r="J18" t="s">
        <v>52</v>
      </c>
    </row>
    <row r="19" spans="1:10">
      <c r="C19"/>
      <c r="D19"/>
      <c r="E19"/>
      <c r="G19" t="s">
        <v>53</v>
      </c>
      <c r="H19" s="11">
        <v>738.52997840246906</v>
      </c>
    </row>
    <row r="20" spans="1:10">
      <c r="C20"/>
      <c r="D20"/>
      <c r="E20"/>
      <c r="G20" t="s">
        <v>54</v>
      </c>
      <c r="H20" s="15">
        <v>449606.21216661902</v>
      </c>
      <c r="J20" t="s">
        <v>55</v>
      </c>
    </row>
    <row r="21" spans="1:10">
      <c r="C21"/>
      <c r="D21"/>
      <c r="E21"/>
      <c r="G21" t="s">
        <v>56</v>
      </c>
      <c r="H21" s="11">
        <v>0.91397880732911596</v>
      </c>
      <c r="J21" t="s">
        <v>57</v>
      </c>
    </row>
    <row r="22" spans="1:10">
      <c r="C22" s="5" t="s">
        <v>58</v>
      </c>
      <c r="D22"/>
      <c r="E22"/>
      <c r="G22" t="s">
        <v>59</v>
      </c>
      <c r="H22" s="11">
        <v>1.65522355798267</v>
      </c>
      <c r="I22" t="s">
        <v>60</v>
      </c>
    </row>
    <row r="23" spans="1:10">
      <c r="A23">
        <f>D23/t_btu_kw*t_ft_m</f>
        <v>1.1555786330859963</v>
      </c>
      <c r="B23" t="s">
        <v>61</v>
      </c>
      <c r="C23" s="3" t="s">
        <v>62</v>
      </c>
      <c r="D23" s="3">
        <v>4</v>
      </c>
      <c r="E23" s="3" t="s">
        <v>63</v>
      </c>
      <c r="G23" t="s">
        <v>59</v>
      </c>
      <c r="H23" s="15">
        <f>Problem_Setup!H22*3600*t_htc</f>
        <v>33835.662902305558</v>
      </c>
      <c r="I23" t="s">
        <v>29</v>
      </c>
    </row>
    <row r="24" spans="1:10">
      <c r="A24">
        <f>D24/t_btu_kw</f>
        <v>13.868460104424457</v>
      </c>
      <c r="B24" t="s">
        <v>13</v>
      </c>
      <c r="C24" s="3" t="s">
        <v>64</v>
      </c>
      <c r="D24" s="10">
        <f>Problem_Setup!D23*Problem_Setup!D6</f>
        <v>14.632</v>
      </c>
      <c r="E24" s="3" t="s">
        <v>65</v>
      </c>
      <c r="G24" t="s">
        <v>66</v>
      </c>
      <c r="H24" s="11">
        <f>Problem_Setup!D24*1000/(Problem_Setup!H23*A_surf*Problem_Setup!D5)</f>
        <v>3.961063674805323</v>
      </c>
      <c r="I24" t="s">
        <v>23</v>
      </c>
    </row>
    <row r="25" spans="1:10">
      <c r="A25">
        <f>D25/t_btu_kw*t_ft_m^3</f>
        <v>2036.8528720414915</v>
      </c>
      <c r="B25" t="s">
        <v>67</v>
      </c>
      <c r="C25" s="3" t="s">
        <v>68</v>
      </c>
      <c r="D25" s="3">
        <f>Problem_Setup!D24/(L_chan*PI()*((Problem_Setup!D9/100)^2))</f>
        <v>75890.990777919462</v>
      </c>
      <c r="E25" s="3" t="s">
        <v>69</v>
      </c>
    </row>
    <row r="26" spans="1:10">
      <c r="A26">
        <f>D26/t_btu_kw*t_ft_m^2</f>
        <v>236.03205273145832</v>
      </c>
      <c r="B26" t="s">
        <v>70</v>
      </c>
      <c r="C26" s="3" t="s">
        <v>71</v>
      </c>
      <c r="D26" s="3">
        <f>Problem_Setup!D24/A_surf</f>
        <v>2680.5043047056115</v>
      </c>
      <c r="E26" s="3" t="s">
        <v>72</v>
      </c>
    </row>
    <row r="27" spans="1:10">
      <c r="A27">
        <f>A23*D7/t_ft_m</f>
        <v>0.69342300522122291</v>
      </c>
      <c r="B27" t="s">
        <v>73</v>
      </c>
      <c r="C27"/>
      <c r="D27"/>
      <c r="E27"/>
      <c r="G27" s="6" t="s">
        <v>74</v>
      </c>
    </row>
    <row r="28" spans="1:10">
      <c r="A28">
        <v>2036.8528743689401</v>
      </c>
      <c r="C28"/>
      <c r="D28"/>
      <c r="E28"/>
      <c r="G28" t="s">
        <v>75</v>
      </c>
      <c r="H28">
        <f>1/(hgap*2*PI()*R_fuel/100*dz)</f>
        <v>3.7413483328712444E-2</v>
      </c>
      <c r="I28" t="s">
        <v>76</v>
      </c>
    </row>
    <row r="29" spans="1:10">
      <c r="C29" s="5" t="s">
        <v>77</v>
      </c>
      <c r="D29"/>
      <c r="E29"/>
      <c r="G29" t="s">
        <v>78</v>
      </c>
      <c r="H29">
        <f>LN(R_rod/(R_rod-D10))/(2*PI()*dz*k_clad)</f>
        <v>7.5008333807945705E-3</v>
      </c>
      <c r="I29" t="s">
        <v>76</v>
      </c>
    </row>
    <row r="30" spans="1:10">
      <c r="C30" s="3" t="s">
        <v>79</v>
      </c>
      <c r="D30" s="3">
        <v>0.3</v>
      </c>
      <c r="E30" s="3" t="s">
        <v>80</v>
      </c>
      <c r="G30" t="s">
        <v>81</v>
      </c>
      <c r="H30">
        <f>1/(A_surf*H23)</f>
        <v>5.4142477785747989E-3</v>
      </c>
      <c r="I30" t="s">
        <v>76</v>
      </c>
    </row>
    <row r="31" spans="1:10">
      <c r="C31" s="3" t="s">
        <v>82</v>
      </c>
      <c r="D31" s="3">
        <v>16.5</v>
      </c>
      <c r="E31" s="3" t="s">
        <v>83</v>
      </c>
    </row>
    <row r="32" spans="1:10">
      <c r="C32" s="3" t="s">
        <v>84</v>
      </c>
      <c r="D32" s="3">
        <v>290</v>
      </c>
      <c r="E32" s="3" t="s">
        <v>85</v>
      </c>
      <c r="G32" s="6" t="s">
        <v>86</v>
      </c>
    </row>
    <row r="33" spans="1:9">
      <c r="C33" s="3" t="s">
        <v>87</v>
      </c>
      <c r="D33" s="3">
        <v>1283.8</v>
      </c>
      <c r="E33" s="3" t="s">
        <v>88</v>
      </c>
      <c r="G33" t="s">
        <v>89</v>
      </c>
      <c r="H33">
        <f>q_lin*dz*1000*H28</f>
        <v>27.371704403286024</v>
      </c>
      <c r="I33" t="s">
        <v>23</v>
      </c>
    </row>
    <row r="34" spans="1:9">
      <c r="C34" s="3" t="s">
        <v>90</v>
      </c>
      <c r="D34" s="3">
        <v>5.2188999999999997</v>
      </c>
      <c r="E34" s="3" t="s">
        <v>91</v>
      </c>
      <c r="G34" t="s">
        <v>92</v>
      </c>
      <c r="H34">
        <f>q_lin*dz*1000*H29</f>
        <v>5.4876097013893084</v>
      </c>
      <c r="I34" t="s">
        <v>23</v>
      </c>
    </row>
    <row r="35" spans="1:9">
      <c r="C35" s="3" t="s">
        <v>93</v>
      </c>
      <c r="D35" s="3">
        <v>0.58213000000000004</v>
      </c>
      <c r="E35" s="3" t="s">
        <v>94</v>
      </c>
      <c r="G35" t="s">
        <v>95</v>
      </c>
      <c r="H35">
        <f>q_lin*dz*1000*H30</f>
        <v>3.961063674805323</v>
      </c>
      <c r="I35" t="s">
        <v>23</v>
      </c>
    </row>
    <row r="36" spans="1:9">
      <c r="C36" s="3" t="s">
        <v>96</v>
      </c>
      <c r="D36" s="15">
        <v>9.2744999999999994E-5</v>
      </c>
      <c r="E36" s="3" t="s">
        <v>97</v>
      </c>
    </row>
    <row r="37" spans="1:9">
      <c r="A37" s="3" t="s">
        <v>98</v>
      </c>
      <c r="B37" s="3">
        <f>(D34+D38)/2</f>
        <v>5.3213499999999998</v>
      </c>
      <c r="C37" s="3" t="s">
        <v>99</v>
      </c>
      <c r="D37" s="3">
        <f>D32+D24/(B37*M_dot)</f>
        <v>299.1655939438927</v>
      </c>
      <c r="E37" s="3" t="s">
        <v>85</v>
      </c>
    </row>
    <row r="38" spans="1:9">
      <c r="A38" s="3" t="s">
        <v>91</v>
      </c>
      <c r="C38" s="3" t="s">
        <v>100</v>
      </c>
      <c r="D38" s="3">
        <v>5.4238</v>
      </c>
      <c r="E38" s="3" t="s">
        <v>91</v>
      </c>
    </row>
    <row r="39" spans="1:9">
      <c r="C39" s="3" t="s">
        <v>101</v>
      </c>
      <c r="D39" s="3">
        <v>0.58213000000000004</v>
      </c>
      <c r="E39" s="3" t="s">
        <v>94</v>
      </c>
    </row>
    <row r="40" spans="1:9">
      <c r="C40" s="3" t="s">
        <v>102</v>
      </c>
      <c r="E40" s="3" t="s">
        <v>97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zoomScale="90" zoomScaleNormal="90" zoomScalePageLayoutView="90" workbookViewId="0">
      <selection activeCell="H41" sqref="H41"/>
    </sheetView>
  </sheetViews>
  <sheetFormatPr baseColWidth="10" defaultColWidth="8.83203125" defaultRowHeight="12" x14ac:dyDescent="0"/>
  <sheetData>
    <row r="1" spans="1:29">
      <c r="A1" s="2" t="s">
        <v>103</v>
      </c>
      <c r="B1" s="2"/>
      <c r="C1" s="2"/>
      <c r="D1" s="2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9">
      <c r="A2" s="2"/>
      <c r="B2" s="2"/>
      <c r="C2" s="2"/>
      <c r="D2" s="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9">
      <c r="B3" s="3"/>
      <c r="C3" s="7"/>
      <c r="D3" s="17"/>
      <c r="E3" s="7"/>
      <c r="F3" s="18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>
      <c r="B4" s="3"/>
      <c r="C4" s="7"/>
      <c r="D4" s="17"/>
      <c r="E4" s="7"/>
      <c r="F4" s="18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>
      <c r="B5" s="3"/>
      <c r="C5" s="7"/>
      <c r="D5" s="17"/>
      <c r="E5" s="7"/>
      <c r="F5" s="18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>
      <c r="C6" s="6" t="s">
        <v>104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>
      <c r="B7" t="s">
        <v>105</v>
      </c>
      <c r="D7" s="12">
        <f>D8</f>
        <v>2.11162829960637E-3</v>
      </c>
      <c r="E7" s="12">
        <f>E8</f>
        <v>4.7217444211321404E-3</v>
      </c>
      <c r="F7">
        <f>F8-E8</f>
        <v>2.89183968781947E-3</v>
      </c>
      <c r="G7">
        <f>G8-F8</f>
        <v>2.9445573890802901E-3</v>
      </c>
      <c r="H7">
        <f>H8-G8</f>
        <v>2.8801787119419001E-3</v>
      </c>
      <c r="I7">
        <f>I8-H8</f>
        <v>2.7559055118109993E-4</v>
      </c>
      <c r="J7">
        <f>J8-I8</f>
        <v>1.8700787401573996E-3</v>
      </c>
      <c r="K7" s="3" t="s">
        <v>106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>
      <c r="B8" t="s">
        <v>107</v>
      </c>
      <c r="C8" s="12">
        <v>0</v>
      </c>
      <c r="D8" s="12">
        <v>2.11162829960637E-3</v>
      </c>
      <c r="E8" s="12">
        <v>4.7217444211321404E-3</v>
      </c>
      <c r="F8" s="12">
        <v>7.6135841089516104E-3</v>
      </c>
      <c r="G8" s="12">
        <v>1.05581414980319E-2</v>
      </c>
      <c r="H8" s="12">
        <v>1.3438320209973801E-2</v>
      </c>
      <c r="I8" s="12">
        <v>1.3713910761154901E-2</v>
      </c>
      <c r="J8" s="12">
        <v>1.55839895013123E-2</v>
      </c>
      <c r="K8" s="19">
        <f>(t_in+q_lin*dz*2/(M_dot*cp_in))*9/5+32</f>
        <v>555.68219356569398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>
      <c r="A9" t="s">
        <v>108</v>
      </c>
      <c r="B9" s="3" t="s">
        <v>109</v>
      </c>
      <c r="C9" s="7">
        <f>1/3*(4*D9-E9)</f>
        <v>726.27136900000005</v>
      </c>
      <c r="D9" s="20">
        <v>723.205422</v>
      </c>
      <c r="E9" s="7">
        <v>714.00758099999996</v>
      </c>
      <c r="F9" s="7">
        <v>693.62628400000006</v>
      </c>
      <c r="G9" s="7">
        <v>662.49682499999994</v>
      </c>
      <c r="H9" s="7">
        <v>621.89801699999998</v>
      </c>
      <c r="I9" s="7">
        <v>572.63108999999997</v>
      </c>
      <c r="J9" s="7">
        <v>562.76726199999996</v>
      </c>
      <c r="K9" s="12">
        <f>K8</f>
        <v>555.68219356569398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>
      <c r="A10" t="s">
        <v>108</v>
      </c>
      <c r="B10" s="3" t="s">
        <v>110</v>
      </c>
      <c r="C10" s="7">
        <f>1/3*(4*D10-E10)</f>
        <v>726.2282889999999</v>
      </c>
      <c r="D10" s="21">
        <v>723.16333999999995</v>
      </c>
      <c r="E10">
        <v>713.96849299999997</v>
      </c>
      <c r="F10">
        <v>693.59347700000001</v>
      </c>
      <c r="G10">
        <v>662.47266999999999</v>
      </c>
      <c r="H10">
        <v>621.88352799999996</v>
      </c>
      <c r="I10">
        <v>572.627028</v>
      </c>
      <c r="J10">
        <v>562.76534000000004</v>
      </c>
      <c r="K10" s="12">
        <f>K11</f>
        <v>555.68219356569398</v>
      </c>
      <c r="M10" s="16" t="s">
        <v>111</v>
      </c>
      <c r="N10" s="16" t="e">
        <f>(N9-#REF!)*t_btu_kw/t_lbm_kg*M_dot/L_chan</f>
        <v>#REF!</v>
      </c>
      <c r="O10" s="16" t="e">
        <f>(O9-#REF!)*t_btu_kw/t_lbm_kg*M_dot/L_chan</f>
        <v>#REF!</v>
      </c>
      <c r="P10" s="16" t="e">
        <f>(P9-#REF!)*t_btu_kw/t_lbm_kg*M_dot/L_chan</f>
        <v>#REF!</v>
      </c>
      <c r="Q10" s="16" t="e">
        <f>(Q9-#REF!)*M_dot/L_chan</f>
        <v>#REF!</v>
      </c>
      <c r="R10" s="16" t="e">
        <f>(R9-#REF!)*M_dot/L_chan</f>
        <v>#REF!</v>
      </c>
      <c r="S10" s="16" t="e">
        <f>(S9-#REF!)*M_dot/L_chan</f>
        <v>#REF!</v>
      </c>
      <c r="T10" s="16">
        <f>T9*M_dot/L_chan</f>
        <v>0</v>
      </c>
      <c r="U10" s="16">
        <f>U9*M_dot/L_chan</f>
        <v>0</v>
      </c>
      <c r="V10" s="16">
        <f>V9*M_dot/L_chan</f>
        <v>0</v>
      </c>
      <c r="W10" s="16">
        <f>W9/L_chan</f>
        <v>0</v>
      </c>
      <c r="X10" s="16">
        <f>X9/L_chan</f>
        <v>0</v>
      </c>
      <c r="Y10" s="16">
        <f>Y9/L_chan</f>
        <v>0</v>
      </c>
      <c r="Z10" s="16"/>
      <c r="AA10" s="16"/>
      <c r="AB10" s="16"/>
      <c r="AC10" s="16"/>
    </row>
    <row r="11" spans="1:29">
      <c r="A11" t="s">
        <v>108</v>
      </c>
      <c r="B11" s="3" t="s">
        <v>112</v>
      </c>
      <c r="C11" s="7">
        <f>1/3*(4*D11-E11)</f>
        <v>726.28021666666666</v>
      </c>
      <c r="D11" s="21">
        <v>723.21406500000001</v>
      </c>
      <c r="E11">
        <v>714.01561000000004</v>
      </c>
      <c r="F11" s="12">
        <v>693.63302299999998</v>
      </c>
      <c r="G11" s="12">
        <v>662.50178600000004</v>
      </c>
      <c r="H11" s="12">
        <v>621.90099299999997</v>
      </c>
      <c r="I11" s="12">
        <v>572.63192500000002</v>
      </c>
      <c r="J11" s="12">
        <v>562.76765699999999</v>
      </c>
      <c r="K11" s="12">
        <f>K9</f>
        <v>555.68219356569398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>
      <c r="A12" t="s">
        <v>108</v>
      </c>
      <c r="B12" s="3" t="s">
        <v>113</v>
      </c>
      <c r="C12" s="7">
        <f>1/3*(4*D12-E12)</f>
        <v>724.9045146666665</v>
      </c>
      <c r="D12">
        <v>722.08151699999996</v>
      </c>
      <c r="E12">
        <v>713.61252400000001</v>
      </c>
      <c r="F12">
        <v>693.50060699999995</v>
      </c>
      <c r="G12">
        <v>662.53147799999999</v>
      </c>
      <c r="H12">
        <v>621.91442700000005</v>
      </c>
      <c r="I12">
        <v>572.64535899999998</v>
      </c>
      <c r="J12">
        <v>562.76766099999998</v>
      </c>
      <c r="K12" s="12">
        <f>K10</f>
        <v>555.68219356569398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>
      <c r="C13" s="6" t="s">
        <v>114</v>
      </c>
      <c r="K13" t="e">
        <f>D7/#REF!*I13</f>
        <v>#REF!</v>
      </c>
    </row>
    <row r="14" spans="1:29">
      <c r="B14" s="3" t="s">
        <v>115</v>
      </c>
      <c r="C14" s="7">
        <f t="shared" ref="C14:J14" si="0">(C8)*t_ft_m*100</f>
        <v>0</v>
      </c>
      <c r="D14" s="7">
        <f t="shared" si="0"/>
        <v>6.4362430572002152E-2</v>
      </c>
      <c r="E14" s="7">
        <f t="shared" si="0"/>
        <v>0.14391876995610761</v>
      </c>
      <c r="F14" s="7">
        <f t="shared" si="0"/>
        <v>0.23206204364084504</v>
      </c>
      <c r="G14" s="7">
        <f t="shared" si="0"/>
        <v>0.3218121528600123</v>
      </c>
      <c r="H14" s="7">
        <f t="shared" si="0"/>
        <v>0.40960000000000135</v>
      </c>
      <c r="I14" s="7">
        <f t="shared" si="0"/>
        <v>0.41800000000000137</v>
      </c>
      <c r="J14" s="7">
        <f t="shared" si="0"/>
        <v>0.47499999999999887</v>
      </c>
    </row>
    <row r="15" spans="1:29">
      <c r="A15" t="s">
        <v>116</v>
      </c>
      <c r="B15" s="3" t="s">
        <v>117</v>
      </c>
      <c r="C15" s="7">
        <f>q_dot*1000/(4*k_fuel)*((R_fuel/100)^2)*(1-(C14/R_fuel)^2)+delta_gap+delta_clad</f>
        <v>92.056962314594657</v>
      </c>
      <c r="D15" s="7">
        <f>q_dot*1000/(4*k_fuel)*((R_fuel/100)^2)*(1-(D14/R_fuel)^2)+delta_gap+delta_clad</f>
        <v>90.59529198842381</v>
      </c>
      <c r="E15" s="7">
        <f>q_dot*1000/(4*k_fuel)*((R_fuel/100)^2)*(1-(E14/R_fuel)^2)+delta_gap+delta_clad</f>
        <v>84.748610683740409</v>
      </c>
      <c r="F15" s="7">
        <f>q_dot*1000/(4*k_fuel)*((R_fuel/100)^2)*(1-(F14/R_fuel)^2)+delta_gap+delta_clad</f>
        <v>73.055248074373637</v>
      </c>
      <c r="G15" s="7">
        <f>q_dot*1000/(4*k_fuel)*((R_fuel/100)^2)*(1-(G14/R_fuel)^2)+delta_gap+delta_clad</f>
        <v>55.515204160323172</v>
      </c>
      <c r="H15" s="7">
        <f>delta_gap+delta_clad</f>
        <v>32.859314104675335</v>
      </c>
      <c r="I15" s="7">
        <f>delta_clad</f>
        <v>5.4876097013893084</v>
      </c>
      <c r="J15" s="7">
        <v>0</v>
      </c>
      <c r="K15" s="7">
        <f>-delta_fluid</f>
        <v>-3.961063674805323</v>
      </c>
      <c r="L15" s="7"/>
      <c r="M15" s="5" t="s">
        <v>118</v>
      </c>
      <c r="N15" s="10"/>
      <c r="O15" s="3"/>
      <c r="P15" s="3"/>
      <c r="Q15" s="3"/>
      <c r="R15" s="3"/>
      <c r="S15" s="3"/>
      <c r="T15" s="3"/>
      <c r="U15" s="3"/>
    </row>
    <row r="16" spans="1:29">
      <c r="A16" t="s">
        <v>116</v>
      </c>
      <c r="B16" s="3" t="s">
        <v>109</v>
      </c>
      <c r="C16" s="7">
        <f t="shared" ref="C16:K16" si="1">(C9-$J9)*t_R_K</f>
        <v>90.835615000000061</v>
      </c>
      <c r="D16" s="7">
        <f t="shared" si="1"/>
        <v>89.132311111111136</v>
      </c>
      <c r="E16" s="7">
        <f t="shared" si="1"/>
        <v>84.022399444444446</v>
      </c>
      <c r="F16" s="7">
        <f t="shared" si="1"/>
        <v>72.69945666666672</v>
      </c>
      <c r="G16" s="7">
        <f t="shared" si="1"/>
        <v>55.405312777777773</v>
      </c>
      <c r="H16" s="7">
        <f t="shared" si="1"/>
        <v>32.850419444444455</v>
      </c>
      <c r="I16" s="7">
        <f t="shared" si="1"/>
        <v>5.4799044444444514</v>
      </c>
      <c r="J16" s="7">
        <f t="shared" si="1"/>
        <v>0</v>
      </c>
      <c r="K16" s="7">
        <f t="shared" si="1"/>
        <v>-3.9361491301699898</v>
      </c>
      <c r="L16" s="3" t="s">
        <v>109</v>
      </c>
      <c r="M16" s="9">
        <f t="shared" ref="M16:U19" si="2">C16-C$15</f>
        <v>-1.2213473145945954</v>
      </c>
      <c r="N16" s="9">
        <f t="shared" si="2"/>
        <v>-1.462980877312674</v>
      </c>
      <c r="O16" s="9">
        <f t="shared" si="2"/>
        <v>-0.72621123929596365</v>
      </c>
      <c r="P16" s="9">
        <f t="shared" si="2"/>
        <v>-0.35579140770691708</v>
      </c>
      <c r="Q16" s="9">
        <f t="shared" si="2"/>
        <v>-0.1098913825453991</v>
      </c>
      <c r="R16" s="9">
        <f t="shared" si="2"/>
        <v>-8.8946602308794809E-3</v>
      </c>
      <c r="S16" s="9">
        <f t="shared" si="2"/>
        <v>-7.7052569448570196E-3</v>
      </c>
      <c r="T16" s="9">
        <f t="shared" si="2"/>
        <v>0</v>
      </c>
      <c r="U16" s="9">
        <f t="shared" si="2"/>
        <v>2.4914544635333158E-2</v>
      </c>
      <c r="V16" s="9" t="e">
        <f t="shared" ref="V16:Y19" si="3">L17-L$16</f>
        <v>#VALUE!</v>
      </c>
      <c r="W16" s="9">
        <f t="shared" si="3"/>
        <v>-2.2865555555682704E-2</v>
      </c>
      <c r="X16" s="9">
        <f t="shared" si="3"/>
        <v>-2.2311111111179116E-2</v>
      </c>
      <c r="Y16" s="9">
        <f t="shared" si="3"/>
        <v>-2.0647777777810461E-2</v>
      </c>
    </row>
    <row r="17" spans="1:30">
      <c r="A17" t="s">
        <v>116</v>
      </c>
      <c r="B17" s="3" t="s">
        <v>110</v>
      </c>
      <c r="C17" s="7">
        <f t="shared" ref="C17:K17" si="4">(C10-$J10)*t_R_K</f>
        <v>90.812749444444378</v>
      </c>
      <c r="D17" s="7">
        <f t="shared" si="4"/>
        <v>89.109999999999957</v>
      </c>
      <c r="E17" s="7">
        <f t="shared" si="4"/>
        <v>84.001751666666635</v>
      </c>
      <c r="F17" s="7">
        <f t="shared" si="4"/>
        <v>72.682298333333321</v>
      </c>
      <c r="G17" s="7">
        <f t="shared" si="4"/>
        <v>55.392961111111092</v>
      </c>
      <c r="H17" s="7">
        <f t="shared" si="4"/>
        <v>32.843437777777737</v>
      </c>
      <c r="I17" s="7">
        <f t="shared" si="4"/>
        <v>5.4787155555555325</v>
      </c>
      <c r="J17" s="7">
        <f t="shared" si="4"/>
        <v>0</v>
      </c>
      <c r="K17" s="7">
        <f t="shared" si="4"/>
        <v>-3.9350813523922552</v>
      </c>
      <c r="L17" s="3" t="s">
        <v>110</v>
      </c>
      <c r="M17" s="9">
        <f t="shared" si="2"/>
        <v>-1.2442128701502781</v>
      </c>
      <c r="N17" s="9">
        <f t="shared" si="2"/>
        <v>-1.4852919884238531</v>
      </c>
      <c r="O17" s="9">
        <f t="shared" si="2"/>
        <v>-0.74685901707377411</v>
      </c>
      <c r="P17" s="9">
        <f t="shared" si="2"/>
        <v>-0.37294974104031553</v>
      </c>
      <c r="Q17" s="9">
        <f t="shared" si="2"/>
        <v>-0.12224304921208073</v>
      </c>
      <c r="R17" s="9">
        <f t="shared" si="2"/>
        <v>-1.5876326897597437E-2</v>
      </c>
      <c r="S17" s="9">
        <f t="shared" si="2"/>
        <v>-8.8941458337759016E-3</v>
      </c>
      <c r="T17" s="9">
        <f t="shared" si="2"/>
        <v>0</v>
      </c>
      <c r="U17" s="9">
        <f t="shared" si="2"/>
        <v>2.5982322413067749E-2</v>
      </c>
      <c r="V17" s="9" t="e">
        <f t="shared" si="3"/>
        <v>#VALUE!</v>
      </c>
      <c r="W17" s="9">
        <f t="shared" si="3"/>
        <v>4.695925925872757E-3</v>
      </c>
      <c r="X17" s="9">
        <f t="shared" si="3"/>
        <v>4.5822222222113851E-3</v>
      </c>
      <c r="Y17" s="9">
        <f t="shared" si="3"/>
        <v>4.2411111111420041E-3</v>
      </c>
    </row>
    <row r="18" spans="1:30">
      <c r="A18" t="s">
        <v>116</v>
      </c>
      <c r="B18" s="3" t="s">
        <v>112</v>
      </c>
      <c r="C18" s="7">
        <f t="shared" ref="C18:K18" si="5">(C11-$J11)*t_R_K</f>
        <v>90.840310925925934</v>
      </c>
      <c r="D18" s="7">
        <f t="shared" si="5"/>
        <v>89.136893333333347</v>
      </c>
      <c r="E18" s="7">
        <f t="shared" si="5"/>
        <v>84.026640555555588</v>
      </c>
      <c r="F18" s="7">
        <f t="shared" si="5"/>
        <v>72.702981111111114</v>
      </c>
      <c r="G18" s="7">
        <f t="shared" si="5"/>
        <v>55.407849444444473</v>
      </c>
      <c r="H18" s="7">
        <f t="shared" si="5"/>
        <v>32.851853333333324</v>
      </c>
      <c r="I18" s="7">
        <f t="shared" si="5"/>
        <v>5.4801488888889107</v>
      </c>
      <c r="J18" s="7">
        <f t="shared" si="5"/>
        <v>0</v>
      </c>
      <c r="K18" s="7">
        <f t="shared" si="5"/>
        <v>-3.9363685746144483</v>
      </c>
      <c r="L18" s="3" t="s">
        <v>112</v>
      </c>
      <c r="M18" s="9">
        <f t="shared" si="2"/>
        <v>-1.2166513886687227</v>
      </c>
      <c r="N18" s="9">
        <f t="shared" si="2"/>
        <v>-1.4583986550904626</v>
      </c>
      <c r="O18" s="9">
        <f t="shared" si="2"/>
        <v>-0.72197012818482165</v>
      </c>
      <c r="P18" s="9">
        <f t="shared" si="2"/>
        <v>-0.35226696326252238</v>
      </c>
      <c r="Q18" s="9">
        <f t="shared" si="2"/>
        <v>-0.10735471587869938</v>
      </c>
      <c r="R18" s="9">
        <f t="shared" si="2"/>
        <v>-7.4607713420107302E-3</v>
      </c>
      <c r="S18" s="9">
        <f t="shared" si="2"/>
        <v>-7.4608125003976511E-3</v>
      </c>
      <c r="T18" s="9">
        <f t="shared" si="2"/>
        <v>0</v>
      </c>
      <c r="U18" s="9">
        <f t="shared" si="2"/>
        <v>2.4695100190874619E-2</v>
      </c>
      <c r="V18" s="9" t="e">
        <f t="shared" si="3"/>
        <v>#VALUE!</v>
      </c>
      <c r="W18" s="9">
        <f t="shared" si="3"/>
        <v>-0.75958518518531548</v>
      </c>
      <c r="X18" s="9">
        <f t="shared" si="3"/>
        <v>-0.62461333333335745</v>
      </c>
      <c r="Y18" s="9">
        <f t="shared" si="3"/>
        <v>-0.21969777777775334</v>
      </c>
    </row>
    <row r="19" spans="1:30">
      <c r="A19" t="s">
        <v>116</v>
      </c>
      <c r="B19" s="3" t="s">
        <v>113</v>
      </c>
      <c r="C19" s="7">
        <f t="shared" ref="C19:K19" si="6">(C12-$J12)*t_R_K</f>
        <v>90.076029814814746</v>
      </c>
      <c r="D19" s="7">
        <f t="shared" si="6"/>
        <v>88.507697777777778</v>
      </c>
      <c r="E19" s="7">
        <f t="shared" si="6"/>
        <v>83.802701666666692</v>
      </c>
      <c r="F19" s="7">
        <f t="shared" si="6"/>
        <v>72.629414444444436</v>
      </c>
      <c r="G19" s="7">
        <f t="shared" si="6"/>
        <v>55.424342777777788</v>
      </c>
      <c r="H19" s="7">
        <f t="shared" si="6"/>
        <v>32.859314444444486</v>
      </c>
      <c r="I19" s="7">
        <f t="shared" si="6"/>
        <v>5.4876100000000054</v>
      </c>
      <c r="J19" s="7">
        <f t="shared" si="6"/>
        <v>0</v>
      </c>
      <c r="K19" s="7">
        <f t="shared" si="6"/>
        <v>-3.9363707968366652</v>
      </c>
      <c r="L19" s="3" t="s">
        <v>113</v>
      </c>
      <c r="M19" s="9">
        <f t="shared" si="2"/>
        <v>-1.9809324997799109</v>
      </c>
      <c r="N19" s="9">
        <f t="shared" si="2"/>
        <v>-2.0875942106460315</v>
      </c>
      <c r="O19" s="9">
        <f t="shared" si="2"/>
        <v>-0.945909017073717</v>
      </c>
      <c r="P19" s="9">
        <f t="shared" si="2"/>
        <v>-0.42583362992920115</v>
      </c>
      <c r="Q19" s="9">
        <f t="shared" si="2"/>
        <v>-9.0861382545384117E-2</v>
      </c>
      <c r="R19" s="9">
        <f t="shared" si="2"/>
        <v>3.3976915148059561E-7</v>
      </c>
      <c r="S19" s="9">
        <f t="shared" si="2"/>
        <v>2.986106970581659E-7</v>
      </c>
      <c r="T19" s="9">
        <f t="shared" si="2"/>
        <v>0</v>
      </c>
      <c r="U19" s="9">
        <f t="shared" si="2"/>
        <v>2.4692877968657712E-2</v>
      </c>
      <c r="V19" s="9" t="e">
        <f t="shared" si="3"/>
        <v>#VALUE!</v>
      </c>
      <c r="W19" s="9">
        <f t="shared" si="3"/>
        <v>1.2213473145945954</v>
      </c>
      <c r="X19" s="9">
        <f t="shared" si="3"/>
        <v>1.462980877312674</v>
      </c>
      <c r="Y19" s="9">
        <f t="shared" si="3"/>
        <v>0.72621123929596365</v>
      </c>
    </row>
    <row r="20" spans="1:30">
      <c r="B20" s="3"/>
      <c r="C20" s="7"/>
      <c r="D20" s="7"/>
      <c r="E20" s="7"/>
      <c r="F20" s="7"/>
      <c r="G20" s="7"/>
      <c r="H20" s="7"/>
      <c r="I20" s="7"/>
      <c r="J20" s="7"/>
      <c r="K20" s="7"/>
    </row>
    <row r="21" spans="1:30">
      <c r="C21" s="6" t="s">
        <v>119</v>
      </c>
    </row>
    <row r="22" spans="1:30">
      <c r="B22" s="3" t="s">
        <v>115</v>
      </c>
      <c r="C22" s="10">
        <f t="shared" ref="C22:J22" si="7">(C8)*t_ft_m*100</f>
        <v>0</v>
      </c>
      <c r="D22" s="10">
        <f t="shared" si="7"/>
        <v>6.4362430572002152E-2</v>
      </c>
      <c r="E22" s="10">
        <f t="shared" si="7"/>
        <v>0.14391876995610761</v>
      </c>
      <c r="F22" s="10">
        <f t="shared" si="7"/>
        <v>0.23206204364084504</v>
      </c>
      <c r="G22" s="10">
        <f t="shared" si="7"/>
        <v>0.3218121528600123</v>
      </c>
      <c r="H22" s="10">
        <f t="shared" si="7"/>
        <v>0.40960000000000135</v>
      </c>
      <c r="I22" s="10">
        <f t="shared" si="7"/>
        <v>0.41800000000000137</v>
      </c>
      <c r="J22" s="10">
        <f t="shared" si="7"/>
        <v>0.47499999999999887</v>
      </c>
      <c r="K22" s="10"/>
    </row>
    <row r="23" spans="1:30">
      <c r="A23" t="s">
        <v>120</v>
      </c>
      <c r="B23" s="3" t="s">
        <v>117</v>
      </c>
      <c r="C23" s="7">
        <f t="shared" ref="C23:J27" si="8">C15+$K23-$K15</f>
        <v>386.95257797034111</v>
      </c>
      <c r="D23" s="7">
        <f t="shared" si="8"/>
        <v>385.49090764417025</v>
      </c>
      <c r="E23" s="7">
        <f t="shared" si="8"/>
        <v>379.64422633948686</v>
      </c>
      <c r="F23" s="7">
        <f t="shared" si="8"/>
        <v>367.95086373012009</v>
      </c>
      <c r="G23" s="7">
        <f t="shared" si="8"/>
        <v>350.41081981606959</v>
      </c>
      <c r="H23" s="7">
        <f t="shared" si="8"/>
        <v>327.75492976042176</v>
      </c>
      <c r="I23" s="7">
        <f t="shared" si="8"/>
        <v>300.38322535713576</v>
      </c>
      <c r="J23" s="7">
        <f t="shared" si="8"/>
        <v>294.89561565574644</v>
      </c>
      <c r="K23" s="7">
        <f>5/9*(K8-32)</f>
        <v>290.93455198094114</v>
      </c>
      <c r="L23" s="7"/>
      <c r="M23" s="5" t="s">
        <v>121</v>
      </c>
      <c r="N23" s="10"/>
      <c r="O23" s="3"/>
      <c r="P23" s="3"/>
      <c r="Q23" s="3"/>
      <c r="R23" s="3"/>
      <c r="S23" s="3"/>
      <c r="T23" s="3"/>
      <c r="U23" s="3"/>
    </row>
    <row r="24" spans="1:30">
      <c r="A24" t="s">
        <v>120</v>
      </c>
      <c r="B24" s="3" t="s">
        <v>109</v>
      </c>
      <c r="C24" s="7">
        <f t="shared" si="8"/>
        <v>385.70631611111122</v>
      </c>
      <c r="D24" s="7">
        <f t="shared" si="8"/>
        <v>384.00301222222225</v>
      </c>
      <c r="E24" s="7">
        <f t="shared" si="8"/>
        <v>378.89310055555558</v>
      </c>
      <c r="F24" s="7">
        <f t="shared" si="8"/>
        <v>367.57015777777787</v>
      </c>
      <c r="G24" s="7">
        <f t="shared" si="8"/>
        <v>350.27601388888894</v>
      </c>
      <c r="H24" s="7">
        <f t="shared" si="8"/>
        <v>327.72112055555561</v>
      </c>
      <c r="I24" s="7">
        <f t="shared" si="8"/>
        <v>300.3506055555556</v>
      </c>
      <c r="J24" s="7">
        <f t="shared" si="8"/>
        <v>294.87070111111115</v>
      </c>
      <c r="K24" s="7">
        <f>5/9*(K9-32)</f>
        <v>290.93455198094114</v>
      </c>
      <c r="L24" s="3" t="s">
        <v>109</v>
      </c>
      <c r="M24" s="22">
        <f t="shared" ref="M24:Y27" si="9">(C24-C$23)/C$23</f>
        <v>-3.2207095395689863E-3</v>
      </c>
      <c r="N24" s="22">
        <f t="shared" si="9"/>
        <v>-3.8597419353958084E-3</v>
      </c>
      <c r="O24" s="22">
        <f t="shared" si="9"/>
        <v>-1.978499162686098E-3</v>
      </c>
      <c r="P24" s="22">
        <f t="shared" si="9"/>
        <v>-1.0346651954633288E-3</v>
      </c>
      <c r="Q24" s="22">
        <f t="shared" si="9"/>
        <v>-3.8470823261510615E-4</v>
      </c>
      <c r="R24" s="22">
        <f t="shared" si="9"/>
        <v>-1.0315391713820619E-4</v>
      </c>
      <c r="S24" s="22">
        <f t="shared" si="9"/>
        <v>-1.0859395208028337E-4</v>
      </c>
      <c r="T24" s="22">
        <f t="shared" si="9"/>
        <v>-8.448597847035704E-5</v>
      </c>
      <c r="U24" s="22">
        <f t="shared" si="9"/>
        <v>0</v>
      </c>
      <c r="V24" s="22" t="e">
        <f t="shared" si="9"/>
        <v>#VALUE!</v>
      </c>
      <c r="W24" s="22" t="e">
        <f t="shared" si="9"/>
        <v>#VALUE!</v>
      </c>
      <c r="X24" s="22" t="e">
        <f t="shared" si="9"/>
        <v>#DIV/0!</v>
      </c>
      <c r="Y24" s="22" t="e">
        <f t="shared" si="9"/>
        <v>#DIV/0!</v>
      </c>
    </row>
    <row r="25" spans="1:30">
      <c r="A25" t="s">
        <v>120</v>
      </c>
      <c r="B25" s="3" t="s">
        <v>110</v>
      </c>
      <c r="C25" s="7">
        <f t="shared" si="8"/>
        <v>385.68238277777778</v>
      </c>
      <c r="D25" s="7">
        <f t="shared" si="8"/>
        <v>383.97963333333337</v>
      </c>
      <c r="E25" s="7">
        <f t="shared" si="8"/>
        <v>378.87138500000003</v>
      </c>
      <c r="F25" s="7">
        <f t="shared" si="8"/>
        <v>367.55193166666675</v>
      </c>
      <c r="G25" s="7">
        <f t="shared" si="8"/>
        <v>350.26259444444452</v>
      </c>
      <c r="H25" s="7">
        <f t="shared" si="8"/>
        <v>327.71307111111116</v>
      </c>
      <c r="I25" s="7">
        <f t="shared" si="8"/>
        <v>300.34834888888895</v>
      </c>
      <c r="J25" s="7">
        <f t="shared" si="8"/>
        <v>294.86963333333341</v>
      </c>
      <c r="K25" s="7">
        <f>5/9*(K10-32)</f>
        <v>290.93455198094114</v>
      </c>
      <c r="L25" s="3" t="s">
        <v>110</v>
      </c>
      <c r="M25" s="22">
        <f t="shared" si="9"/>
        <v>-3.2825603572040093E-3</v>
      </c>
      <c r="N25" s="22">
        <f t="shared" si="9"/>
        <v>-3.920388991980773E-3</v>
      </c>
      <c r="O25" s="22">
        <f t="shared" si="9"/>
        <v>-2.0356989145825653E-3</v>
      </c>
      <c r="P25" s="22">
        <f t="shared" si="9"/>
        <v>-1.0841992852228981E-3</v>
      </c>
      <c r="Q25" s="22">
        <f t="shared" si="9"/>
        <v>-4.2300455135168852E-4</v>
      </c>
      <c r="R25" s="22">
        <f t="shared" si="9"/>
        <v>-1.2771325618563542E-4</v>
      </c>
      <c r="S25" s="22">
        <f t="shared" si="9"/>
        <v>-1.1610657754054484E-4</v>
      </c>
      <c r="T25" s="22">
        <f t="shared" si="9"/>
        <v>-8.810684538409606E-5</v>
      </c>
      <c r="U25" s="22">
        <f t="shared" si="9"/>
        <v>0</v>
      </c>
      <c r="V25" s="22" t="e">
        <f t="shared" si="9"/>
        <v>#VALUE!</v>
      </c>
      <c r="W25" s="22" t="e">
        <f t="shared" si="9"/>
        <v>#VALUE!</v>
      </c>
      <c r="X25" s="22" t="e">
        <f t="shared" si="9"/>
        <v>#DIV/0!</v>
      </c>
      <c r="Y25" s="22" t="e">
        <f t="shared" si="9"/>
        <v>#DIV/0!</v>
      </c>
    </row>
    <row r="26" spans="1:30">
      <c r="A26" t="s">
        <v>120</v>
      </c>
      <c r="B26" s="3" t="s">
        <v>112</v>
      </c>
      <c r="C26" s="7">
        <f t="shared" si="8"/>
        <v>385.71123148148149</v>
      </c>
      <c r="D26" s="7">
        <f t="shared" si="8"/>
        <v>384.0078138888889</v>
      </c>
      <c r="E26" s="7">
        <f t="shared" si="8"/>
        <v>378.89756111111114</v>
      </c>
      <c r="F26" s="7">
        <f t="shared" si="8"/>
        <v>367.5739016666667</v>
      </c>
      <c r="G26" s="7">
        <f t="shared" si="8"/>
        <v>350.27877000000007</v>
      </c>
      <c r="H26" s="7">
        <f t="shared" si="8"/>
        <v>327.72277388888892</v>
      </c>
      <c r="I26" s="7">
        <f t="shared" si="8"/>
        <v>300.35106944444448</v>
      </c>
      <c r="J26" s="7">
        <f t="shared" si="8"/>
        <v>294.87092055555559</v>
      </c>
      <c r="K26" s="7">
        <f>5/9*(K11-32)</f>
        <v>290.93455198094114</v>
      </c>
      <c r="L26" s="3" t="s">
        <v>112</v>
      </c>
      <c r="M26" s="22">
        <f t="shared" si="9"/>
        <v>-3.2080067675754453E-3</v>
      </c>
      <c r="N26" s="22">
        <f t="shared" si="9"/>
        <v>-3.847285956353409E-3</v>
      </c>
      <c r="O26" s="22">
        <f t="shared" si="9"/>
        <v>-1.9667498583477278E-3</v>
      </c>
      <c r="P26" s="22">
        <f t="shared" si="9"/>
        <v>-1.0244902257652536E-3</v>
      </c>
      <c r="Q26" s="22">
        <f t="shared" si="9"/>
        <v>-3.7684286158412008E-4</v>
      </c>
      <c r="R26" s="22">
        <f t="shared" si="9"/>
        <v>-9.8109497716301013E-5</v>
      </c>
      <c r="S26" s="22">
        <f t="shared" si="9"/>
        <v>-1.0704962853051802E-4</v>
      </c>
      <c r="T26" s="22">
        <f t="shared" si="9"/>
        <v>-8.3741835686301338E-5</v>
      </c>
      <c r="U26" s="22">
        <f t="shared" si="9"/>
        <v>0</v>
      </c>
      <c r="V26" s="22" t="e">
        <f t="shared" si="9"/>
        <v>#VALUE!</v>
      </c>
      <c r="W26" s="22" t="e">
        <f t="shared" si="9"/>
        <v>#VALUE!</v>
      </c>
      <c r="X26" s="22" t="e">
        <f t="shared" si="9"/>
        <v>#DIV/0!</v>
      </c>
      <c r="Y26" s="22" t="e">
        <f t="shared" si="9"/>
        <v>#DIV/0!</v>
      </c>
    </row>
    <row r="27" spans="1:30">
      <c r="A27" t="s">
        <v>120</v>
      </c>
      <c r="B27" s="3" t="s">
        <v>113</v>
      </c>
      <c r="C27" s="7">
        <f t="shared" si="8"/>
        <v>384.9469525925926</v>
      </c>
      <c r="D27" s="7">
        <f t="shared" si="8"/>
        <v>383.37862055555559</v>
      </c>
      <c r="E27" s="7">
        <f t="shared" si="8"/>
        <v>378.6736244444445</v>
      </c>
      <c r="F27" s="7">
        <f t="shared" si="8"/>
        <v>367.50033722222224</v>
      </c>
      <c r="G27" s="7">
        <f t="shared" si="8"/>
        <v>350.2952655555556</v>
      </c>
      <c r="H27" s="7">
        <f t="shared" si="8"/>
        <v>327.73023722222229</v>
      </c>
      <c r="I27" s="7">
        <f t="shared" si="8"/>
        <v>300.35853277777784</v>
      </c>
      <c r="J27" s="7">
        <f t="shared" si="8"/>
        <v>294.87092277777782</v>
      </c>
      <c r="K27" s="7">
        <f>5/9*(K12-32)</f>
        <v>290.93455198094114</v>
      </c>
      <c r="L27" s="3" t="s">
        <v>113</v>
      </c>
      <c r="M27" s="22">
        <f t="shared" si="9"/>
        <v>-5.183129644124612E-3</v>
      </c>
      <c r="N27" s="22">
        <f t="shared" si="9"/>
        <v>-5.4794731775215403E-3</v>
      </c>
      <c r="O27" s="22">
        <f t="shared" si="9"/>
        <v>-2.5566091295549662E-3</v>
      </c>
      <c r="P27" s="22">
        <f t="shared" si="9"/>
        <v>-1.2244203025659824E-3</v>
      </c>
      <c r="Q27" s="22">
        <f t="shared" si="9"/>
        <v>-3.2976795800609949E-4</v>
      </c>
      <c r="R27" s="22">
        <f t="shared" si="9"/>
        <v>-7.533841891416768E-5</v>
      </c>
      <c r="S27" s="22">
        <f t="shared" si="9"/>
        <v>-8.2203589526546231E-5</v>
      </c>
      <c r="T27" s="22">
        <f t="shared" si="9"/>
        <v>-8.3734300063126278E-5</v>
      </c>
      <c r="U27" s="22">
        <f t="shared" si="9"/>
        <v>0</v>
      </c>
      <c r="V27" s="22" t="e">
        <f t="shared" si="9"/>
        <v>#VALUE!</v>
      </c>
      <c r="W27" s="22" t="e">
        <f t="shared" si="9"/>
        <v>#VALUE!</v>
      </c>
      <c r="X27" s="22" t="e">
        <f t="shared" si="9"/>
        <v>#DIV/0!</v>
      </c>
      <c r="Y27" s="22" t="e">
        <f t="shared" si="9"/>
        <v>#DIV/0!</v>
      </c>
    </row>
    <row r="28" spans="1:30">
      <c r="Q28" s="3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31" spans="1:30">
      <c r="C31" s="3"/>
      <c r="D31" s="3" t="s">
        <v>122</v>
      </c>
    </row>
    <row r="32" spans="1:30">
      <c r="B32" s="7"/>
      <c r="C32" s="7"/>
      <c r="D32" s="20">
        <v>723.205422</v>
      </c>
      <c r="E32" s="7">
        <v>714.00758099999996</v>
      </c>
      <c r="F32" s="7">
        <v>693.62628400000006</v>
      </c>
      <c r="G32" s="7">
        <v>662.49682499999994</v>
      </c>
      <c r="H32" s="7">
        <v>621.89801699999998</v>
      </c>
      <c r="I32" s="7">
        <v>572.63108999999997</v>
      </c>
      <c r="J32" s="7">
        <v>562.76726199999996</v>
      </c>
      <c r="K32" s="7"/>
      <c r="L32" s="7"/>
      <c r="M32" s="7"/>
      <c r="N32" s="7"/>
      <c r="O32" s="7"/>
      <c r="P32" s="7"/>
    </row>
    <row r="33" spans="1:10">
      <c r="A33" s="7"/>
      <c r="D33" s="21">
        <v>723.16333999999995</v>
      </c>
      <c r="E33">
        <v>713.96849299999997</v>
      </c>
      <c r="F33">
        <v>693.59347700000001</v>
      </c>
      <c r="G33">
        <v>662.47266999999999</v>
      </c>
      <c r="H33">
        <v>621.88352799999996</v>
      </c>
      <c r="I33">
        <v>572.627028</v>
      </c>
      <c r="J33">
        <v>562.76534000000004</v>
      </c>
    </row>
    <row r="34" spans="1:10">
      <c r="D34" s="21">
        <v>723.21406500000001</v>
      </c>
      <c r="E34">
        <v>714.01561000000004</v>
      </c>
      <c r="F34" s="12">
        <v>693.63302299999998</v>
      </c>
      <c r="G34" s="12">
        <v>662.50178600000004</v>
      </c>
      <c r="H34" s="12">
        <v>621.90099299999997</v>
      </c>
      <c r="I34" s="12">
        <v>572.63192500000002</v>
      </c>
      <c r="J34" s="12">
        <v>562.76765699999999</v>
      </c>
    </row>
    <row r="35" spans="1:10">
      <c r="D35">
        <v>722.08151699999996</v>
      </c>
      <c r="E35">
        <v>713.61252400000001</v>
      </c>
      <c r="F35">
        <v>693.50060699999995</v>
      </c>
      <c r="G35">
        <v>662.53147799999999</v>
      </c>
      <c r="H35">
        <v>621.91442700000005</v>
      </c>
      <c r="I35">
        <v>572.64535899999998</v>
      </c>
      <c r="J35">
        <v>562.76766099999998</v>
      </c>
    </row>
  </sheetData>
  <mergeCells count="1">
    <mergeCell ref="A1:D2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opLeftCell="A9" zoomScale="90" zoomScaleNormal="90" zoomScalePageLayoutView="90" workbookViewId="0">
      <selection activeCell="G42" sqref="G42"/>
    </sheetView>
  </sheetViews>
  <sheetFormatPr baseColWidth="10" defaultColWidth="8.83203125" defaultRowHeight="12" x14ac:dyDescent="0"/>
  <sheetData>
    <row r="1" spans="1:30">
      <c r="A1" s="2" t="s">
        <v>123</v>
      </c>
      <c r="B1" s="2"/>
      <c r="C1" s="2"/>
      <c r="D1" s="2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30">
      <c r="A2" s="2"/>
      <c r="B2" s="2"/>
      <c r="C2" s="2"/>
      <c r="D2" s="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30">
      <c r="B3" s="3"/>
      <c r="C3" s="7"/>
      <c r="D3" s="17"/>
      <c r="E3" s="7"/>
      <c r="F3" s="18"/>
    </row>
    <row r="4" spans="1:30">
      <c r="B4" s="3"/>
      <c r="C4" s="7"/>
      <c r="D4" s="17"/>
      <c r="E4" s="7"/>
      <c r="F4" s="18"/>
    </row>
    <row r="5" spans="1:30">
      <c r="B5" s="3"/>
      <c r="C5" s="7"/>
      <c r="D5" s="17"/>
      <c r="E5" s="7"/>
      <c r="F5" s="18"/>
    </row>
    <row r="6" spans="1:30">
      <c r="C6" s="6" t="s">
        <v>104</v>
      </c>
      <c r="P6" s="3" t="s">
        <v>106</v>
      </c>
    </row>
    <row r="7" spans="1:30">
      <c r="B7" t="s">
        <v>105</v>
      </c>
      <c r="D7" s="12">
        <f>D8</f>
        <v>1.0002449840240701E-3</v>
      </c>
      <c r="E7" s="12">
        <f>E8</f>
        <v>2.2366157784310101E-3</v>
      </c>
      <c r="F7">
        <f t="shared" ref="F7:O7" si="0">F8-E8</f>
        <v>1.3698187994934299E-3</v>
      </c>
      <c r="G7">
        <f t="shared" si="0"/>
        <v>1.39479034219591E-3</v>
      </c>
      <c r="H7">
        <f t="shared" si="0"/>
        <v>1.4034679804548096E-3</v>
      </c>
      <c r="I7">
        <f t="shared" si="0"/>
        <v>1.4074701617260901E-3</v>
      </c>
      <c r="J7">
        <f t="shared" si="0"/>
        <v>1.4096400360928806E-3</v>
      </c>
      <c r="K7">
        <f t="shared" si="0"/>
        <v>1.4109469302381692E-3</v>
      </c>
      <c r="L7">
        <f t="shared" si="0"/>
        <v>1.4117945484561009E-3</v>
      </c>
      <c r="M7">
        <f t="shared" si="0"/>
        <v>1.3937756328854002E-3</v>
      </c>
      <c r="N7">
        <f t="shared" si="0"/>
        <v>2.7559055118109993E-4</v>
      </c>
      <c r="O7">
        <f t="shared" si="0"/>
        <v>1.8700787401573996E-3</v>
      </c>
      <c r="P7" s="19">
        <f>(t_in+q_lin*dz*2/(M_dot*cp_in))*9/5+32</f>
        <v>555.68219356569398</v>
      </c>
    </row>
    <row r="8" spans="1:30">
      <c r="B8" t="s">
        <v>107</v>
      </c>
      <c r="C8" s="12">
        <v>0</v>
      </c>
      <c r="D8" s="12">
        <v>1.0002449840240701E-3</v>
      </c>
      <c r="E8" s="12">
        <v>2.2366157784310101E-3</v>
      </c>
      <c r="F8" s="12">
        <v>3.60643457792444E-3</v>
      </c>
      <c r="G8" s="12">
        <v>5.00122492012035E-3</v>
      </c>
      <c r="H8" s="12">
        <v>6.4046929005751596E-3</v>
      </c>
      <c r="I8" s="12">
        <v>7.8121630623012497E-3</v>
      </c>
      <c r="J8" s="12">
        <v>9.2218030983941303E-3</v>
      </c>
      <c r="K8" s="12">
        <v>1.0632750028632299E-2</v>
      </c>
      <c r="L8" s="12">
        <v>1.20445445770884E-2</v>
      </c>
      <c r="M8" s="12">
        <v>1.3438320209973801E-2</v>
      </c>
      <c r="N8" s="12">
        <v>1.3713910761154901E-2</v>
      </c>
      <c r="O8" s="12">
        <v>1.55839895013123E-2</v>
      </c>
      <c r="P8" s="12">
        <f>P7</f>
        <v>555.68219356569398</v>
      </c>
    </row>
    <row r="9" spans="1:30">
      <c r="A9" t="s">
        <v>108</v>
      </c>
      <c r="B9" s="3" t="s">
        <v>109</v>
      </c>
      <c r="C9" s="7">
        <f>1/3*(4*D9-E9)</f>
        <v>727.72141299999998</v>
      </c>
      <c r="D9" s="20">
        <v>727.03349100000003</v>
      </c>
      <c r="E9" s="7">
        <v>724.96972500000004</v>
      </c>
      <c r="F9" s="7">
        <v>720.39668300000005</v>
      </c>
      <c r="G9" s="7">
        <v>713.41206</v>
      </c>
      <c r="H9" s="7">
        <v>704.04126799999995</v>
      </c>
      <c r="I9" s="7">
        <v>692.29434300000003</v>
      </c>
      <c r="J9" s="7">
        <v>678.17625399999997</v>
      </c>
      <c r="K9" s="7">
        <v>661.68981499999995</v>
      </c>
      <c r="L9" s="7">
        <v>642.836771</v>
      </c>
      <c r="M9" s="7">
        <v>621.89770199999998</v>
      </c>
      <c r="N9" s="7">
        <v>572.63100199999997</v>
      </c>
      <c r="O9" s="7">
        <v>562.76721999999995</v>
      </c>
      <c r="P9" s="12">
        <f>P8</f>
        <v>555.68219356569398</v>
      </c>
    </row>
    <row r="10" spans="1:30">
      <c r="A10" t="s">
        <v>108</v>
      </c>
      <c r="B10" s="3" t="s">
        <v>110</v>
      </c>
      <c r="C10" s="7">
        <f>1/3*(4*D10-E10)</f>
        <v>727.67572833333338</v>
      </c>
      <c r="D10" s="21">
        <v>726.98804600000005</v>
      </c>
      <c r="E10">
        <v>724.92499899999996</v>
      </c>
      <c r="F10">
        <v>720.35353099999998</v>
      </c>
      <c r="G10">
        <v>713.37126000000001</v>
      </c>
      <c r="H10">
        <v>704.00352499999997</v>
      </c>
      <c r="I10">
        <v>692.26027599999998</v>
      </c>
      <c r="J10">
        <v>678.14638000000002</v>
      </c>
      <c r="K10">
        <v>661.66454099999999</v>
      </c>
      <c r="L10">
        <v>642.81638099999998</v>
      </c>
      <c r="M10">
        <v>621.88228400000003</v>
      </c>
      <c r="N10">
        <v>572.62667999999996</v>
      </c>
      <c r="O10">
        <v>562.765175</v>
      </c>
      <c r="P10" s="12">
        <f>P9</f>
        <v>555.68219356569398</v>
      </c>
      <c r="R10" s="12"/>
    </row>
    <row r="11" spans="1:30">
      <c r="A11" t="s">
        <v>108</v>
      </c>
      <c r="B11" s="3" t="s">
        <v>112</v>
      </c>
      <c r="C11" s="7">
        <f>1/3*(4*D11-E11)</f>
        <v>727.73116399999992</v>
      </c>
      <c r="D11">
        <v>727.04319099999998</v>
      </c>
      <c r="E11">
        <v>724.97927200000004</v>
      </c>
      <c r="F11">
        <v>720.40589299999999</v>
      </c>
      <c r="G11">
        <v>713.42076799999995</v>
      </c>
      <c r="H11">
        <v>704.04932499999995</v>
      </c>
      <c r="I11">
        <v>692.30161499999997</v>
      </c>
      <c r="J11">
        <v>678.18263000000002</v>
      </c>
      <c r="K11">
        <v>661.69520899999998</v>
      </c>
      <c r="L11">
        <v>642.84112300000004</v>
      </c>
      <c r="M11">
        <v>621.90099299999997</v>
      </c>
      <c r="N11">
        <v>572.63192500000002</v>
      </c>
      <c r="O11">
        <v>562.76765699999999</v>
      </c>
      <c r="P11" s="12">
        <f>P10</f>
        <v>555.68219356569398</v>
      </c>
    </row>
    <row r="12" spans="1:30">
      <c r="A12" t="s">
        <v>108</v>
      </c>
      <c r="B12" s="3" t="s">
        <v>113</v>
      </c>
      <c r="C12" s="7">
        <v>727.18</v>
      </c>
      <c r="D12">
        <v>726.70938000000001</v>
      </c>
      <c r="E12">
        <v>724.80913399999997</v>
      </c>
      <c r="F12">
        <v>720.29648799999995</v>
      </c>
      <c r="G12">
        <v>713.34773600000005</v>
      </c>
      <c r="H12">
        <v>704.00242100000003</v>
      </c>
      <c r="I12">
        <v>692.27517799999998</v>
      </c>
      <c r="J12">
        <v>678.17304899999999</v>
      </c>
      <c r="K12">
        <v>661.699973</v>
      </c>
      <c r="L12">
        <v>642.85837900000001</v>
      </c>
      <c r="M12">
        <v>621.91442700000005</v>
      </c>
      <c r="N12">
        <v>572.64535899999998</v>
      </c>
      <c r="O12">
        <v>562.76766099999998</v>
      </c>
      <c r="P12" s="12">
        <f>P11</f>
        <v>555.68219356569398</v>
      </c>
      <c r="R12" s="12"/>
    </row>
    <row r="13" spans="1:30">
      <c r="C13" s="6" t="s">
        <v>114</v>
      </c>
      <c r="P13" t="e">
        <f>D7/#REF!*N13</f>
        <v>#REF!</v>
      </c>
    </row>
    <row r="14" spans="1:30">
      <c r="B14" s="3" t="s">
        <v>115</v>
      </c>
      <c r="C14" s="7">
        <f t="shared" ref="C14:O14" si="1">(C8)*t_ft_m*100</f>
        <v>0</v>
      </c>
      <c r="D14" s="7">
        <f t="shared" si="1"/>
        <v>3.0487467113053651E-2</v>
      </c>
      <c r="E14" s="7">
        <f t="shared" si="1"/>
        <v>6.8172048926577175E-2</v>
      </c>
      <c r="F14" s="7">
        <f t="shared" si="1"/>
        <v>0.10992412593513691</v>
      </c>
      <c r="G14" s="7">
        <f t="shared" si="1"/>
        <v>0.15243733556526826</v>
      </c>
      <c r="H14" s="7">
        <f t="shared" si="1"/>
        <v>0.19521503960953085</v>
      </c>
      <c r="I14" s="7">
        <f t="shared" si="1"/>
        <v>0.23811473013894205</v>
      </c>
      <c r="J14" s="7">
        <f t="shared" si="1"/>
        <v>0.28108055843905305</v>
      </c>
      <c r="K14" s="7">
        <f t="shared" si="1"/>
        <v>0.32408622087271244</v>
      </c>
      <c r="L14" s="7">
        <f t="shared" si="1"/>
        <v>0.36711771870965437</v>
      </c>
      <c r="M14" s="7">
        <f t="shared" si="1"/>
        <v>0.40960000000000135</v>
      </c>
      <c r="N14" s="7">
        <f t="shared" si="1"/>
        <v>0.41800000000000137</v>
      </c>
      <c r="O14" s="7">
        <f t="shared" si="1"/>
        <v>0.47499999999999887</v>
      </c>
      <c r="S14" s="10"/>
      <c r="T14" s="3"/>
      <c r="U14" s="3"/>
      <c r="V14" s="3"/>
      <c r="W14" s="3"/>
      <c r="X14" s="3"/>
      <c r="Y14" s="3"/>
      <c r="Z14" s="3"/>
    </row>
    <row r="15" spans="1:30">
      <c r="A15" t="s">
        <v>116</v>
      </c>
      <c r="B15" s="3" t="s">
        <v>117</v>
      </c>
      <c r="C15" s="7">
        <f t="shared" ref="C15:L15" si="2">q_dot*1000/(4*k_fuel)*((R_fuel/100)^2)*(1-(C14/R_fuel)^2)+delta_gap+delta_clad</f>
        <v>92.056962314594657</v>
      </c>
      <c r="D15" s="7">
        <f t="shared" si="2"/>
        <v>91.728997504567403</v>
      </c>
      <c r="E15" s="7">
        <f t="shared" si="2"/>
        <v>90.417138264458387</v>
      </c>
      <c r="F15" s="7">
        <f t="shared" si="2"/>
        <v>87.793419784240371</v>
      </c>
      <c r="G15" s="7">
        <f t="shared" si="2"/>
        <v>83.857842063913324</v>
      </c>
      <c r="H15" s="7">
        <f t="shared" si="2"/>
        <v>78.610405103477248</v>
      </c>
      <c r="I15" s="7">
        <f t="shared" si="2"/>
        <v>72.051108902932199</v>
      </c>
      <c r="J15" s="7">
        <f t="shared" si="2"/>
        <v>64.179953462278107</v>
      </c>
      <c r="K15" s="7">
        <f t="shared" si="2"/>
        <v>54.996938781515055</v>
      </c>
      <c r="L15" s="7">
        <f t="shared" si="2"/>
        <v>44.502064860643138</v>
      </c>
      <c r="M15" s="7">
        <f>delta_gap+delta_clad</f>
        <v>32.859314104675335</v>
      </c>
      <c r="N15" s="7">
        <f>delta_clad</f>
        <v>5.4876097013893084</v>
      </c>
      <c r="O15" s="7">
        <v>0</v>
      </c>
      <c r="P15" s="7">
        <f>-delta_fluid</f>
        <v>-3.961063674805323</v>
      </c>
      <c r="Q15" s="7"/>
      <c r="R15" s="5" t="s">
        <v>118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>
      <c r="A16" t="s">
        <v>116</v>
      </c>
      <c r="B16" s="3" t="s">
        <v>109</v>
      </c>
      <c r="C16" s="7">
        <f t="shared" ref="C16:O16" si="3">(C9-$O9)*t_R_K</f>
        <v>91.641218333333356</v>
      </c>
      <c r="D16" s="7">
        <f t="shared" si="3"/>
        <v>91.259039444444497</v>
      </c>
      <c r="E16" s="7">
        <f t="shared" si="3"/>
        <v>90.112502777777834</v>
      </c>
      <c r="F16" s="7">
        <f t="shared" si="3"/>
        <v>87.571923888888946</v>
      </c>
      <c r="G16" s="7">
        <f t="shared" si="3"/>
        <v>83.691577777777809</v>
      </c>
      <c r="H16" s="7">
        <f t="shared" si="3"/>
        <v>78.48558222222222</v>
      </c>
      <c r="I16" s="7">
        <f t="shared" si="3"/>
        <v>71.959512777777817</v>
      </c>
      <c r="J16" s="7">
        <f t="shared" si="3"/>
        <v>64.116130000000013</v>
      </c>
      <c r="K16" s="7">
        <f t="shared" si="3"/>
        <v>54.956997222222228</v>
      </c>
      <c r="L16" s="7">
        <f t="shared" si="3"/>
        <v>44.48308388888892</v>
      </c>
      <c r="M16" s="7">
        <f t="shared" si="3"/>
        <v>32.850267777777795</v>
      </c>
      <c r="N16" s="7">
        <f t="shared" si="3"/>
        <v>5.479878888888897</v>
      </c>
      <c r="O16" s="7">
        <f t="shared" si="3"/>
        <v>0</v>
      </c>
      <c r="P16" s="7">
        <f>(P8-$O9)*t_R_K</f>
        <v>-3.9361257968366523</v>
      </c>
      <c r="Q16" s="3" t="str">
        <f>B16</f>
        <v>Semi-implicit Trans</v>
      </c>
      <c r="R16" s="9">
        <f t="shared" ref="R16:AD19" si="4">C16-C$15</f>
        <v>-0.41574398126130063</v>
      </c>
      <c r="S16" s="9">
        <f t="shared" si="4"/>
        <v>-0.46995806012290586</v>
      </c>
      <c r="T16" s="9">
        <f t="shared" si="4"/>
        <v>-0.30463548668055296</v>
      </c>
      <c r="U16" s="9">
        <f t="shared" si="4"/>
        <v>-0.22149589535142411</v>
      </c>
      <c r="V16" s="9">
        <f t="shared" si="4"/>
        <v>-0.16626428613551525</v>
      </c>
      <c r="W16" s="9">
        <f t="shared" si="4"/>
        <v>-0.12482288125502805</v>
      </c>
      <c r="X16" s="9">
        <f t="shared" si="4"/>
        <v>-9.159612515438198E-2</v>
      </c>
      <c r="Y16" s="9">
        <f t="shared" si="4"/>
        <v>-6.3823462278094212E-2</v>
      </c>
      <c r="Z16" s="9">
        <f t="shared" si="4"/>
        <v>-3.9941559292827833E-2</v>
      </c>
      <c r="AA16" s="9">
        <f t="shared" si="4"/>
        <v>-1.8980971754217535E-2</v>
      </c>
      <c r="AB16" s="9">
        <f t="shared" si="4"/>
        <v>-9.0463268975398137E-3</v>
      </c>
      <c r="AC16" s="9">
        <f t="shared" si="4"/>
        <v>-7.7308125004114103E-3</v>
      </c>
      <c r="AD16" s="9">
        <f t="shared" si="4"/>
        <v>0</v>
      </c>
    </row>
    <row r="17" spans="1:30">
      <c r="A17" t="s">
        <v>116</v>
      </c>
      <c r="B17" s="3" t="s">
        <v>110</v>
      </c>
      <c r="C17" s="7">
        <f t="shared" ref="C17:O17" si="5">(C10-$O10)*t_R_K</f>
        <v>91.616974074074108</v>
      </c>
      <c r="D17" s="7">
        <f t="shared" si="5"/>
        <v>91.234928333333372</v>
      </c>
      <c r="E17" s="7">
        <f t="shared" si="5"/>
        <v>90.088791111111092</v>
      </c>
      <c r="F17" s="7">
        <f t="shared" si="5"/>
        <v>87.549086666666653</v>
      </c>
      <c r="G17" s="7">
        <f t="shared" si="5"/>
        <v>83.670047222222223</v>
      </c>
      <c r="H17" s="7">
        <f t="shared" si="5"/>
        <v>78.465749999999986</v>
      </c>
      <c r="I17" s="7">
        <f t="shared" si="5"/>
        <v>71.94172277777777</v>
      </c>
      <c r="J17" s="7">
        <f t="shared" si="5"/>
        <v>64.100669444444463</v>
      </c>
      <c r="K17" s="7">
        <f t="shared" si="5"/>
        <v>54.944092222222217</v>
      </c>
      <c r="L17" s="7">
        <f t="shared" si="5"/>
        <v>44.472892222222214</v>
      </c>
      <c r="M17" s="7">
        <f t="shared" si="5"/>
        <v>32.842838333333347</v>
      </c>
      <c r="N17" s="7">
        <f t="shared" si="5"/>
        <v>5.4786138888888702</v>
      </c>
      <c r="O17" s="7">
        <f t="shared" si="5"/>
        <v>0</v>
      </c>
      <c r="P17" s="7">
        <f>(P11-$O10)*t_R_K</f>
        <v>-3.9349896857255673</v>
      </c>
      <c r="Q17" s="3" t="str">
        <f>B17</f>
        <v>Implicit Trans</v>
      </c>
      <c r="R17" s="9">
        <f t="shared" si="4"/>
        <v>-0.43998824052054886</v>
      </c>
      <c r="S17" s="9">
        <f t="shared" si="4"/>
        <v>-0.49406917123403105</v>
      </c>
      <c r="T17" s="9">
        <f t="shared" si="4"/>
        <v>-0.32834715334729481</v>
      </c>
      <c r="U17" s="9">
        <f t="shared" si="4"/>
        <v>-0.24433311757371712</v>
      </c>
      <c r="V17" s="9">
        <f t="shared" si="4"/>
        <v>-0.18779484169110106</v>
      </c>
      <c r="W17" s="9">
        <f t="shared" si="4"/>
        <v>-0.14465510347726251</v>
      </c>
      <c r="X17" s="9">
        <f t="shared" si="4"/>
        <v>-0.10938612515442969</v>
      </c>
      <c r="Y17" s="9">
        <f t="shared" si="4"/>
        <v>-7.9284017833643361E-2</v>
      </c>
      <c r="Z17" s="9">
        <f t="shared" si="4"/>
        <v>-5.2846559292838435E-2</v>
      </c>
      <c r="AA17" s="9">
        <f t="shared" si="4"/>
        <v>-2.9172638420924102E-2</v>
      </c>
      <c r="AB17" s="9">
        <f t="shared" si="4"/>
        <v>-1.6475771341987411E-2</v>
      </c>
      <c r="AC17" s="9">
        <f t="shared" si="4"/>
        <v>-8.9958125004381273E-3</v>
      </c>
      <c r="AD17" s="9">
        <f t="shared" si="4"/>
        <v>0</v>
      </c>
    </row>
    <row r="18" spans="1:30">
      <c r="A18" t="s">
        <v>116</v>
      </c>
      <c r="B18" s="3" t="s">
        <v>112</v>
      </c>
      <c r="C18" s="7">
        <f t="shared" ref="C18:O18" si="6">(C11-$O11)*t_R_K</f>
        <v>91.646392777777749</v>
      </c>
      <c r="D18" s="7">
        <f t="shared" si="6"/>
        <v>91.264185555555557</v>
      </c>
      <c r="E18" s="7">
        <f t="shared" si="6"/>
        <v>90.117563888888924</v>
      </c>
      <c r="F18" s="7">
        <f t="shared" si="6"/>
        <v>87.576797777777784</v>
      </c>
      <c r="G18" s="7">
        <f t="shared" si="6"/>
        <v>83.696172777777761</v>
      </c>
      <c r="H18" s="7">
        <f t="shared" si="6"/>
        <v>78.489815555555538</v>
      </c>
      <c r="I18" s="7">
        <f t="shared" si="6"/>
        <v>71.963309999999993</v>
      </c>
      <c r="J18" s="7">
        <f t="shared" si="6"/>
        <v>64.119429444444464</v>
      </c>
      <c r="K18" s="7">
        <f t="shared" si="6"/>
        <v>54.95975111111111</v>
      </c>
      <c r="L18" s="7">
        <f t="shared" si="6"/>
        <v>44.485258888888922</v>
      </c>
      <c r="M18" s="7">
        <f t="shared" si="6"/>
        <v>32.851853333333324</v>
      </c>
      <c r="N18" s="7">
        <f t="shared" si="6"/>
        <v>5.4801488888889107</v>
      </c>
      <c r="O18" s="7">
        <f t="shared" si="6"/>
        <v>0</v>
      </c>
      <c r="P18" s="7">
        <f>(P9-$O11)*t_R_K</f>
        <v>-3.9363685746144483</v>
      </c>
      <c r="Q18" s="3" t="str">
        <f>B18</f>
        <v>Implicit SS</v>
      </c>
      <c r="R18" s="9">
        <f t="shared" si="4"/>
        <v>-0.410569536816908</v>
      </c>
      <c r="S18" s="9">
        <f t="shared" si="4"/>
        <v>-0.46481194901184608</v>
      </c>
      <c r="T18" s="9">
        <f t="shared" si="4"/>
        <v>-0.29957437556946331</v>
      </c>
      <c r="U18" s="9">
        <f t="shared" si="4"/>
        <v>-0.21662200646258611</v>
      </c>
      <c r="V18" s="9">
        <f t="shared" si="4"/>
        <v>-0.16166928613556308</v>
      </c>
      <c r="W18" s="9">
        <f t="shared" si="4"/>
        <v>-0.1205895479217105</v>
      </c>
      <c r="X18" s="9">
        <f t="shared" si="4"/>
        <v>-8.7798902932206602E-2</v>
      </c>
      <c r="Y18" s="9">
        <f t="shared" si="4"/>
        <v>-6.0524017833643029E-2</v>
      </c>
      <c r="Z18" s="9">
        <f t="shared" si="4"/>
        <v>-3.7187670403945106E-2</v>
      </c>
      <c r="AA18" s="9">
        <f t="shared" si="4"/>
        <v>-1.6805971754216387E-2</v>
      </c>
      <c r="AB18" s="9">
        <f t="shared" si="4"/>
        <v>-7.4607713420107302E-3</v>
      </c>
      <c r="AC18" s="9">
        <f t="shared" si="4"/>
        <v>-7.4608125003976511E-3</v>
      </c>
      <c r="AD18" s="9">
        <f t="shared" si="4"/>
        <v>0</v>
      </c>
    </row>
    <row r="19" spans="1:30">
      <c r="A19" t="s">
        <v>116</v>
      </c>
      <c r="B19" s="3" t="s">
        <v>113</v>
      </c>
      <c r="C19" s="7">
        <f t="shared" ref="C19:O19" si="7">(C12-$O12)*t_R_K</f>
        <v>91.34018833333333</v>
      </c>
      <c r="D19" s="7">
        <f t="shared" si="7"/>
        <v>91.078732777777802</v>
      </c>
      <c r="E19" s="7">
        <f t="shared" si="7"/>
        <v>90.023040555555554</v>
      </c>
      <c r="F19" s="7">
        <f t="shared" si="7"/>
        <v>87.516014999999996</v>
      </c>
      <c r="G19" s="7">
        <f t="shared" si="7"/>
        <v>83.655597222222269</v>
      </c>
      <c r="H19" s="7">
        <f t="shared" si="7"/>
        <v>78.463755555555593</v>
      </c>
      <c r="I19" s="7">
        <f t="shared" si="7"/>
        <v>71.948620555555564</v>
      </c>
      <c r="J19" s="7">
        <f t="shared" si="7"/>
        <v>64.11410444444445</v>
      </c>
      <c r="K19" s="7">
        <f t="shared" si="7"/>
        <v>54.962395555555574</v>
      </c>
      <c r="L19" s="7">
        <f t="shared" si="7"/>
        <v>44.494843333333357</v>
      </c>
      <c r="M19" s="7">
        <f t="shared" si="7"/>
        <v>32.859314444444486</v>
      </c>
      <c r="N19" s="7">
        <f t="shared" si="7"/>
        <v>5.4876100000000054</v>
      </c>
      <c r="O19" s="7">
        <f t="shared" si="7"/>
        <v>0</v>
      </c>
      <c r="P19" s="7">
        <f>(P10-$O12)*t_R_K</f>
        <v>-3.9363707968366652</v>
      </c>
      <c r="Q19" s="3" t="str">
        <f>B19</f>
        <v>Original</v>
      </c>
      <c r="R19" s="9">
        <f t="shared" si="4"/>
        <v>-0.7167739812613263</v>
      </c>
      <c r="S19" s="9">
        <f t="shared" si="4"/>
        <v>-0.6502647267896009</v>
      </c>
      <c r="T19" s="9">
        <f t="shared" si="4"/>
        <v>-0.39409770890283369</v>
      </c>
      <c r="U19" s="9">
        <f t="shared" si="4"/>
        <v>-0.27740478424037462</v>
      </c>
      <c r="V19" s="9">
        <f t="shared" si="4"/>
        <v>-0.20224484169105494</v>
      </c>
      <c r="W19" s="9">
        <f t="shared" si="4"/>
        <v>-0.14664954792165474</v>
      </c>
      <c r="X19" s="9">
        <f t="shared" si="4"/>
        <v>-0.10248834737663515</v>
      </c>
      <c r="Y19" s="9">
        <f t="shared" si="4"/>
        <v>-6.5849017833656376E-2</v>
      </c>
      <c r="Z19" s="9">
        <f t="shared" si="4"/>
        <v>-3.454322595948156E-2</v>
      </c>
      <c r="AA19" s="9">
        <f t="shared" si="4"/>
        <v>-7.221527309781095E-3</v>
      </c>
      <c r="AB19" s="9">
        <f t="shared" si="4"/>
        <v>3.3976915148059561E-7</v>
      </c>
      <c r="AC19" s="9">
        <f t="shared" si="4"/>
        <v>2.986106970581659E-7</v>
      </c>
      <c r="AD19" s="9">
        <f t="shared" si="4"/>
        <v>0</v>
      </c>
    </row>
    <row r="20" spans="1:30">
      <c r="B20" s="3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30">
      <c r="C21" s="6" t="s">
        <v>119</v>
      </c>
    </row>
    <row r="22" spans="1:30">
      <c r="B22" s="3" t="s">
        <v>115</v>
      </c>
      <c r="C22" s="10">
        <f t="shared" ref="C22:O22" si="8">(C8)*t_ft_m*100</f>
        <v>0</v>
      </c>
      <c r="D22" s="10">
        <f t="shared" si="8"/>
        <v>3.0487467113053651E-2</v>
      </c>
      <c r="E22" s="10">
        <f t="shared" si="8"/>
        <v>6.8172048926577175E-2</v>
      </c>
      <c r="F22" s="10">
        <f t="shared" si="8"/>
        <v>0.10992412593513691</v>
      </c>
      <c r="G22" s="10">
        <f t="shared" si="8"/>
        <v>0.15243733556526826</v>
      </c>
      <c r="H22" s="10">
        <f t="shared" si="8"/>
        <v>0.19521503960953085</v>
      </c>
      <c r="I22" s="10">
        <f t="shared" si="8"/>
        <v>0.23811473013894205</v>
      </c>
      <c r="J22" s="10">
        <f t="shared" si="8"/>
        <v>0.28108055843905305</v>
      </c>
      <c r="K22" s="10">
        <f t="shared" si="8"/>
        <v>0.32408622087271244</v>
      </c>
      <c r="L22" s="10">
        <f t="shared" si="8"/>
        <v>0.36711771870965437</v>
      </c>
      <c r="M22" s="10">
        <f t="shared" si="8"/>
        <v>0.40960000000000135</v>
      </c>
      <c r="N22" s="10">
        <f t="shared" si="8"/>
        <v>0.41800000000000137</v>
      </c>
      <c r="O22" s="10">
        <f t="shared" si="8"/>
        <v>0.47499999999999887</v>
      </c>
      <c r="P22" s="10"/>
    </row>
    <row r="23" spans="1:30">
      <c r="A23" t="s">
        <v>120</v>
      </c>
      <c r="B23" s="3" t="s">
        <v>117</v>
      </c>
      <c r="C23" s="7">
        <f t="shared" ref="C23:O23" si="9">C15+$P23-$P15</f>
        <v>386.95257797034111</v>
      </c>
      <c r="D23" s="7">
        <f t="shared" si="9"/>
        <v>386.62461316031386</v>
      </c>
      <c r="E23" s="7">
        <f t="shared" si="9"/>
        <v>385.31275392020484</v>
      </c>
      <c r="F23" s="7">
        <f t="shared" si="9"/>
        <v>382.68903543998681</v>
      </c>
      <c r="G23" s="7">
        <f t="shared" si="9"/>
        <v>378.75345771965976</v>
      </c>
      <c r="H23" s="7">
        <f t="shared" si="9"/>
        <v>373.5060207592237</v>
      </c>
      <c r="I23" s="7">
        <f t="shared" si="9"/>
        <v>366.94672455867862</v>
      </c>
      <c r="J23" s="7">
        <f t="shared" si="9"/>
        <v>359.07556911802453</v>
      </c>
      <c r="K23" s="7">
        <f t="shared" si="9"/>
        <v>349.89255443726148</v>
      </c>
      <c r="L23" s="7">
        <f t="shared" si="9"/>
        <v>339.39768051638958</v>
      </c>
      <c r="M23" s="7">
        <f t="shared" si="9"/>
        <v>327.75492976042176</v>
      </c>
      <c r="N23" s="7">
        <f t="shared" si="9"/>
        <v>300.38322535713576</v>
      </c>
      <c r="O23" s="7">
        <f t="shared" si="9"/>
        <v>294.89561565574644</v>
      </c>
      <c r="P23" s="7">
        <f>5/9*(P7-32)</f>
        <v>290.93455198094114</v>
      </c>
      <c r="Q23" s="7"/>
      <c r="R23" s="5" t="s">
        <v>121</v>
      </c>
      <c r="S23" s="10"/>
      <c r="T23" s="3"/>
      <c r="U23" s="3"/>
      <c r="V23" s="3"/>
      <c r="W23" s="3"/>
      <c r="X23" s="3"/>
      <c r="Y23" s="3"/>
      <c r="Z23" s="3"/>
    </row>
    <row r="24" spans="1:30">
      <c r="A24" t="s">
        <v>120</v>
      </c>
      <c r="B24" s="3" t="s">
        <v>109</v>
      </c>
      <c r="C24" s="7">
        <f t="shared" ref="C24:O24" si="10">C16+$P24-$P16</f>
        <v>386.51189611111118</v>
      </c>
      <c r="D24" s="7">
        <f t="shared" si="10"/>
        <v>386.12971722222233</v>
      </c>
      <c r="E24" s="7">
        <f t="shared" si="10"/>
        <v>384.98318055555563</v>
      </c>
      <c r="F24" s="7">
        <f t="shared" si="10"/>
        <v>382.44260166666675</v>
      </c>
      <c r="G24" s="7">
        <f t="shared" si="10"/>
        <v>378.56225555555562</v>
      </c>
      <c r="H24" s="7">
        <f t="shared" si="10"/>
        <v>373.35626000000002</v>
      </c>
      <c r="I24" s="7">
        <f t="shared" si="10"/>
        <v>366.83019055555565</v>
      </c>
      <c r="J24" s="7">
        <f t="shared" si="10"/>
        <v>358.98680777777781</v>
      </c>
      <c r="K24" s="7">
        <f t="shared" si="10"/>
        <v>349.82767500000006</v>
      </c>
      <c r="L24" s="7">
        <f t="shared" si="10"/>
        <v>339.35376166666674</v>
      </c>
      <c r="M24" s="7">
        <f t="shared" si="10"/>
        <v>327.7209455555556</v>
      </c>
      <c r="N24" s="7">
        <f t="shared" si="10"/>
        <v>300.35055666666671</v>
      </c>
      <c r="O24" s="7">
        <f t="shared" si="10"/>
        <v>294.87067777777781</v>
      </c>
      <c r="P24" s="7">
        <f>5/9*(P8-32)</f>
        <v>290.93455198094114</v>
      </c>
      <c r="Q24" s="3" t="s">
        <v>109</v>
      </c>
      <c r="R24" s="22">
        <f t="shared" ref="R24:AD26" si="11">(C24-C$23)/C$23</f>
        <v>-1.1388523667199939E-3</v>
      </c>
      <c r="S24" s="22">
        <f t="shared" si="11"/>
        <v>-1.2800425043977288E-3</v>
      </c>
      <c r="T24" s="22">
        <f t="shared" si="11"/>
        <v>-8.5533987986667766E-4</v>
      </c>
      <c r="U24" s="22">
        <f t="shared" si="11"/>
        <v>-6.4395305456487091E-4</v>
      </c>
      <c r="V24" s="22">
        <f t="shared" si="11"/>
        <v>-5.0481958700865999E-4</v>
      </c>
      <c r="W24" s="22">
        <f t="shared" si="11"/>
        <v>-4.0095942474839877E-4</v>
      </c>
      <c r="X24" s="22">
        <f t="shared" si="11"/>
        <v>-3.1757744469073165E-4</v>
      </c>
      <c r="Y24" s="22">
        <f t="shared" si="11"/>
        <v>-2.4719403902843804E-4</v>
      </c>
      <c r="Z24" s="22">
        <f t="shared" si="11"/>
        <v>-1.8542674440664086E-4</v>
      </c>
      <c r="AA24" s="22">
        <f t="shared" si="11"/>
        <v>-1.2940232725226896E-4</v>
      </c>
      <c r="AB24" s="22">
        <f t="shared" si="11"/>
        <v>-1.0368785266174152E-4</v>
      </c>
      <c r="AC24" s="22">
        <f t="shared" si="11"/>
        <v>-1.0875670713706115E-4</v>
      </c>
      <c r="AD24" s="22">
        <f t="shared" si="11"/>
        <v>-8.4565102513213292E-5</v>
      </c>
    </row>
    <row r="25" spans="1:30">
      <c r="A25" t="s">
        <v>120</v>
      </c>
      <c r="B25" s="3" t="s">
        <v>110</v>
      </c>
      <c r="C25" s="7">
        <f t="shared" ref="C25:O25" si="12">C17+$P25-$P17</f>
        <v>386.4865157407408</v>
      </c>
      <c r="D25" s="7">
        <f t="shared" si="12"/>
        <v>386.10447000000005</v>
      </c>
      <c r="E25" s="7">
        <f t="shared" si="12"/>
        <v>384.9583327777778</v>
      </c>
      <c r="F25" s="7">
        <f t="shared" si="12"/>
        <v>382.41862833333334</v>
      </c>
      <c r="G25" s="7">
        <f t="shared" si="12"/>
        <v>378.53958888888894</v>
      </c>
      <c r="H25" s="7">
        <f t="shared" si="12"/>
        <v>373.33529166666665</v>
      </c>
      <c r="I25" s="7">
        <f t="shared" si="12"/>
        <v>366.81126444444448</v>
      </c>
      <c r="J25" s="7">
        <f t="shared" si="12"/>
        <v>358.97021111111115</v>
      </c>
      <c r="K25" s="7">
        <f t="shared" si="12"/>
        <v>349.81363388888889</v>
      </c>
      <c r="L25" s="7">
        <f t="shared" si="12"/>
        <v>339.34243388888888</v>
      </c>
      <c r="M25" s="7">
        <f t="shared" si="12"/>
        <v>327.71238000000005</v>
      </c>
      <c r="N25" s="7">
        <f t="shared" si="12"/>
        <v>300.34815555555554</v>
      </c>
      <c r="O25" s="7">
        <f t="shared" si="12"/>
        <v>294.86954166666669</v>
      </c>
      <c r="P25" s="7">
        <f>5/9*(P11-32)</f>
        <v>290.93455198094114</v>
      </c>
      <c r="Q25" s="3" t="s">
        <v>110</v>
      </c>
      <c r="R25" s="22">
        <f t="shared" si="11"/>
        <v>-1.2044427563835318E-3</v>
      </c>
      <c r="S25" s="22">
        <f t="shared" si="11"/>
        <v>-1.3453441467735274E-3</v>
      </c>
      <c r="T25" s="22">
        <f t="shared" si="11"/>
        <v>-9.1982717629025248E-4</v>
      </c>
      <c r="U25" s="22">
        <f t="shared" si="11"/>
        <v>-7.0659747631016308E-4</v>
      </c>
      <c r="V25" s="22">
        <f t="shared" si="11"/>
        <v>-5.6466502526062497E-4</v>
      </c>
      <c r="W25" s="22">
        <f t="shared" si="11"/>
        <v>-4.5709863581318755E-4</v>
      </c>
      <c r="X25" s="22">
        <f t="shared" si="11"/>
        <v>-3.6915471693354195E-4</v>
      </c>
      <c r="Y25" s="22">
        <f t="shared" si="11"/>
        <v>-2.9341457892042536E-4</v>
      </c>
      <c r="Z25" s="22">
        <f t="shared" si="11"/>
        <v>-2.2555652405785827E-4</v>
      </c>
      <c r="AA25" s="22">
        <f t="shared" si="11"/>
        <v>-1.6277844744445703E-4</v>
      </c>
      <c r="AB25" s="22">
        <f t="shared" si="11"/>
        <v>-1.2982187774508716E-4</v>
      </c>
      <c r="AC25" s="22">
        <f t="shared" si="11"/>
        <v>-1.1675019981067589E-4</v>
      </c>
      <c r="AD25" s="22">
        <f t="shared" si="11"/>
        <v>-8.8417689838380718E-5</v>
      </c>
    </row>
    <row r="26" spans="1:30">
      <c r="A26" t="s">
        <v>120</v>
      </c>
      <c r="B26" s="3" t="s">
        <v>112</v>
      </c>
      <c r="C26" s="7">
        <f t="shared" ref="C26:O26" si="13">C18+$P26-$P18</f>
        <v>386.51731333333333</v>
      </c>
      <c r="D26" s="7">
        <f t="shared" si="13"/>
        <v>386.13510611111116</v>
      </c>
      <c r="E26" s="7">
        <f t="shared" si="13"/>
        <v>384.98848444444451</v>
      </c>
      <c r="F26" s="7">
        <f t="shared" si="13"/>
        <v>382.44771833333334</v>
      </c>
      <c r="G26" s="7">
        <f t="shared" si="13"/>
        <v>378.56709333333333</v>
      </c>
      <c r="H26" s="7">
        <f t="shared" si="13"/>
        <v>373.36073611111112</v>
      </c>
      <c r="I26" s="7">
        <f t="shared" si="13"/>
        <v>366.83423055555556</v>
      </c>
      <c r="J26" s="7">
        <f t="shared" si="13"/>
        <v>358.99035000000003</v>
      </c>
      <c r="K26" s="7">
        <f t="shared" si="13"/>
        <v>349.83067166666672</v>
      </c>
      <c r="L26" s="7">
        <f t="shared" si="13"/>
        <v>339.35617944444448</v>
      </c>
      <c r="M26" s="7">
        <f t="shared" si="13"/>
        <v>327.72277388888892</v>
      </c>
      <c r="N26" s="7">
        <f t="shared" si="13"/>
        <v>300.35106944444448</v>
      </c>
      <c r="O26" s="7">
        <f t="shared" si="13"/>
        <v>294.87092055555559</v>
      </c>
      <c r="P26" s="7">
        <f>5/9*(P9-32)</f>
        <v>290.93455198094114</v>
      </c>
      <c r="Q26" s="3" t="s">
        <v>112</v>
      </c>
      <c r="R26" s="22">
        <f t="shared" si="11"/>
        <v>-1.1248526609923201E-3</v>
      </c>
      <c r="S26" s="22">
        <f t="shared" si="11"/>
        <v>-1.2661042068724327E-3</v>
      </c>
      <c r="T26" s="22">
        <f t="shared" si="11"/>
        <v>-8.4157472718249368E-4</v>
      </c>
      <c r="U26" s="22">
        <f t="shared" si="11"/>
        <v>-6.3058275598625556E-4</v>
      </c>
      <c r="V26" s="22">
        <f t="shared" si="11"/>
        <v>-4.9204669298193431E-4</v>
      </c>
      <c r="W26" s="22">
        <f t="shared" si="11"/>
        <v>-3.8897538469998309E-4</v>
      </c>
      <c r="X26" s="22">
        <f t="shared" si="11"/>
        <v>-3.0656767207380215E-4</v>
      </c>
      <c r="Y26" s="22">
        <f t="shared" si="11"/>
        <v>-2.3732920129825529E-4</v>
      </c>
      <c r="Z26" s="22">
        <f t="shared" si="11"/>
        <v>-1.768622104414052E-4</v>
      </c>
      <c r="AA26" s="22">
        <f t="shared" si="11"/>
        <v>-1.2227859625311142E-4</v>
      </c>
      <c r="AB26" s="22">
        <f t="shared" si="11"/>
        <v>-9.8109497716301013E-5</v>
      </c>
      <c r="AC26" s="22">
        <f t="shared" si="11"/>
        <v>-1.0704962853051802E-4</v>
      </c>
      <c r="AD26" s="22">
        <f t="shared" si="11"/>
        <v>-8.3741835686301338E-5</v>
      </c>
    </row>
    <row r="27" spans="1:30">
      <c r="A27" t="s">
        <v>120</v>
      </c>
      <c r="B27" s="3" t="s">
        <v>113</v>
      </c>
      <c r="C27" s="7">
        <f t="shared" ref="C27:O27" si="14">C19+$P27-$P19</f>
        <v>386.21111111111117</v>
      </c>
      <c r="D27" s="7">
        <f t="shared" si="14"/>
        <v>385.94965555555564</v>
      </c>
      <c r="E27" s="7">
        <f t="shared" si="14"/>
        <v>384.89396333333337</v>
      </c>
      <c r="F27" s="7">
        <f t="shared" si="14"/>
        <v>382.3869377777778</v>
      </c>
      <c r="G27" s="7">
        <f t="shared" si="14"/>
        <v>378.52652000000006</v>
      </c>
      <c r="H27" s="7">
        <f t="shared" si="14"/>
        <v>373.33467833333344</v>
      </c>
      <c r="I27" s="7">
        <f t="shared" si="14"/>
        <v>366.8195433333334</v>
      </c>
      <c r="J27" s="7">
        <f t="shared" si="14"/>
        <v>358.9850272222223</v>
      </c>
      <c r="K27" s="7">
        <f t="shared" si="14"/>
        <v>349.83331833333341</v>
      </c>
      <c r="L27" s="7">
        <f t="shared" si="14"/>
        <v>339.36576611111116</v>
      </c>
      <c r="M27" s="7">
        <f t="shared" si="14"/>
        <v>327.73023722222229</v>
      </c>
      <c r="N27" s="7">
        <f t="shared" si="14"/>
        <v>300.35853277777784</v>
      </c>
      <c r="O27" s="7">
        <f t="shared" si="14"/>
        <v>294.87092277777782</v>
      </c>
      <c r="P27" s="7">
        <f>5/9*(P10-32)</f>
        <v>290.93455198094114</v>
      </c>
    </row>
    <row r="28" spans="1:30">
      <c r="Q28" s="3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31" spans="1:30">
      <c r="C31" s="3"/>
      <c r="D31" s="3" t="s">
        <v>122</v>
      </c>
    </row>
    <row r="32" spans="1:30">
      <c r="B32" s="7"/>
      <c r="C32" s="7"/>
      <c r="D32" s="7">
        <v>727.03349100000003</v>
      </c>
      <c r="E32" s="7">
        <v>724.96972500000004</v>
      </c>
      <c r="F32" s="7">
        <v>720.39668300000005</v>
      </c>
      <c r="G32" s="7">
        <v>713.41206</v>
      </c>
      <c r="H32" s="7">
        <v>704.04126799999995</v>
      </c>
      <c r="I32" s="7">
        <v>692.29434300000003</v>
      </c>
      <c r="J32" s="7">
        <v>678.17625399999997</v>
      </c>
      <c r="K32" s="7">
        <v>661.68981499999995</v>
      </c>
      <c r="L32" s="7">
        <v>642.836771</v>
      </c>
      <c r="M32" s="7">
        <v>621.89770199999998</v>
      </c>
      <c r="N32" s="7">
        <v>572.63100199999997</v>
      </c>
      <c r="O32" s="7">
        <v>562.76721999999995</v>
      </c>
      <c r="P32" s="7"/>
    </row>
    <row r="33" spans="1:15">
      <c r="A33" s="7"/>
      <c r="D33" s="3">
        <v>726.98804600000005</v>
      </c>
      <c r="E33" s="3">
        <v>724.92499899999996</v>
      </c>
      <c r="F33" s="3">
        <v>720.35353099999998</v>
      </c>
      <c r="G33" s="3">
        <v>713.37126000000001</v>
      </c>
      <c r="H33" s="3">
        <v>704.00352499999997</v>
      </c>
      <c r="I33" s="3">
        <v>692.26027599999998</v>
      </c>
      <c r="J33" s="3">
        <v>678.14638000000002</v>
      </c>
      <c r="K33" s="3">
        <v>661.66454099999999</v>
      </c>
      <c r="L33" s="3">
        <v>642.81638099999998</v>
      </c>
      <c r="M33" s="3">
        <v>621.88228400000003</v>
      </c>
      <c r="N33" s="3">
        <v>572.62667999999996</v>
      </c>
      <c r="O33" s="3">
        <v>562.765175</v>
      </c>
    </row>
    <row r="34" spans="1:15">
      <c r="D34" s="3">
        <v>727.04319099999998</v>
      </c>
      <c r="E34" s="3">
        <v>724.97927200000004</v>
      </c>
      <c r="F34" s="3">
        <v>720.40589299999999</v>
      </c>
      <c r="G34" s="3">
        <v>713.42076799999995</v>
      </c>
      <c r="H34" s="3">
        <v>704.04932499999995</v>
      </c>
      <c r="I34" s="3">
        <v>692.30161499999997</v>
      </c>
      <c r="J34" s="3">
        <v>678.18263000000002</v>
      </c>
      <c r="K34" s="3">
        <v>661.69520899999998</v>
      </c>
      <c r="L34" s="3">
        <v>642.84112300000004</v>
      </c>
      <c r="M34" s="3">
        <v>621.90099299999997</v>
      </c>
      <c r="N34" s="3">
        <v>572.63192500000002</v>
      </c>
      <c r="O34" s="3">
        <v>562.76765699999999</v>
      </c>
    </row>
  </sheetData>
  <mergeCells count="1">
    <mergeCell ref="A1:D2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zoomScale="90" zoomScaleNormal="90" zoomScalePageLayoutView="90" workbookViewId="0">
      <selection activeCell="S18" sqref="S18"/>
    </sheetView>
  </sheetViews>
  <sheetFormatPr baseColWidth="10" defaultColWidth="8.83203125" defaultRowHeight="12" x14ac:dyDescent="0"/>
  <sheetData>
    <row r="1" spans="1:40">
      <c r="A1" s="2" t="s">
        <v>124</v>
      </c>
      <c r="B1" s="2"/>
      <c r="C1" s="2"/>
      <c r="D1" s="2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40">
      <c r="A2" s="2"/>
      <c r="B2" s="2"/>
      <c r="C2" s="2"/>
      <c r="D2" s="2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40">
      <c r="B3" s="3"/>
      <c r="C3" s="7"/>
      <c r="D3" s="17"/>
      <c r="E3" s="7"/>
      <c r="F3" s="18"/>
    </row>
    <row r="4" spans="1:40">
      <c r="B4" s="3"/>
      <c r="C4" s="7"/>
      <c r="D4" s="17"/>
      <c r="E4" s="7"/>
      <c r="F4" s="18"/>
    </row>
    <row r="5" spans="1:40">
      <c r="B5" s="3"/>
      <c r="C5" s="7"/>
      <c r="D5" s="17"/>
      <c r="E5" s="7"/>
      <c r="F5" s="18"/>
    </row>
    <row r="6" spans="1:40">
      <c r="C6" s="6" t="s">
        <v>104</v>
      </c>
    </row>
    <row r="7" spans="1:40">
      <c r="B7" t="s">
        <v>105</v>
      </c>
      <c r="D7" s="12">
        <f>D8</f>
        <v>4.8729883837070098E-4</v>
      </c>
      <c r="E7" s="12">
        <f>E8</f>
        <v>1.0896333279535699E-3</v>
      </c>
      <c r="F7">
        <f t="shared" ref="F7:Y7" si="0">F8-E8</f>
        <v>6.6734762026603015E-4</v>
      </c>
      <c r="G7">
        <f t="shared" si="0"/>
        <v>6.7951324363390003E-4</v>
      </c>
      <c r="H7">
        <f t="shared" si="0"/>
        <v>6.8374081099081005E-4</v>
      </c>
      <c r="I7">
        <f t="shared" si="0"/>
        <v>6.8569059161014984E-4</v>
      </c>
      <c r="J7">
        <f t="shared" si="0"/>
        <v>6.8674770989140014E-4</v>
      </c>
      <c r="K7">
        <f t="shared" si="0"/>
        <v>6.8738440191091002E-4</v>
      </c>
      <c r="L7">
        <f t="shared" si="0"/>
        <v>6.8779734411964985E-4</v>
      </c>
      <c r="M7">
        <f t="shared" si="0"/>
        <v>6.8808031963873018E-4</v>
      </c>
      <c r="N7">
        <f t="shared" si="0"/>
        <v>6.8828266169213958E-4</v>
      </c>
      <c r="O7">
        <f t="shared" si="0"/>
        <v>6.8843233481714027E-4</v>
      </c>
      <c r="P7">
        <f t="shared" si="0"/>
        <v>6.8854615226789963E-4</v>
      </c>
      <c r="Q7">
        <f t="shared" si="0"/>
        <v>6.8863471626577979E-4</v>
      </c>
      <c r="R7">
        <f t="shared" si="0"/>
        <v>6.887049811287408E-4</v>
      </c>
      <c r="S7">
        <f t="shared" si="0"/>
        <v>6.8876166209115054E-4</v>
      </c>
      <c r="T7">
        <f t="shared" si="0"/>
        <v>6.8880804788149994E-4</v>
      </c>
      <c r="U7">
        <f t="shared" si="0"/>
        <v>6.8884648895049978E-4</v>
      </c>
      <c r="V7">
        <f t="shared" si="0"/>
        <v>6.8887870130529896E-4</v>
      </c>
      <c r="W7">
        <f t="shared" si="0"/>
        <v>6.8448909355850115E-4</v>
      </c>
      <c r="X7">
        <f t="shared" si="0"/>
        <v>2.7559055118109993E-4</v>
      </c>
      <c r="Y7">
        <f t="shared" si="0"/>
        <v>1.8700787401573996E-3</v>
      </c>
      <c r="Z7" s="3" t="s">
        <v>106</v>
      </c>
    </row>
    <row r="8" spans="1:40">
      <c r="B8" t="s">
        <v>107</v>
      </c>
      <c r="C8">
        <v>0</v>
      </c>
      <c r="D8" s="12">
        <v>4.8729883837070098E-4</v>
      </c>
      <c r="E8" s="12">
        <v>1.0896333279535699E-3</v>
      </c>
      <c r="F8" s="12">
        <v>1.7569809482196001E-3</v>
      </c>
      <c r="G8" s="12">
        <v>2.4364941918535001E-3</v>
      </c>
      <c r="H8" s="12">
        <v>3.1202350028443101E-3</v>
      </c>
      <c r="I8" s="12">
        <v>3.80592559445446E-3</v>
      </c>
      <c r="J8" s="12">
        <v>4.4926733043458601E-3</v>
      </c>
      <c r="K8" s="12">
        <v>5.1800577062567701E-3</v>
      </c>
      <c r="L8" s="12">
        <v>5.86785505037642E-3</v>
      </c>
      <c r="M8" s="12">
        <v>6.5559353700151502E-3</v>
      </c>
      <c r="N8" s="12">
        <v>7.2442180317072898E-3</v>
      </c>
      <c r="O8" s="12">
        <v>7.93265036652443E-3</v>
      </c>
      <c r="P8" s="12">
        <v>8.6211965187923296E-3</v>
      </c>
      <c r="Q8" s="12">
        <v>9.3098312350581094E-3</v>
      </c>
      <c r="R8" s="12">
        <v>9.9985362161868502E-3</v>
      </c>
      <c r="S8" s="12">
        <v>1.0687297878278001E-2</v>
      </c>
      <c r="T8" s="12">
        <v>1.1376105926159501E-2</v>
      </c>
      <c r="U8" s="12">
        <v>1.2064952415110001E-2</v>
      </c>
      <c r="V8" s="12">
        <v>1.2753831116415299E-2</v>
      </c>
      <c r="W8" s="12">
        <v>1.3438320209973801E-2</v>
      </c>
      <c r="X8" s="12">
        <v>1.3713910761154901E-2</v>
      </c>
      <c r="Y8" s="12">
        <v>1.55839895013123E-2</v>
      </c>
      <c r="Z8" s="19">
        <f>(t_in+q_lin*dz*2/(M_dot*cp_in))*9/5+32</f>
        <v>555.68219356569398</v>
      </c>
    </row>
    <row r="9" spans="1:40">
      <c r="A9" t="s">
        <v>108</v>
      </c>
      <c r="B9" s="3" t="s">
        <v>109</v>
      </c>
      <c r="C9" s="7">
        <f>1/3*(4*D9-E9)</f>
        <v>728.22331566666662</v>
      </c>
      <c r="D9" s="21">
        <v>728.06004199999995</v>
      </c>
      <c r="E9" s="7">
        <v>727.57022099999995</v>
      </c>
      <c r="F9" s="7">
        <v>726.48483999999996</v>
      </c>
      <c r="G9" s="7">
        <v>724.827089</v>
      </c>
      <c r="H9" s="7">
        <v>722.60300199999995</v>
      </c>
      <c r="I9" s="7">
        <v>719.81496200000004</v>
      </c>
      <c r="J9" s="7">
        <v>716.46415400000001</v>
      </c>
      <c r="K9" s="7">
        <v>712.55124999999998</v>
      </c>
      <c r="L9" s="7">
        <v>708.07666800000004</v>
      </c>
      <c r="M9" s="7">
        <v>703.04068500000005</v>
      </c>
      <c r="N9" s="7">
        <v>697.44349499999998</v>
      </c>
      <c r="O9" s="7">
        <v>691.28523700000005</v>
      </c>
      <c r="P9" s="7">
        <v>684.56601499999999</v>
      </c>
      <c r="Q9" s="7">
        <v>677.28590899999995</v>
      </c>
      <c r="R9" s="7">
        <v>669.44497899999999</v>
      </c>
      <c r="S9" s="7">
        <v>661.04327499999999</v>
      </c>
      <c r="T9">
        <v>652.08083399999998</v>
      </c>
      <c r="U9">
        <v>642.55768799999998</v>
      </c>
      <c r="V9">
        <v>632.47386200000005</v>
      </c>
      <c r="W9">
        <v>621.89762399999995</v>
      </c>
      <c r="X9">
        <v>572.63098100000002</v>
      </c>
      <c r="Y9">
        <v>562.76720999999998</v>
      </c>
      <c r="Z9" s="12">
        <f>Z8</f>
        <v>555.68219356569398</v>
      </c>
    </row>
    <row r="10" spans="1:40">
      <c r="A10" t="s">
        <v>108</v>
      </c>
      <c r="B10" s="3" t="s">
        <v>110</v>
      </c>
      <c r="C10" s="7">
        <f>1/3*(4*D10-E10)</f>
        <v>728.17695266666669</v>
      </c>
      <c r="D10" s="20">
        <v>728.01373699999999</v>
      </c>
      <c r="E10">
        <v>727.52409</v>
      </c>
      <c r="F10">
        <v>726.43909199999996</v>
      </c>
      <c r="G10">
        <v>724.781924</v>
      </c>
      <c r="H10">
        <v>722.55861200000004</v>
      </c>
      <c r="I10">
        <v>719.77153599999997</v>
      </c>
      <c r="J10">
        <v>716.42187100000001</v>
      </c>
      <c r="K10">
        <v>712.51028399999996</v>
      </c>
      <c r="L10">
        <v>708.03718300000003</v>
      </c>
      <c r="M10">
        <v>703.002837</v>
      </c>
      <c r="N10">
        <v>697.40742799999998</v>
      </c>
      <c r="O10">
        <v>691.25108499999999</v>
      </c>
      <c r="P10">
        <v>684.53389900000002</v>
      </c>
      <c r="Q10">
        <v>677.25593700000002</v>
      </c>
      <c r="R10">
        <v>669.41724599999998</v>
      </c>
      <c r="S10">
        <v>661.01786000000004</v>
      </c>
      <c r="T10">
        <v>652.05780500000003</v>
      </c>
      <c r="U10">
        <v>642.53709500000002</v>
      </c>
      <c r="V10">
        <v>632.45574299999998</v>
      </c>
      <c r="W10">
        <v>621.88198299999999</v>
      </c>
      <c r="X10">
        <v>572.62659599999995</v>
      </c>
      <c r="Y10">
        <v>562.76513499999999</v>
      </c>
      <c r="Z10" s="12">
        <f>Z11</f>
        <v>555.68219356569398</v>
      </c>
    </row>
    <row r="11" spans="1:40">
      <c r="A11" t="s">
        <v>108</v>
      </c>
      <c r="B11" s="3" t="s">
        <v>112</v>
      </c>
      <c r="C11" s="7">
        <f>1/3*(4*D11-E11)</f>
        <v>728.23330033333332</v>
      </c>
      <c r="D11" s="21">
        <v>728.07001400000001</v>
      </c>
      <c r="E11">
        <v>727.58015499999999</v>
      </c>
      <c r="F11">
        <v>726.49469199999999</v>
      </c>
      <c r="G11">
        <v>724.836815</v>
      </c>
      <c r="H11">
        <v>722.61256100000003</v>
      </c>
      <c r="I11">
        <v>719.82431399999996</v>
      </c>
      <c r="J11">
        <v>716.47325999999998</v>
      </c>
      <c r="K11">
        <v>712.56007199999999</v>
      </c>
      <c r="L11">
        <v>708.08516999999995</v>
      </c>
      <c r="M11">
        <v>703.04883500000005</v>
      </c>
      <c r="N11">
        <v>697.45126100000004</v>
      </c>
      <c r="O11">
        <v>691.29259100000002</v>
      </c>
      <c r="P11">
        <v>684.57293100000004</v>
      </c>
      <c r="Q11">
        <v>677.29236300000002</v>
      </c>
      <c r="R11">
        <v>669.45095200000003</v>
      </c>
      <c r="S11">
        <v>661.04874800000005</v>
      </c>
      <c r="T11">
        <v>652.08579299999997</v>
      </c>
      <c r="U11">
        <v>642.56212300000004</v>
      </c>
      <c r="V11">
        <v>632.47776399999998</v>
      </c>
      <c r="W11">
        <v>621.90099299999997</v>
      </c>
      <c r="X11">
        <v>572.63192500000002</v>
      </c>
      <c r="Y11">
        <v>562.76765699999999</v>
      </c>
      <c r="Z11" s="12">
        <f>Z9</f>
        <v>555.68219356569398</v>
      </c>
    </row>
    <row r="12" spans="1:40">
      <c r="A12" t="s">
        <v>108</v>
      </c>
      <c r="B12" s="3" t="s">
        <v>113</v>
      </c>
      <c r="C12" s="7">
        <f>1/3*(4*D12-E12)</f>
        <v>728.13271000000009</v>
      </c>
      <c r="D12">
        <v>727.98237300000005</v>
      </c>
      <c r="E12">
        <v>727.53136199999994</v>
      </c>
      <c r="F12">
        <v>726.46031300000004</v>
      </c>
      <c r="G12">
        <v>724.81106999999997</v>
      </c>
      <c r="H12">
        <v>722.59301600000003</v>
      </c>
      <c r="I12">
        <v>719.80962699999998</v>
      </c>
      <c r="J12">
        <v>716.46257400000002</v>
      </c>
      <c r="K12">
        <v>712.55278999999996</v>
      </c>
      <c r="L12">
        <v>708.08085400000004</v>
      </c>
      <c r="M12">
        <v>703.047146</v>
      </c>
      <c r="N12">
        <v>697.45193099999995</v>
      </c>
      <c r="O12">
        <v>691.29540099999997</v>
      </c>
      <c r="P12">
        <v>684.57770100000005</v>
      </c>
      <c r="Q12">
        <v>677.29894000000002</v>
      </c>
      <c r="R12">
        <v>669.459205</v>
      </c>
      <c r="S12">
        <v>661.05856500000004</v>
      </c>
      <c r="T12">
        <v>652.09707600000002</v>
      </c>
      <c r="U12">
        <v>642.57478400000002</v>
      </c>
      <c r="V12">
        <v>632.49172699999997</v>
      </c>
      <c r="W12">
        <v>621.91442700000005</v>
      </c>
      <c r="X12">
        <v>572.64535899999998</v>
      </c>
      <c r="Y12">
        <v>562.76766099999998</v>
      </c>
      <c r="Z12" s="12">
        <f>Z10</f>
        <v>555.68219356569398</v>
      </c>
    </row>
    <row r="13" spans="1:40">
      <c r="C13" s="6" t="s">
        <v>114</v>
      </c>
    </row>
    <row r="14" spans="1:40">
      <c r="B14" s="3" t="s">
        <v>115</v>
      </c>
      <c r="C14" s="7">
        <f t="shared" ref="C14:Y14" si="1">(C8)*t_ft_m*100</f>
        <v>0</v>
      </c>
      <c r="D14" s="7">
        <f t="shared" si="1"/>
        <v>1.4852868593538963E-2</v>
      </c>
      <c r="E14" s="7">
        <f t="shared" si="1"/>
        <v>3.3212023836024805E-2</v>
      </c>
      <c r="F14" s="7">
        <f t="shared" si="1"/>
        <v>5.3552779301733404E-2</v>
      </c>
      <c r="G14" s="7">
        <f t="shared" si="1"/>
        <v>7.4264342967694671E-2</v>
      </c>
      <c r="H14" s="7">
        <f t="shared" si="1"/>
        <v>9.510476288669456E-2</v>
      </c>
      <c r="I14" s="7">
        <f t="shared" si="1"/>
        <v>0.11600461211897191</v>
      </c>
      <c r="J14" s="7">
        <f t="shared" si="1"/>
        <v>0.13693668231646181</v>
      </c>
      <c r="K14" s="7">
        <f t="shared" si="1"/>
        <v>0.15788815888670632</v>
      </c>
      <c r="L14" s="7">
        <f t="shared" si="1"/>
        <v>0.17885222193547326</v>
      </c>
      <c r="M14" s="7">
        <f t="shared" si="1"/>
        <v>0.19982491007806175</v>
      </c>
      <c r="N14" s="7">
        <f t="shared" si="1"/>
        <v>0.22080376560643816</v>
      </c>
      <c r="O14" s="7">
        <f t="shared" si="1"/>
        <v>0.24178718317166459</v>
      </c>
      <c r="P14" s="7">
        <f t="shared" si="1"/>
        <v>0.26277406989279017</v>
      </c>
      <c r="Q14" s="7">
        <f t="shared" si="1"/>
        <v>0.2837636560445711</v>
      </c>
      <c r="R14" s="7">
        <f t="shared" si="1"/>
        <v>0.30475538386937517</v>
      </c>
      <c r="S14" s="7">
        <f t="shared" si="1"/>
        <v>0.32574883932991344</v>
      </c>
      <c r="T14" s="7">
        <f t="shared" si="1"/>
        <v>0.34674370862934156</v>
      </c>
      <c r="U14" s="7">
        <f t="shared" si="1"/>
        <v>0.36773974961255274</v>
      </c>
      <c r="V14" s="7">
        <f t="shared" si="1"/>
        <v>0.38873677242833832</v>
      </c>
      <c r="W14" s="7">
        <f t="shared" si="1"/>
        <v>0.40960000000000135</v>
      </c>
      <c r="X14" s="7">
        <f t="shared" si="1"/>
        <v>0.41800000000000137</v>
      </c>
      <c r="Y14" s="7">
        <f t="shared" si="1"/>
        <v>0.47499999999999887</v>
      </c>
      <c r="AB14" s="7"/>
      <c r="AC14" s="5" t="s">
        <v>118</v>
      </c>
      <c r="AD14" s="10"/>
      <c r="AE14" s="3"/>
      <c r="AF14" s="3"/>
      <c r="AG14" s="3"/>
      <c r="AH14" s="3"/>
      <c r="AI14" s="3"/>
      <c r="AJ14" s="3"/>
      <c r="AK14" s="3"/>
    </row>
    <row r="15" spans="1:40">
      <c r="A15" t="s">
        <v>116</v>
      </c>
      <c r="B15" s="3" t="s">
        <v>117</v>
      </c>
      <c r="C15" s="7">
        <f t="shared" ref="C15:V15" si="2">q_dot*1000/(4*k_fuel)*((R_fuel/100)^2)*(1-(C14/R_fuel)^2)+delta_gap+delta_clad</f>
        <v>92.056962314594657</v>
      </c>
      <c r="D15" s="7">
        <f t="shared" si="2"/>
        <v>91.979121883023438</v>
      </c>
      <c r="E15" s="7">
        <f t="shared" si="2"/>
        <v>91.66776015673851</v>
      </c>
      <c r="F15" s="7">
        <f t="shared" si="2"/>
        <v>91.04503670416868</v>
      </c>
      <c r="G15" s="7">
        <f t="shared" si="2"/>
        <v>90.110951525313951</v>
      </c>
      <c r="H15" s="7">
        <f t="shared" si="2"/>
        <v>88.865504620174278</v>
      </c>
      <c r="I15" s="7">
        <f t="shared" si="2"/>
        <v>87.308695988749704</v>
      </c>
      <c r="J15" s="7">
        <f t="shared" si="2"/>
        <v>85.440525631040231</v>
      </c>
      <c r="K15" s="7">
        <f t="shared" si="2"/>
        <v>83.260993547045828</v>
      </c>
      <c r="L15" s="7">
        <f t="shared" si="2"/>
        <v>80.770099736766511</v>
      </c>
      <c r="M15" s="7">
        <f t="shared" si="2"/>
        <v>77.967844200202293</v>
      </c>
      <c r="N15" s="7">
        <f t="shared" si="2"/>
        <v>74.854226937353147</v>
      </c>
      <c r="O15" s="7">
        <f t="shared" si="2"/>
        <v>71.4292479482191</v>
      </c>
      <c r="P15" s="7">
        <f t="shared" si="2"/>
        <v>67.692907232800152</v>
      </c>
      <c r="Q15" s="7">
        <f t="shared" si="2"/>
        <v>63.645204791096255</v>
      </c>
      <c r="R15" s="7">
        <f t="shared" si="2"/>
        <v>59.286140623107414</v>
      </c>
      <c r="S15" s="7">
        <f t="shared" si="2"/>
        <v>54.615714728833929</v>
      </c>
      <c r="T15" s="7">
        <f t="shared" si="2"/>
        <v>49.633927108275273</v>
      </c>
      <c r="U15" s="7">
        <f t="shared" si="2"/>
        <v>44.340777761431177</v>
      </c>
      <c r="V15" s="7">
        <f t="shared" si="2"/>
        <v>38.736266688302969</v>
      </c>
      <c r="W15" s="7">
        <f>delta_gap+delta_clad</f>
        <v>32.859314104675335</v>
      </c>
      <c r="X15" s="7">
        <f>delta_clad</f>
        <v>5.4876097013893084</v>
      </c>
      <c r="Y15" s="7">
        <v>0</v>
      </c>
      <c r="Z15" s="7">
        <f>-delta_fluid</f>
        <v>-3.961063674805323</v>
      </c>
      <c r="AB15" s="3" t="s">
        <v>109</v>
      </c>
      <c r="AC15" s="9">
        <f t="shared" ref="AC15:AN16" si="3">C16-C$15</f>
        <v>-0.13690361089095404</v>
      </c>
      <c r="AD15" s="9">
        <f t="shared" si="3"/>
        <v>-0.14977077191232979</v>
      </c>
      <c r="AE15" s="9">
        <f t="shared" si="3"/>
        <v>-0.11053182340518219</v>
      </c>
      <c r="AF15" s="9">
        <f t="shared" si="3"/>
        <v>-9.0797815279799465E-2</v>
      </c>
      <c r="AG15" s="9">
        <f t="shared" si="3"/>
        <v>-7.7685414202818492E-2</v>
      </c>
      <c r="AH15" s="9">
        <f t="shared" si="3"/>
        <v>-6.7842397952063038E-2</v>
      </c>
      <c r="AI15" s="9">
        <f t="shared" si="3"/>
        <v>-5.9944877638557159E-2</v>
      </c>
      <c r="AJ15" s="9">
        <f t="shared" si="3"/>
        <v>-5.3334519929094881E-2</v>
      </c>
      <c r="AK15" s="9">
        <f t="shared" si="3"/>
        <v>-4.7637991490262266E-2</v>
      </c>
      <c r="AL15" s="9">
        <f t="shared" si="3"/>
        <v>-4.2623070099807592E-2</v>
      </c>
      <c r="AM15" s="9">
        <f t="shared" si="3"/>
        <v>-3.8135866868913126E-2</v>
      </c>
      <c r="AN15" s="9">
        <f t="shared" si="3"/>
        <v>-3.4068604019807935E-2</v>
      </c>
    </row>
    <row r="16" spans="1:40">
      <c r="A16" t="s">
        <v>116</v>
      </c>
      <c r="B16" s="3" t="s">
        <v>109</v>
      </c>
      <c r="C16" s="7">
        <f t="shared" ref="C16:Z16" si="4">(C9-$Y9)*t_R_K</f>
        <v>91.920058703703702</v>
      </c>
      <c r="D16" s="7">
        <f t="shared" si="4"/>
        <v>91.829351111111109</v>
      </c>
      <c r="E16" s="7">
        <f t="shared" si="4"/>
        <v>91.557228333333327</v>
      </c>
      <c r="F16" s="7">
        <f t="shared" si="4"/>
        <v>90.954238888888881</v>
      </c>
      <c r="G16" s="7">
        <f t="shared" si="4"/>
        <v>90.033266111111132</v>
      </c>
      <c r="H16" s="7">
        <f t="shared" si="4"/>
        <v>88.797662222222215</v>
      </c>
      <c r="I16" s="7">
        <f t="shared" si="4"/>
        <v>87.248751111111147</v>
      </c>
      <c r="J16" s="7">
        <f t="shared" si="4"/>
        <v>85.387191111111136</v>
      </c>
      <c r="K16" s="7">
        <f t="shared" si="4"/>
        <v>83.213355555555566</v>
      </c>
      <c r="L16" s="7">
        <f t="shared" si="4"/>
        <v>80.727476666666703</v>
      </c>
      <c r="M16" s="7">
        <f t="shared" si="4"/>
        <v>77.92970833333338</v>
      </c>
      <c r="N16" s="7">
        <f t="shared" si="4"/>
        <v>74.820158333333339</v>
      </c>
      <c r="O16" s="7">
        <f t="shared" si="4"/>
        <v>71.398903888888938</v>
      </c>
      <c r="P16" s="7">
        <f t="shared" si="4"/>
        <v>67.666002777777791</v>
      </c>
      <c r="Q16" s="7">
        <f t="shared" si="4"/>
        <v>63.621499444444432</v>
      </c>
      <c r="R16" s="7">
        <f t="shared" si="4"/>
        <v>59.265427222222229</v>
      </c>
      <c r="S16" s="7">
        <f t="shared" si="4"/>
        <v>54.597813888888901</v>
      </c>
      <c r="T16" s="7">
        <f t="shared" si="4"/>
        <v>49.618680000000005</v>
      </c>
      <c r="U16" s="7">
        <f t="shared" si="4"/>
        <v>44.328043333333341</v>
      </c>
      <c r="V16" s="7">
        <f t="shared" si="4"/>
        <v>38.725917777777823</v>
      </c>
      <c r="W16" s="7">
        <f t="shared" si="4"/>
        <v>32.850229999999989</v>
      </c>
      <c r="X16" s="7">
        <f t="shared" si="4"/>
        <v>5.4798727777778016</v>
      </c>
      <c r="Y16" s="7">
        <f t="shared" si="4"/>
        <v>0</v>
      </c>
      <c r="Z16" s="7">
        <f t="shared" si="4"/>
        <v>-3.9361202412811105</v>
      </c>
      <c r="AB16" s="3" t="s">
        <v>112</v>
      </c>
      <c r="AC16" s="9">
        <f t="shared" si="3"/>
        <v>-0.16150805533537493</v>
      </c>
      <c r="AD16" s="9">
        <f t="shared" si="3"/>
        <v>-0.17434299413454823</v>
      </c>
      <c r="AE16" s="9">
        <f t="shared" si="3"/>
        <v>-0.13500737896072224</v>
      </c>
      <c r="AF16" s="9">
        <f t="shared" si="3"/>
        <v>-0.11506059305757788</v>
      </c>
      <c r="AG16" s="9">
        <f t="shared" si="3"/>
        <v>-0.101624303091711</v>
      </c>
      <c r="AH16" s="9">
        <f t="shared" si="3"/>
        <v>-9.1350731285359643E-2</v>
      </c>
      <c r="AI16" s="9">
        <f t="shared" si="3"/>
        <v>-8.2917655416380853E-2</v>
      </c>
      <c r="AJ16" s="9">
        <f t="shared" si="3"/>
        <v>-7.5672297706887548E-2</v>
      </c>
      <c r="AK16" s="9">
        <f t="shared" si="3"/>
        <v>-6.9244102601402346E-2</v>
      </c>
      <c r="AL16" s="9">
        <f t="shared" si="3"/>
        <v>-6.3406403433148739E-2</v>
      </c>
      <c r="AM16" s="9">
        <f t="shared" si="3"/>
        <v>-5.8009755757836956E-2</v>
      </c>
      <c r="AN16" s="9">
        <f t="shared" si="3"/>
        <v>-5.2953048464260632E-2</v>
      </c>
    </row>
    <row r="17" spans="1:41">
      <c r="A17" t="s">
        <v>116</v>
      </c>
      <c r="B17" s="3" t="s">
        <v>110</v>
      </c>
      <c r="C17" s="7">
        <f t="shared" ref="C17:Z17" si="5">(C10-$Y10)*t_R_K</f>
        <v>91.895454259259282</v>
      </c>
      <c r="D17" s="7">
        <f t="shared" si="5"/>
        <v>91.80477888888889</v>
      </c>
      <c r="E17" s="7">
        <f t="shared" si="5"/>
        <v>91.532752777777787</v>
      </c>
      <c r="F17" s="7">
        <f t="shared" si="5"/>
        <v>90.929976111111102</v>
      </c>
      <c r="G17" s="7">
        <f t="shared" si="5"/>
        <v>90.00932722222224</v>
      </c>
      <c r="H17" s="7">
        <f t="shared" si="5"/>
        <v>88.774153888888918</v>
      </c>
      <c r="I17" s="7">
        <f t="shared" si="5"/>
        <v>87.225778333333324</v>
      </c>
      <c r="J17" s="7">
        <f t="shared" si="5"/>
        <v>85.364853333333343</v>
      </c>
      <c r="K17" s="7">
        <f t="shared" si="5"/>
        <v>83.191749444444426</v>
      </c>
      <c r="L17" s="7">
        <f t="shared" si="5"/>
        <v>80.706693333333362</v>
      </c>
      <c r="M17" s="7">
        <f t="shared" si="5"/>
        <v>77.909834444444456</v>
      </c>
      <c r="N17" s="7">
        <f t="shared" si="5"/>
        <v>74.801273888888886</v>
      </c>
      <c r="O17" s="7">
        <f t="shared" si="5"/>
        <v>71.381083333333336</v>
      </c>
      <c r="P17" s="7">
        <f t="shared" si="5"/>
        <v>67.649313333333353</v>
      </c>
      <c r="Q17" s="7">
        <f t="shared" si="5"/>
        <v>63.606001111111134</v>
      </c>
      <c r="R17" s="7">
        <f t="shared" si="5"/>
        <v>59.251172777777775</v>
      </c>
      <c r="S17" s="7">
        <f t="shared" si="5"/>
        <v>54.584847222222258</v>
      </c>
      <c r="T17" s="7">
        <f t="shared" si="5"/>
        <v>49.607038888888916</v>
      </c>
      <c r="U17" s="7">
        <f t="shared" si="5"/>
        <v>44.317755555555578</v>
      </c>
      <c r="V17" s="7">
        <f t="shared" si="5"/>
        <v>38.717004444444441</v>
      </c>
      <c r="W17" s="7">
        <f t="shared" si="5"/>
        <v>32.842693333333337</v>
      </c>
      <c r="X17" s="7">
        <f t="shared" si="5"/>
        <v>5.4785894444444239</v>
      </c>
      <c r="Y17" s="7">
        <f t="shared" si="5"/>
        <v>0</v>
      </c>
      <c r="Z17" s="7">
        <f t="shared" si="5"/>
        <v>-3.9349674635033378</v>
      </c>
    </row>
    <row r="18" spans="1:41">
      <c r="A18" t="s">
        <v>116</v>
      </c>
      <c r="B18" s="3" t="s">
        <v>112</v>
      </c>
      <c r="C18" s="7">
        <f t="shared" ref="C18:Y18" si="6">(C11-$Y11)*t_R_K</f>
        <v>91.925357407407418</v>
      </c>
      <c r="D18" s="7">
        <f t="shared" si="6"/>
        <v>91.834642777777802</v>
      </c>
      <c r="E18" s="7">
        <f t="shared" si="6"/>
        <v>91.562498888888896</v>
      </c>
      <c r="F18" s="7">
        <f t="shared" si="6"/>
        <v>90.959463888888891</v>
      </c>
      <c r="G18" s="7">
        <f t="shared" si="6"/>
        <v>90.03842111111112</v>
      </c>
      <c r="H18" s="7">
        <f t="shared" si="6"/>
        <v>88.802724444444465</v>
      </c>
      <c r="I18" s="7">
        <f t="shared" si="6"/>
        <v>87.253698333333318</v>
      </c>
      <c r="J18" s="7">
        <f t="shared" si="6"/>
        <v>85.392001666666673</v>
      </c>
      <c r="K18" s="7">
        <f t="shared" si="6"/>
        <v>83.218008333333344</v>
      </c>
      <c r="L18" s="7">
        <f t="shared" si="6"/>
        <v>80.731951666666646</v>
      </c>
      <c r="M18" s="7">
        <f t="shared" si="6"/>
        <v>77.933987777777816</v>
      </c>
      <c r="N18" s="7">
        <f t="shared" si="6"/>
        <v>74.824224444444482</v>
      </c>
      <c r="O18" s="7">
        <f t="shared" si="6"/>
        <v>71.402741111111126</v>
      </c>
      <c r="P18" s="7">
        <f t="shared" si="6"/>
        <v>67.669596666666706</v>
      </c>
      <c r="Q18" s="7">
        <f t="shared" si="6"/>
        <v>63.624836666666688</v>
      </c>
      <c r="R18" s="7">
        <f t="shared" si="6"/>
        <v>59.268497222222251</v>
      </c>
      <c r="S18" s="7">
        <f t="shared" si="6"/>
        <v>54.600606111111148</v>
      </c>
      <c r="T18" s="7">
        <f t="shared" si="6"/>
        <v>49.621186666666659</v>
      </c>
      <c r="U18" s="7">
        <f t="shared" si="6"/>
        <v>44.33025888888892</v>
      </c>
      <c r="V18" s="7">
        <f t="shared" si="6"/>
        <v>38.72783722222222</v>
      </c>
      <c r="W18" s="7">
        <f t="shared" si="6"/>
        <v>32.851853333333324</v>
      </c>
      <c r="X18" s="7">
        <f t="shared" si="6"/>
        <v>5.4801488888889107</v>
      </c>
      <c r="Y18" s="7">
        <f t="shared" si="6"/>
        <v>0</v>
      </c>
      <c r="Z18" s="7">
        <f>(Z12-$Y12)*t_R_K</f>
        <v>-3.9363707968366652</v>
      </c>
      <c r="AB18" s="3" t="s">
        <v>110</v>
      </c>
      <c r="AC18" s="9">
        <f t="shared" ref="AC18:AN18" si="7">C19-C$15</f>
        <v>-0.18749064792791614</v>
      </c>
      <c r="AD18" s="9">
        <f t="shared" si="7"/>
        <v>-0.19317077191227838</v>
      </c>
      <c r="AE18" s="9">
        <f t="shared" si="7"/>
        <v>-0.13237071229407604</v>
      </c>
      <c r="AF18" s="9">
        <f t="shared" si="7"/>
        <v>-0.10467448194641804</v>
      </c>
      <c r="AG18" s="9">
        <f t="shared" si="7"/>
        <v>-8.6835414202838024E-2</v>
      </c>
      <c r="AH18" s="9">
        <f t="shared" si="7"/>
        <v>-7.3640731285351535E-2</v>
      </c>
      <c r="AI18" s="9">
        <f t="shared" si="7"/>
        <v>-6.3159322083038205E-2</v>
      </c>
      <c r="AJ18" s="9">
        <f t="shared" si="7"/>
        <v>-5.4462853262421618E-2</v>
      </c>
      <c r="AK18" s="9">
        <f t="shared" si="7"/>
        <v>-4.7032991490283393E-2</v>
      </c>
      <c r="AL18" s="9">
        <f t="shared" si="7"/>
        <v>-4.0548070099802658E-2</v>
      </c>
      <c r="AM18" s="9">
        <f t="shared" si="7"/>
        <v>-3.4796977980050769E-2</v>
      </c>
      <c r="AN18" s="9">
        <f t="shared" si="7"/>
        <v>-2.9632492908717722E-2</v>
      </c>
    </row>
    <row r="19" spans="1:41">
      <c r="A19" t="s">
        <v>116</v>
      </c>
      <c r="B19" s="3" t="s">
        <v>113</v>
      </c>
      <c r="C19" s="7">
        <f t="shared" ref="C19:Y19" si="8">(C12-$Y12)*t_R_K</f>
        <v>91.86947166666674</v>
      </c>
      <c r="D19" s="7">
        <f t="shared" si="8"/>
        <v>91.78595111111116</v>
      </c>
      <c r="E19" s="7">
        <f t="shared" si="8"/>
        <v>91.535389444444434</v>
      </c>
      <c r="F19" s="7">
        <f t="shared" si="8"/>
        <v>90.940362222222262</v>
      </c>
      <c r="G19" s="7">
        <f t="shared" si="8"/>
        <v>90.024116111111113</v>
      </c>
      <c r="H19" s="7">
        <f t="shared" si="8"/>
        <v>88.791863888888926</v>
      </c>
      <c r="I19" s="7">
        <f t="shared" si="8"/>
        <v>87.245536666666666</v>
      </c>
      <c r="J19" s="7">
        <f t="shared" si="8"/>
        <v>85.386062777777809</v>
      </c>
      <c r="K19" s="7">
        <f t="shared" si="8"/>
        <v>83.213960555555545</v>
      </c>
      <c r="L19" s="7">
        <f t="shared" si="8"/>
        <v>80.729551666666708</v>
      </c>
      <c r="M19" s="7">
        <f t="shared" si="8"/>
        <v>77.933047222222243</v>
      </c>
      <c r="N19" s="7">
        <f t="shared" si="8"/>
        <v>74.824594444444429</v>
      </c>
      <c r="O19" s="7">
        <f t="shared" si="8"/>
        <v>71.404300000000006</v>
      </c>
      <c r="P19" s="7">
        <f t="shared" si="8"/>
        <v>67.672244444444487</v>
      </c>
      <c r="Q19" s="7">
        <f t="shared" si="8"/>
        <v>63.628488333333358</v>
      </c>
      <c r="R19" s="7">
        <f t="shared" si="8"/>
        <v>59.273080000000014</v>
      </c>
      <c r="S19" s="7">
        <f t="shared" si="8"/>
        <v>54.606057777777821</v>
      </c>
      <c r="T19" s="7">
        <f t="shared" si="8"/>
        <v>49.627452777777805</v>
      </c>
      <c r="U19" s="7">
        <f t="shared" si="8"/>
        <v>44.337290555555583</v>
      </c>
      <c r="V19" s="7">
        <f t="shared" si="8"/>
        <v>38.735592222222223</v>
      </c>
      <c r="W19" s="7">
        <f t="shared" si="8"/>
        <v>32.859314444444486</v>
      </c>
      <c r="X19" s="7">
        <f t="shared" si="8"/>
        <v>5.4876100000000054</v>
      </c>
      <c r="Y19" s="7">
        <f t="shared" si="8"/>
        <v>0</v>
      </c>
      <c r="Z19" s="7">
        <f>(Z12-$Y12)*t_R_K</f>
        <v>-3.9363707968366652</v>
      </c>
    </row>
    <row r="20" spans="1:41">
      <c r="B20" s="3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41">
      <c r="C21" s="6" t="s">
        <v>119</v>
      </c>
    </row>
    <row r="22" spans="1:41">
      <c r="B22" s="3" t="s">
        <v>115</v>
      </c>
      <c r="C22" s="10">
        <f t="shared" ref="C22:O22" si="9">(C8)*t_ft_m*100</f>
        <v>0</v>
      </c>
      <c r="D22" s="10">
        <f t="shared" si="9"/>
        <v>1.4852868593538963E-2</v>
      </c>
      <c r="E22" s="10">
        <f t="shared" si="9"/>
        <v>3.3212023836024805E-2</v>
      </c>
      <c r="F22" s="10">
        <f t="shared" si="9"/>
        <v>5.3552779301733404E-2</v>
      </c>
      <c r="G22" s="10">
        <f t="shared" si="9"/>
        <v>7.4264342967694671E-2</v>
      </c>
      <c r="H22" s="10">
        <f t="shared" si="9"/>
        <v>9.510476288669456E-2</v>
      </c>
      <c r="I22" s="10">
        <f t="shared" si="9"/>
        <v>0.11600461211897191</v>
      </c>
      <c r="J22" s="10">
        <f t="shared" si="9"/>
        <v>0.13693668231646181</v>
      </c>
      <c r="K22" s="10">
        <f t="shared" si="9"/>
        <v>0.15788815888670632</v>
      </c>
      <c r="L22" s="10">
        <f t="shared" si="9"/>
        <v>0.17885222193547326</v>
      </c>
      <c r="M22" s="10">
        <f t="shared" si="9"/>
        <v>0.19982491007806175</v>
      </c>
      <c r="N22" s="10">
        <f t="shared" si="9"/>
        <v>0.22080376560643816</v>
      </c>
      <c r="O22" s="10">
        <f t="shared" si="9"/>
        <v>0.24178718317166459</v>
      </c>
      <c r="P22" s="10"/>
    </row>
    <row r="23" spans="1:41">
      <c r="A23" t="s">
        <v>120</v>
      </c>
      <c r="B23" s="3" t="s">
        <v>117</v>
      </c>
      <c r="C23" s="7">
        <f t="shared" ref="C23:Y23" si="10">C15+$Z23-$Z15</f>
        <v>386.95257797034111</v>
      </c>
      <c r="D23" s="7">
        <f t="shared" si="10"/>
        <v>386.87473753876986</v>
      </c>
      <c r="E23" s="7">
        <f t="shared" si="10"/>
        <v>386.56337581248494</v>
      </c>
      <c r="F23" s="7">
        <f t="shared" si="10"/>
        <v>385.94065235991513</v>
      </c>
      <c r="G23" s="7">
        <f t="shared" si="10"/>
        <v>385.0065671810604</v>
      </c>
      <c r="H23" s="7">
        <f t="shared" si="10"/>
        <v>383.76112027592075</v>
      </c>
      <c r="I23" s="7">
        <f t="shared" si="10"/>
        <v>382.20431164449616</v>
      </c>
      <c r="J23" s="7">
        <f t="shared" si="10"/>
        <v>380.3361412867867</v>
      </c>
      <c r="K23" s="7">
        <f t="shared" si="10"/>
        <v>378.15660920279225</v>
      </c>
      <c r="L23" s="7">
        <f t="shared" si="10"/>
        <v>375.66571539251294</v>
      </c>
      <c r="M23" s="7">
        <f t="shared" si="10"/>
        <v>372.86345985594875</v>
      </c>
      <c r="N23" s="7">
        <f t="shared" si="10"/>
        <v>369.74984259309957</v>
      </c>
      <c r="O23" s="7">
        <f t="shared" si="10"/>
        <v>366.32486360396553</v>
      </c>
      <c r="P23" s="7">
        <f t="shared" si="10"/>
        <v>362.58852288854661</v>
      </c>
      <c r="Q23" s="7">
        <f t="shared" si="10"/>
        <v>358.5408204468427</v>
      </c>
      <c r="R23" s="7">
        <f t="shared" si="10"/>
        <v>354.18175627885387</v>
      </c>
      <c r="S23" s="7">
        <f t="shared" si="10"/>
        <v>349.51133038458039</v>
      </c>
      <c r="T23" s="7">
        <f t="shared" si="10"/>
        <v>344.5295427640217</v>
      </c>
      <c r="U23" s="7">
        <f t="shared" si="10"/>
        <v>339.23639341717762</v>
      </c>
      <c r="V23" s="7">
        <f t="shared" si="10"/>
        <v>333.63188234404942</v>
      </c>
      <c r="W23" s="7">
        <f t="shared" si="10"/>
        <v>327.75492976042176</v>
      </c>
      <c r="X23" s="7">
        <f t="shared" si="10"/>
        <v>300.38322535713576</v>
      </c>
      <c r="Y23" s="7">
        <f t="shared" si="10"/>
        <v>294.89561565574644</v>
      </c>
      <c r="Z23" s="7">
        <f>5/9*(Z8-32)</f>
        <v>290.93455198094114</v>
      </c>
      <c r="AB23" s="7"/>
      <c r="AC23" s="5" t="s">
        <v>121</v>
      </c>
      <c r="AD23" s="10"/>
      <c r="AE23" s="3"/>
      <c r="AF23" s="3"/>
      <c r="AG23" s="3"/>
      <c r="AH23" s="3"/>
      <c r="AI23" s="3"/>
      <c r="AJ23" s="3"/>
      <c r="AK23" s="3"/>
    </row>
    <row r="24" spans="1:41">
      <c r="A24" t="s">
        <v>120</v>
      </c>
      <c r="B24" s="3" t="s">
        <v>109</v>
      </c>
      <c r="C24" s="7">
        <f t="shared" ref="C24:Y24" si="11">C16+$Z24-$Z16</f>
        <v>386.79073092592597</v>
      </c>
      <c r="D24" s="7">
        <f t="shared" si="11"/>
        <v>386.70002333333338</v>
      </c>
      <c r="E24" s="7">
        <f t="shared" si="11"/>
        <v>386.4279005555556</v>
      </c>
      <c r="F24" s="7">
        <f t="shared" si="11"/>
        <v>385.82491111111113</v>
      </c>
      <c r="G24" s="7">
        <f t="shared" si="11"/>
        <v>384.90393833333337</v>
      </c>
      <c r="H24" s="7">
        <f t="shared" si="11"/>
        <v>383.6683344444445</v>
      </c>
      <c r="I24" s="7">
        <f t="shared" si="11"/>
        <v>382.11942333333337</v>
      </c>
      <c r="J24" s="7">
        <f t="shared" si="11"/>
        <v>380.25786333333338</v>
      </c>
      <c r="K24" s="7">
        <f t="shared" si="11"/>
        <v>378.08402777777781</v>
      </c>
      <c r="L24" s="7">
        <f t="shared" si="11"/>
        <v>375.59814888888894</v>
      </c>
      <c r="M24" s="7">
        <f t="shared" si="11"/>
        <v>372.80038055555565</v>
      </c>
      <c r="N24" s="7">
        <f t="shared" si="11"/>
        <v>369.69083055555558</v>
      </c>
      <c r="O24" s="7">
        <f t="shared" si="11"/>
        <v>366.26957611111118</v>
      </c>
      <c r="P24" s="7">
        <f t="shared" si="11"/>
        <v>362.53667500000006</v>
      </c>
      <c r="Q24" s="7">
        <f t="shared" si="11"/>
        <v>358.49217166666671</v>
      </c>
      <c r="R24" s="7">
        <f t="shared" si="11"/>
        <v>354.13609944444448</v>
      </c>
      <c r="S24" s="7">
        <f t="shared" si="11"/>
        <v>349.46848611111113</v>
      </c>
      <c r="T24" s="7">
        <f t="shared" si="11"/>
        <v>344.48935222222224</v>
      </c>
      <c r="U24" s="7">
        <f t="shared" si="11"/>
        <v>339.19871555555557</v>
      </c>
      <c r="V24" s="7">
        <f t="shared" si="11"/>
        <v>333.59659000000005</v>
      </c>
      <c r="W24" s="7">
        <f t="shared" si="11"/>
        <v>327.72090222222226</v>
      </c>
      <c r="X24" s="7">
        <f t="shared" si="11"/>
        <v>300.35054500000007</v>
      </c>
      <c r="Y24" s="7">
        <f t="shared" si="11"/>
        <v>294.87067222222225</v>
      </c>
      <c r="Z24" s="7">
        <f>5/9*(Z9-32)</f>
        <v>290.93455198094114</v>
      </c>
      <c r="AB24" s="3" t="s">
        <v>109</v>
      </c>
      <c r="AC24" s="22">
        <f t="shared" ref="AC24:AO26" si="12">(C24-C$23)/C$23</f>
        <v>-4.1826066972874647E-4</v>
      </c>
      <c r="AD24" s="22">
        <f t="shared" si="12"/>
        <v>-4.5160406840722848E-4</v>
      </c>
      <c r="AE24" s="22">
        <f t="shared" si="12"/>
        <v>-3.5046066287215021E-4</v>
      </c>
      <c r="AF24" s="22">
        <f t="shared" si="12"/>
        <v>-2.9989390362553239E-4</v>
      </c>
      <c r="AG24" s="22">
        <f t="shared" si="12"/>
        <v>-2.665638887109387E-4</v>
      </c>
      <c r="AH24" s="22">
        <f t="shared" si="12"/>
        <v>-2.4178017671393258E-4</v>
      </c>
      <c r="AI24" s="22">
        <f t="shared" si="12"/>
        <v>-2.2210191925240157E-4</v>
      </c>
      <c r="AJ24" s="22">
        <f t="shared" si="12"/>
        <v>-2.0581255619959353E-4</v>
      </c>
      <c r="AK24" s="22">
        <f t="shared" si="12"/>
        <v>-1.9193483135852106E-4</v>
      </c>
      <c r="AL24" s="22">
        <f t="shared" si="12"/>
        <v>-1.7985805160153302E-4</v>
      </c>
      <c r="AM24" s="22">
        <f t="shared" si="12"/>
        <v>-1.6917533409540551E-4</v>
      </c>
      <c r="AN24" s="22">
        <f t="shared" si="12"/>
        <v>-1.59599899029396E-4</v>
      </c>
      <c r="AO24" s="22">
        <f t="shared" si="12"/>
        <v>-1.509247620006455E-4</v>
      </c>
    </row>
    <row r="25" spans="1:41">
      <c r="A25" t="s">
        <v>120</v>
      </c>
      <c r="B25" s="3" t="s">
        <v>110</v>
      </c>
      <c r="C25" s="7">
        <f t="shared" ref="C25:Y25" si="13">C17+$Z25-$Z17</f>
        <v>386.76497370370373</v>
      </c>
      <c r="D25" s="7">
        <f t="shared" si="13"/>
        <v>386.67429833333335</v>
      </c>
      <c r="E25" s="7">
        <f t="shared" si="13"/>
        <v>386.40227222222222</v>
      </c>
      <c r="F25" s="7">
        <f t="shared" si="13"/>
        <v>385.79949555555555</v>
      </c>
      <c r="G25" s="7">
        <f t="shared" si="13"/>
        <v>384.87884666666667</v>
      </c>
      <c r="H25" s="7">
        <f t="shared" si="13"/>
        <v>383.64367333333337</v>
      </c>
      <c r="I25" s="7">
        <f t="shared" si="13"/>
        <v>382.09529777777777</v>
      </c>
      <c r="J25" s="7">
        <f t="shared" si="13"/>
        <v>380.23437277777782</v>
      </c>
      <c r="K25" s="7">
        <f t="shared" si="13"/>
        <v>378.06126888888889</v>
      </c>
      <c r="L25" s="7">
        <f t="shared" si="13"/>
        <v>375.57621277777781</v>
      </c>
      <c r="M25" s="7">
        <f t="shared" si="13"/>
        <v>372.77935388888892</v>
      </c>
      <c r="N25" s="7">
        <f t="shared" si="13"/>
        <v>369.67079333333334</v>
      </c>
      <c r="O25" s="7">
        <f t="shared" si="13"/>
        <v>366.25060277777777</v>
      </c>
      <c r="P25" s="7">
        <f t="shared" si="13"/>
        <v>362.51883277777779</v>
      </c>
      <c r="Q25" s="7">
        <f t="shared" si="13"/>
        <v>358.47552055555559</v>
      </c>
      <c r="R25" s="7">
        <f t="shared" si="13"/>
        <v>354.1206922222222</v>
      </c>
      <c r="S25" s="7">
        <f t="shared" si="13"/>
        <v>349.45436666666671</v>
      </c>
      <c r="T25" s="7">
        <f t="shared" si="13"/>
        <v>344.47655833333334</v>
      </c>
      <c r="U25" s="7">
        <f t="shared" si="13"/>
        <v>339.187275</v>
      </c>
      <c r="V25" s="7">
        <f t="shared" si="13"/>
        <v>333.58652388888891</v>
      </c>
      <c r="W25" s="7">
        <f t="shared" si="13"/>
        <v>327.71221277777778</v>
      </c>
      <c r="X25" s="7">
        <f t="shared" si="13"/>
        <v>300.34810888888887</v>
      </c>
      <c r="Y25" s="7">
        <f t="shared" si="13"/>
        <v>294.86951944444445</v>
      </c>
      <c r="Z25" s="7">
        <f>5/9*(Z10-32)</f>
        <v>290.93455198094114</v>
      </c>
      <c r="AB25" s="3" t="s">
        <v>110</v>
      </c>
      <c r="AC25" s="22">
        <f t="shared" si="12"/>
        <v>-4.8482495612617044E-4</v>
      </c>
      <c r="AD25" s="22">
        <f t="shared" si="12"/>
        <v>-5.1809845923688218E-4</v>
      </c>
      <c r="AE25" s="22">
        <f t="shared" si="12"/>
        <v>-4.1675854554017752E-4</v>
      </c>
      <c r="AF25" s="22">
        <f t="shared" si="12"/>
        <v>-3.6574743680524246E-4</v>
      </c>
      <c r="AG25" s="22">
        <f t="shared" si="12"/>
        <v>-3.317359372045859E-4</v>
      </c>
      <c r="AH25" s="22">
        <f t="shared" si="12"/>
        <v>-3.0604179626882161E-4</v>
      </c>
      <c r="AI25" s="22">
        <f t="shared" si="12"/>
        <v>-2.8522406314396406E-4</v>
      </c>
      <c r="AJ25" s="22">
        <f t="shared" si="12"/>
        <v>-2.6757517354139787E-4</v>
      </c>
      <c r="AK25" s="22">
        <f t="shared" si="12"/>
        <v>-2.5211859738311819E-4</v>
      </c>
      <c r="AL25" s="22">
        <f t="shared" si="12"/>
        <v>-2.3825068689488493E-4</v>
      </c>
      <c r="AM25" s="22">
        <f t="shared" si="12"/>
        <v>-2.2556773756355825E-4</v>
      </c>
      <c r="AN25" s="22">
        <f t="shared" si="12"/>
        <v>-2.1379119247720186E-4</v>
      </c>
      <c r="AO25" s="22">
        <f t="shared" si="12"/>
        <v>-2.0271849815806401E-4</v>
      </c>
    </row>
    <row r="26" spans="1:41">
      <c r="A26" t="s">
        <v>120</v>
      </c>
      <c r="B26" s="3" t="s">
        <v>112</v>
      </c>
      <c r="C26" s="7">
        <f t="shared" ref="C26:Y26" si="14">C17+$Z26-$Z17</f>
        <v>386.76497370370373</v>
      </c>
      <c r="D26" s="7">
        <f t="shared" si="14"/>
        <v>386.67429833333335</v>
      </c>
      <c r="E26" s="7">
        <f t="shared" si="14"/>
        <v>386.40227222222222</v>
      </c>
      <c r="F26" s="7">
        <f t="shared" si="14"/>
        <v>385.79949555555555</v>
      </c>
      <c r="G26" s="7">
        <f t="shared" si="14"/>
        <v>384.87884666666667</v>
      </c>
      <c r="H26" s="7">
        <f t="shared" si="14"/>
        <v>383.64367333333337</v>
      </c>
      <c r="I26" s="7">
        <f t="shared" si="14"/>
        <v>382.09529777777777</v>
      </c>
      <c r="J26" s="7">
        <f t="shared" si="14"/>
        <v>380.23437277777782</v>
      </c>
      <c r="K26" s="7">
        <f t="shared" si="14"/>
        <v>378.06126888888889</v>
      </c>
      <c r="L26" s="7">
        <f t="shared" si="14"/>
        <v>375.57621277777781</v>
      </c>
      <c r="M26" s="7">
        <f t="shared" si="14"/>
        <v>372.77935388888892</v>
      </c>
      <c r="N26" s="7">
        <f t="shared" si="14"/>
        <v>369.67079333333334</v>
      </c>
      <c r="O26" s="7">
        <f t="shared" si="14"/>
        <v>366.25060277777777</v>
      </c>
      <c r="P26" s="7">
        <f t="shared" si="14"/>
        <v>362.51883277777779</v>
      </c>
      <c r="Q26" s="7">
        <f t="shared" si="14"/>
        <v>358.47552055555559</v>
      </c>
      <c r="R26" s="7">
        <f t="shared" si="14"/>
        <v>354.1206922222222</v>
      </c>
      <c r="S26" s="7">
        <f t="shared" si="14"/>
        <v>349.45436666666671</v>
      </c>
      <c r="T26" s="7">
        <f t="shared" si="14"/>
        <v>344.47655833333334</v>
      </c>
      <c r="U26" s="7">
        <f t="shared" si="14"/>
        <v>339.187275</v>
      </c>
      <c r="V26" s="7">
        <f t="shared" si="14"/>
        <v>333.58652388888891</v>
      </c>
      <c r="W26" s="7">
        <f t="shared" si="14"/>
        <v>327.71221277777778</v>
      </c>
      <c r="X26" s="7">
        <f t="shared" si="14"/>
        <v>300.34810888888887</v>
      </c>
      <c r="Y26" s="7">
        <f t="shared" si="14"/>
        <v>294.86951944444445</v>
      </c>
      <c r="Z26" s="7">
        <f>5/9*(Z11-32)</f>
        <v>290.93455198094114</v>
      </c>
      <c r="AB26" s="3" t="s">
        <v>112</v>
      </c>
      <c r="AC26" s="22">
        <f t="shared" si="12"/>
        <v>-4.8482495612617044E-4</v>
      </c>
      <c r="AD26" s="22">
        <f t="shared" si="12"/>
        <v>-5.1809845923688218E-4</v>
      </c>
      <c r="AE26" s="22">
        <f t="shared" si="12"/>
        <v>-4.1675854554017752E-4</v>
      </c>
      <c r="AF26" s="22">
        <f t="shared" si="12"/>
        <v>-3.6574743680524246E-4</v>
      </c>
      <c r="AG26" s="22">
        <f t="shared" si="12"/>
        <v>-3.317359372045859E-4</v>
      </c>
      <c r="AH26" s="22">
        <f t="shared" si="12"/>
        <v>-3.0604179626882161E-4</v>
      </c>
      <c r="AI26" s="22">
        <f t="shared" si="12"/>
        <v>-2.8522406314396406E-4</v>
      </c>
      <c r="AJ26" s="22">
        <f t="shared" si="12"/>
        <v>-2.6757517354139787E-4</v>
      </c>
      <c r="AK26" s="22">
        <f t="shared" si="12"/>
        <v>-2.5211859738311819E-4</v>
      </c>
      <c r="AL26" s="22">
        <f t="shared" si="12"/>
        <v>-2.3825068689488493E-4</v>
      </c>
      <c r="AM26" s="22">
        <f t="shared" si="12"/>
        <v>-2.2556773756355825E-4</v>
      </c>
      <c r="AN26" s="22">
        <f t="shared" si="12"/>
        <v>-2.1379119247720186E-4</v>
      </c>
      <c r="AO26" s="22">
        <f t="shared" si="12"/>
        <v>-2.0271849815806401E-4</v>
      </c>
    </row>
    <row r="27" spans="1:41">
      <c r="A27" t="s">
        <v>120</v>
      </c>
      <c r="B27" s="3" t="s">
        <v>113</v>
      </c>
    </row>
    <row r="28" spans="1:41">
      <c r="Q28" s="3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30" spans="1:41">
      <c r="A30">
        <v>0</v>
      </c>
      <c r="B30" s="12">
        <v>4.8729883837070098E-4</v>
      </c>
      <c r="C30" s="12">
        <v>1.0896333279535699E-3</v>
      </c>
      <c r="D30" s="12">
        <v>1.7569809482196001E-3</v>
      </c>
      <c r="E30" s="12">
        <v>2.4364941918535001E-3</v>
      </c>
      <c r="F30" s="12">
        <v>3.1202350028443101E-3</v>
      </c>
      <c r="G30" s="12">
        <v>3.80592559445446E-3</v>
      </c>
      <c r="H30" s="12">
        <v>4.4926733043458601E-3</v>
      </c>
      <c r="I30" s="12">
        <v>5.1800577062567701E-3</v>
      </c>
      <c r="J30" s="12">
        <v>5.86785505037642E-3</v>
      </c>
      <c r="K30" s="12">
        <v>6.5559353700151502E-3</v>
      </c>
      <c r="L30" s="12">
        <v>7.2442180317072898E-3</v>
      </c>
      <c r="M30" s="12">
        <v>7.93265036652443E-3</v>
      </c>
      <c r="N30" s="12">
        <v>8.6211965187923296E-3</v>
      </c>
      <c r="O30" s="12">
        <v>9.3098312350581094E-3</v>
      </c>
      <c r="P30" s="12">
        <v>9.9985362161868502E-3</v>
      </c>
      <c r="Q30" s="12">
        <v>1.0687297878278001E-2</v>
      </c>
      <c r="R30" s="12">
        <v>1.1376105926159501E-2</v>
      </c>
      <c r="S30" s="12">
        <v>1.2064952415110001E-2</v>
      </c>
      <c r="T30" s="12">
        <v>1.2753831116415299E-2</v>
      </c>
      <c r="U30" s="12">
        <v>1.3438320209973801E-2</v>
      </c>
      <c r="V30" s="12">
        <v>1.3713910761154901E-2</v>
      </c>
      <c r="W30" s="12">
        <v>1.55839895013123E-2</v>
      </c>
    </row>
    <row r="31" spans="1:41">
      <c r="C31" s="3"/>
      <c r="D31" s="3" t="s">
        <v>122</v>
      </c>
    </row>
    <row r="32" spans="1:41">
      <c r="A32" s="21">
        <v>728.06004199999995</v>
      </c>
      <c r="B32" s="7">
        <v>727.57022099999995</v>
      </c>
      <c r="C32" s="7">
        <v>726.48483999999996</v>
      </c>
      <c r="D32" s="7">
        <v>724.827089</v>
      </c>
      <c r="E32" s="7">
        <v>722.60300199999995</v>
      </c>
      <c r="F32" s="7">
        <v>719.81496200000004</v>
      </c>
      <c r="G32" s="7">
        <v>716.46415400000001</v>
      </c>
      <c r="H32" s="7">
        <v>712.55124999999998</v>
      </c>
      <c r="I32" s="7">
        <v>708.07666800000004</v>
      </c>
      <c r="J32" s="7">
        <v>703.04068500000005</v>
      </c>
      <c r="K32" s="7">
        <v>697.44349499999998</v>
      </c>
      <c r="L32" s="7">
        <v>691.28523700000005</v>
      </c>
      <c r="M32" s="7">
        <v>684.56601499999999</v>
      </c>
      <c r="N32" s="7">
        <v>677.28590899999995</v>
      </c>
      <c r="O32" s="7">
        <v>669.44497899999999</v>
      </c>
      <c r="P32" s="7">
        <v>661.04327499999999</v>
      </c>
      <c r="Q32">
        <v>652.08083399999998</v>
      </c>
      <c r="R32">
        <v>642.55768799999998</v>
      </c>
      <c r="S32">
        <v>632.47386200000005</v>
      </c>
      <c r="T32">
        <v>621.89762399999995</v>
      </c>
      <c r="U32">
        <v>572.63098100000002</v>
      </c>
      <c r="V32">
        <v>562.76720999999998</v>
      </c>
    </row>
    <row r="33" spans="1:22">
      <c r="A33" s="20">
        <v>728.01373699999999</v>
      </c>
      <c r="B33">
        <v>727.52409</v>
      </c>
      <c r="C33">
        <v>726.43909199999996</v>
      </c>
      <c r="D33">
        <v>724.781924</v>
      </c>
      <c r="E33">
        <v>722.55861200000004</v>
      </c>
      <c r="F33">
        <v>719.77153599999997</v>
      </c>
      <c r="G33">
        <v>716.42187100000001</v>
      </c>
      <c r="H33">
        <v>712.51028399999996</v>
      </c>
      <c r="I33">
        <v>708.03718300000003</v>
      </c>
      <c r="J33">
        <v>703.002837</v>
      </c>
      <c r="K33">
        <v>697.40742799999998</v>
      </c>
      <c r="L33">
        <v>691.25108499999999</v>
      </c>
      <c r="M33">
        <v>684.53389900000002</v>
      </c>
      <c r="N33">
        <v>677.25593700000002</v>
      </c>
      <c r="O33">
        <v>669.41724599999998</v>
      </c>
      <c r="P33">
        <v>661.01786000000004</v>
      </c>
      <c r="Q33">
        <v>652.05780500000003</v>
      </c>
      <c r="R33">
        <v>642.53709500000002</v>
      </c>
      <c r="S33">
        <v>632.45574299999998</v>
      </c>
      <c r="T33">
        <v>621.88198299999999</v>
      </c>
      <c r="U33">
        <v>572.62659599999995</v>
      </c>
      <c r="V33">
        <v>562.76513499999999</v>
      </c>
    </row>
    <row r="34" spans="1:22">
      <c r="A34" s="21">
        <v>728.07001400000001</v>
      </c>
      <c r="B34">
        <v>727.58015499999999</v>
      </c>
      <c r="C34">
        <v>726.49469199999999</v>
      </c>
      <c r="D34">
        <v>724.836815</v>
      </c>
      <c r="E34">
        <v>722.61256100000003</v>
      </c>
      <c r="F34">
        <v>719.82431399999996</v>
      </c>
      <c r="G34">
        <v>716.47325999999998</v>
      </c>
      <c r="H34">
        <v>712.56007199999999</v>
      </c>
      <c r="I34">
        <v>708.08516999999995</v>
      </c>
      <c r="J34">
        <v>703.04883500000005</v>
      </c>
      <c r="K34">
        <v>697.45126100000004</v>
      </c>
      <c r="L34">
        <v>691.29259100000002</v>
      </c>
      <c r="M34">
        <v>684.57293100000004</v>
      </c>
      <c r="N34">
        <v>677.29236300000002</v>
      </c>
      <c r="O34">
        <v>669.45095200000003</v>
      </c>
      <c r="P34">
        <v>661.04874800000005</v>
      </c>
      <c r="Q34">
        <v>652.08579299999997</v>
      </c>
      <c r="R34">
        <v>642.56212300000004</v>
      </c>
      <c r="S34">
        <v>632.47776399999998</v>
      </c>
      <c r="T34">
        <v>621.90099299999997</v>
      </c>
      <c r="U34">
        <v>572.63192500000002</v>
      </c>
      <c r="V34">
        <v>562.76765699999999</v>
      </c>
    </row>
    <row r="35" spans="1:22">
      <c r="A35">
        <v>727.98237300000005</v>
      </c>
      <c r="B35">
        <v>727.53136199999994</v>
      </c>
      <c r="C35">
        <v>726.46031300000004</v>
      </c>
      <c r="D35">
        <v>724.81106999999997</v>
      </c>
      <c r="E35">
        <v>722.59301600000003</v>
      </c>
      <c r="F35">
        <v>719.80962699999998</v>
      </c>
      <c r="G35">
        <v>716.46257400000002</v>
      </c>
      <c r="H35">
        <v>712.55278999999996</v>
      </c>
      <c r="I35">
        <v>708.08085400000004</v>
      </c>
      <c r="J35">
        <v>703.047146</v>
      </c>
      <c r="K35">
        <v>697.45193099999995</v>
      </c>
      <c r="L35">
        <v>691.29540099999997</v>
      </c>
      <c r="M35">
        <v>684.57770100000005</v>
      </c>
      <c r="N35">
        <v>677.29894000000002</v>
      </c>
      <c r="O35">
        <v>669.459205</v>
      </c>
      <c r="P35">
        <v>661.05856500000004</v>
      </c>
      <c r="Q35">
        <v>652.09707600000002</v>
      </c>
      <c r="R35">
        <v>642.57478400000002</v>
      </c>
      <c r="S35">
        <v>632.49172699999997</v>
      </c>
      <c r="T35">
        <v>621.91442700000005</v>
      </c>
      <c r="U35">
        <v>572.64535899999998</v>
      </c>
      <c r="V35">
        <v>562.76766099999998</v>
      </c>
    </row>
    <row r="36" spans="1:22">
      <c r="A36">
        <f t="shared" ref="A36:V36" si="15">A34-A35</f>
        <v>8.7640999999962332E-2</v>
      </c>
      <c r="B36">
        <f t="shared" si="15"/>
        <v>4.879300000004605E-2</v>
      </c>
      <c r="C36">
        <f t="shared" si="15"/>
        <v>3.4378999999944426E-2</v>
      </c>
      <c r="D36">
        <f t="shared" si="15"/>
        <v>2.5745000000028995E-2</v>
      </c>
      <c r="E36">
        <f t="shared" si="15"/>
        <v>1.9544999999993706E-2</v>
      </c>
      <c r="F36">
        <f t="shared" si="15"/>
        <v>1.4686999999980799E-2</v>
      </c>
      <c r="G36">
        <f t="shared" si="15"/>
        <v>1.0685999999964224E-2</v>
      </c>
      <c r="H36">
        <f t="shared" si="15"/>
        <v>7.2820000000319851E-3</v>
      </c>
      <c r="I36">
        <f t="shared" si="15"/>
        <v>4.3159999999033971E-3</v>
      </c>
      <c r="J36">
        <f t="shared" si="15"/>
        <v>1.6890000000557848E-3</v>
      </c>
      <c r="K36">
        <f t="shared" si="15"/>
        <v>-6.6999999990002834E-4</v>
      </c>
      <c r="L36">
        <f t="shared" si="15"/>
        <v>-2.8099999999540159E-3</v>
      </c>
      <c r="M36">
        <f t="shared" si="15"/>
        <v>-4.7700000000077125E-3</v>
      </c>
      <c r="N36">
        <f t="shared" si="15"/>
        <v>-6.5769999999929496E-3</v>
      </c>
      <c r="O36">
        <f t="shared" si="15"/>
        <v>-8.2529999999678694E-3</v>
      </c>
      <c r="P36">
        <f t="shared" si="15"/>
        <v>-9.8169999999981883E-3</v>
      </c>
      <c r="Q36">
        <f t="shared" si="15"/>
        <v>-1.128300000004856E-2</v>
      </c>
      <c r="R36">
        <f t="shared" si="15"/>
        <v>-1.2660999999980049E-2</v>
      </c>
      <c r="S36">
        <f t="shared" si="15"/>
        <v>-1.3962999999989734E-2</v>
      </c>
      <c r="T36">
        <f t="shared" si="15"/>
        <v>-1.3434000000074775E-2</v>
      </c>
      <c r="U36">
        <f t="shared" si="15"/>
        <v>-1.3433999999961088E-2</v>
      </c>
      <c r="V36">
        <f t="shared" si="15"/>
        <v>-3.9999999899009708E-6</v>
      </c>
    </row>
  </sheetData>
  <mergeCells count="1">
    <mergeCell ref="A1:D2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V29"/>
  <sheetViews>
    <sheetView tabSelected="1" topLeftCell="A4" zoomScale="90" zoomScaleNormal="90" zoomScalePageLayoutView="90" workbookViewId="0">
      <selection activeCell="N15" sqref="N15"/>
    </sheetView>
  </sheetViews>
  <sheetFormatPr baseColWidth="10" defaultColWidth="8.83203125" defaultRowHeight="12" x14ac:dyDescent="0"/>
  <cols>
    <col min="12" max="12" width="17" bestFit="1" customWidth="1"/>
    <col min="13" max="13" width="15.5" bestFit="1" customWidth="1"/>
    <col min="14" max="16" width="12.1640625" bestFit="1" customWidth="1"/>
  </cols>
  <sheetData>
    <row r="7" spans="5:22">
      <c r="E7" s="3"/>
      <c r="F7" s="1" t="s">
        <v>125</v>
      </c>
      <c r="G7" s="1"/>
      <c r="H7" s="1"/>
      <c r="I7" s="1"/>
      <c r="J7" s="23"/>
      <c r="K7" s="23"/>
      <c r="M7" s="28" t="s">
        <v>126</v>
      </c>
      <c r="N7" s="28"/>
      <c r="O7" s="28"/>
      <c r="P7" s="28"/>
    </row>
    <row r="8" spans="5:22">
      <c r="E8" s="3" t="s">
        <v>127</v>
      </c>
      <c r="F8" s="3" t="s">
        <v>128</v>
      </c>
      <c r="G8" s="3" t="s">
        <v>109</v>
      </c>
      <c r="H8" s="3" t="s">
        <v>110</v>
      </c>
      <c r="I8" s="3" t="s">
        <v>112</v>
      </c>
      <c r="J8" s="3" t="s">
        <v>113</v>
      </c>
      <c r="K8" s="3"/>
      <c r="L8" s="25" t="s">
        <v>154</v>
      </c>
      <c r="M8" s="26" t="s">
        <v>109</v>
      </c>
      <c r="N8" s="26" t="s">
        <v>110</v>
      </c>
      <c r="O8" s="26" t="s">
        <v>112</v>
      </c>
      <c r="P8" s="26" t="s">
        <v>113</v>
      </c>
      <c r="Q8" s="3"/>
      <c r="R8" s="3" t="s">
        <v>129</v>
      </c>
      <c r="S8" s="24" t="s">
        <v>109</v>
      </c>
      <c r="T8" s="24" t="s">
        <v>110</v>
      </c>
      <c r="U8" s="24" t="s">
        <v>112</v>
      </c>
      <c r="V8" s="24" t="s">
        <v>113</v>
      </c>
    </row>
    <row r="9" spans="5:22">
      <c r="E9" s="11">
        <f>'SS Rod Radial Profile_5'!D14</f>
        <v>6.4362430572002152E-2</v>
      </c>
      <c r="F9" s="7">
        <f>'SS Rod Radial Profile_10'!C15</f>
        <v>92.056962314594657</v>
      </c>
      <c r="G9" s="7">
        <f>'SS Rod Radial Profile_5'!C16</f>
        <v>90.835615000000061</v>
      </c>
      <c r="H9">
        <f>'SS Rod Radial Profile_5'!C17</f>
        <v>90.812749444444378</v>
      </c>
      <c r="I9">
        <f>'SS Rod Radial Profile_5'!C18</f>
        <v>90.840310925925934</v>
      </c>
      <c r="J9">
        <f>'SS Rod Radial Profile_5'!C19</f>
        <v>90.076029814814746</v>
      </c>
      <c r="L9" s="25">
        <v>5</v>
      </c>
      <c r="M9" s="27">
        <f t="shared" ref="M9:P11" si="0">ABS(G9-$F9)</f>
        <v>1.2213473145945954</v>
      </c>
      <c r="N9" s="27">
        <f t="shared" si="0"/>
        <v>1.2442128701502781</v>
      </c>
      <c r="O9" s="27">
        <f t="shared" si="0"/>
        <v>1.2166513886687227</v>
      </c>
      <c r="P9" s="27">
        <f t="shared" si="0"/>
        <v>1.9809324997799109</v>
      </c>
      <c r="R9">
        <f>LN(ABS(E9))</f>
        <v>-2.7432251923130866</v>
      </c>
      <c r="S9">
        <f t="shared" ref="S9:V11" si="1">LN(ABS(M9))</f>
        <v>0.19995460561749456</v>
      </c>
      <c r="T9">
        <f t="shared" si="1"/>
        <v>0.21850309716220739</v>
      </c>
      <c r="U9">
        <f t="shared" si="1"/>
        <v>0.19610232158886332</v>
      </c>
      <c r="V9">
        <f t="shared" si="1"/>
        <v>0.68356769332463696</v>
      </c>
    </row>
    <row r="10" spans="5:22">
      <c r="E10" s="11">
        <f>'SS Rod Radial Profile_10'!D14</f>
        <v>3.0487467113053651E-2</v>
      </c>
      <c r="F10" s="7">
        <f>F9</f>
        <v>92.056962314594657</v>
      </c>
      <c r="G10" s="7">
        <f>'SS Rod Radial Profile_10'!C16</f>
        <v>91.641218333333356</v>
      </c>
      <c r="H10">
        <f>'SS Rod Radial Profile_10'!C17</f>
        <v>91.616974074074108</v>
      </c>
      <c r="I10">
        <f>'SS Rod Radial Profile_10'!C18</f>
        <v>91.646392777777749</v>
      </c>
      <c r="J10">
        <f>'SS Rod Radial Profile_10'!C19</f>
        <v>91.34018833333333</v>
      </c>
      <c r="K10">
        <f>E9/E10</f>
        <v>2.1111111111111112</v>
      </c>
      <c r="L10" s="25">
        <v>10</v>
      </c>
      <c r="M10" s="27">
        <f t="shared" si="0"/>
        <v>0.41574398126130063</v>
      </c>
      <c r="N10" s="27">
        <f t="shared" si="0"/>
        <v>0.43998824052054886</v>
      </c>
      <c r="O10" s="27">
        <f t="shared" si="0"/>
        <v>0.410569536816908</v>
      </c>
      <c r="P10" s="27">
        <f t="shared" si="0"/>
        <v>0.7167739812613263</v>
      </c>
      <c r="R10" s="3">
        <f>LN(E10)</f>
        <v>-3.4904395941433073</v>
      </c>
      <c r="S10">
        <f t="shared" si="1"/>
        <v>-0.8776856378357768</v>
      </c>
      <c r="T10">
        <f t="shared" si="1"/>
        <v>-0.82100727851664024</v>
      </c>
      <c r="U10">
        <f t="shared" si="1"/>
        <v>-0.89020996902275007</v>
      </c>
      <c r="V10">
        <f t="shared" si="1"/>
        <v>-0.33299471644377299</v>
      </c>
    </row>
    <row r="11" spans="5:22">
      <c r="E11" s="11">
        <f>'SS Rod Radial Profile_20'!D14</f>
        <v>1.4852868593538963E-2</v>
      </c>
      <c r="F11" s="7">
        <f>F10</f>
        <v>92.056962314594657</v>
      </c>
      <c r="G11" s="7">
        <f>'SS Rod Radial Profile_20'!C16</f>
        <v>91.920058703703702</v>
      </c>
      <c r="H11">
        <f>'SS Rod Radial Profile_20'!C17</f>
        <v>91.895454259259282</v>
      </c>
      <c r="I11">
        <f>'SS Rod Radial Profile_20'!C18</f>
        <v>91.925357407407418</v>
      </c>
      <c r="J11">
        <f>'SS Rod Radial Profile_20'!C19</f>
        <v>91.86947166666674</v>
      </c>
      <c r="K11">
        <f>E10/E11</f>
        <v>2.0526315789473677</v>
      </c>
      <c r="L11" s="25">
        <v>20</v>
      </c>
      <c r="M11" s="27">
        <f t="shared" si="0"/>
        <v>0.13690361089095404</v>
      </c>
      <c r="N11" s="27">
        <f t="shared" si="0"/>
        <v>0.16150805533537493</v>
      </c>
      <c r="O11" s="27">
        <f t="shared" si="0"/>
        <v>0.1316049071872385</v>
      </c>
      <c r="P11" s="27">
        <f t="shared" si="0"/>
        <v>0.18749064792791614</v>
      </c>
      <c r="R11" s="3">
        <f>LN(E11)</f>
        <v>-4.2095622611065133</v>
      </c>
      <c r="S11">
        <f t="shared" si="1"/>
        <v>-1.9884781709146568</v>
      </c>
      <c r="T11">
        <f t="shared" si="1"/>
        <v>-1.823200259325688</v>
      </c>
      <c r="U11">
        <f t="shared" si="1"/>
        <v>-2.0279509721292976</v>
      </c>
      <c r="V11">
        <f t="shared" si="1"/>
        <v>-1.6740263125333867</v>
      </c>
    </row>
    <row r="12" spans="5:22">
      <c r="E12" s="3"/>
      <c r="F12" s="7"/>
      <c r="G12" s="7"/>
    </row>
    <row r="13" spans="5:22">
      <c r="L13" s="25"/>
      <c r="M13" s="28" t="s">
        <v>130</v>
      </c>
      <c r="N13" s="28"/>
      <c r="O13" s="28"/>
      <c r="P13" s="28"/>
    </row>
    <row r="14" spans="5:22">
      <c r="G14" s="3" t="s">
        <v>131</v>
      </c>
      <c r="H14" t="str">
        <f>E8</f>
        <v>delta_R_1 [cm]</v>
      </c>
      <c r="L14" s="25" t="s">
        <v>154</v>
      </c>
      <c r="M14" s="26" t="s">
        <v>109</v>
      </c>
      <c r="N14" s="26" t="s">
        <v>110</v>
      </c>
      <c r="O14" s="26" t="s">
        <v>112</v>
      </c>
      <c r="P14" s="26" t="s">
        <v>113</v>
      </c>
    </row>
    <row r="15" spans="5:22">
      <c r="G15" s="3">
        <f>1/5</f>
        <v>0.2</v>
      </c>
      <c r="H15">
        <f>E9</f>
        <v>6.4362430572002152E-2</v>
      </c>
      <c r="K15" s="3">
        <v>5</v>
      </c>
      <c r="L15" s="25">
        <v>5</v>
      </c>
      <c r="M15" s="29">
        <f t="shared" ref="M15:P17" si="2">ABS(G9-$F9)/$F9</f>
        <v>1.3267299766211858E-2</v>
      </c>
      <c r="N15" s="29">
        <f t="shared" si="2"/>
        <v>1.3515684624681792E-2</v>
      </c>
      <c r="O15" s="29">
        <f t="shared" si="2"/>
        <v>1.3216288676905816E-2</v>
      </c>
      <c r="P15" s="29">
        <f t="shared" si="2"/>
        <v>2.1518551665981434E-2</v>
      </c>
    </row>
    <row r="16" spans="5:22">
      <c r="G16" s="3">
        <f>1/10</f>
        <v>0.1</v>
      </c>
      <c r="H16">
        <f>E10</f>
        <v>3.0487467113053651E-2</v>
      </c>
      <c r="K16" s="3">
        <v>10</v>
      </c>
      <c r="L16" s="25">
        <v>10</v>
      </c>
      <c r="M16" s="29">
        <f t="shared" si="2"/>
        <v>4.5161601122633262E-3</v>
      </c>
      <c r="N16" s="29">
        <f t="shared" si="2"/>
        <v>4.7795216076860856E-3</v>
      </c>
      <c r="O16" s="29">
        <f t="shared" si="2"/>
        <v>4.4599509531265142E-3</v>
      </c>
      <c r="P16" s="29">
        <f t="shared" si="2"/>
        <v>7.7862006657555046E-3</v>
      </c>
    </row>
    <row r="17" spans="4:22">
      <c r="F17" s="3"/>
      <c r="G17" s="3">
        <f>1/20</f>
        <v>0.05</v>
      </c>
      <c r="H17">
        <f>E11</f>
        <v>1.4852868593538963E-2</v>
      </c>
      <c r="I17" s="3"/>
      <c r="J17" s="3"/>
      <c r="K17" s="3">
        <v>20</v>
      </c>
      <c r="L17" s="25">
        <v>20</v>
      </c>
      <c r="M17" s="29">
        <f t="shared" si="2"/>
        <v>1.4871619424406037E-3</v>
      </c>
      <c r="N17" s="29">
        <f t="shared" si="2"/>
        <v>1.7544360716948136E-3</v>
      </c>
      <c r="O17" s="29">
        <f t="shared" si="2"/>
        <v>1.4296029749221253E-3</v>
      </c>
      <c r="P17" s="29">
        <f t="shared" si="2"/>
        <v>2.036680802992252E-3</v>
      </c>
    </row>
    <row r="18" spans="4:22">
      <c r="F18" s="3"/>
      <c r="G18" s="7"/>
      <c r="H18" s="7"/>
      <c r="I18" s="3"/>
      <c r="J18" s="3"/>
      <c r="K18" s="3"/>
      <c r="L18" s="3"/>
      <c r="M18" s="3"/>
      <c r="N18" s="3"/>
      <c r="O18" s="3"/>
    </row>
    <row r="19" spans="4:22">
      <c r="F19" s="3"/>
      <c r="G19" s="7">
        <f>SLOPE(H15:H17,G15:G17)</f>
        <v>0.33130458767543036</v>
      </c>
      <c r="H19" s="7"/>
      <c r="I19" s="3"/>
      <c r="J19" s="3"/>
      <c r="K19" s="3"/>
      <c r="L19" s="3"/>
      <c r="M19" s="24" t="s">
        <v>109</v>
      </c>
      <c r="N19" s="24" t="s">
        <v>110</v>
      </c>
      <c r="O19" s="24" t="s">
        <v>112</v>
      </c>
      <c r="P19" s="24" t="s">
        <v>113</v>
      </c>
    </row>
    <row r="20" spans="4:22">
      <c r="F20" s="3"/>
      <c r="G20" s="7"/>
      <c r="H20" s="7"/>
      <c r="I20" s="3"/>
      <c r="J20" s="3"/>
      <c r="K20" s="3"/>
      <c r="L20" t="s">
        <v>132</v>
      </c>
      <c r="M20">
        <f>LN((M11-M10)/(M10-M9))/LN(0.5)</f>
        <v>1.5306302037759174</v>
      </c>
      <c r="N20">
        <f>LN((N11-N10)/(N10-N9))/LN(0.5)</f>
        <v>1.53002384125449</v>
      </c>
      <c r="O20">
        <f>LN((O11-O10)/(O10-O9))/LN(0.5)</f>
        <v>1.530844129518808</v>
      </c>
      <c r="P20">
        <f>LN((P11-P10)/(P10-P9))/LN(0.5)</f>
        <v>1.2560652502709739</v>
      </c>
      <c r="S20">
        <f>SLOPE(S9:S11,$R9:$R11)</f>
        <v>1.4921217236779944</v>
      </c>
      <c r="T20">
        <f>SLOPE(T9:T11,$R9:$R11)</f>
        <v>1.3923755495233217</v>
      </c>
      <c r="U20">
        <f>SLOPE(U9:U11,$R9:$R11)</f>
        <v>1.5163313431169538</v>
      </c>
      <c r="V20">
        <f>SLOPE(V9:V11,$R9:$R11)</f>
        <v>1.6062022044421487</v>
      </c>
    </row>
    <row r="21" spans="4:22">
      <c r="D21" s="3" t="s">
        <v>133</v>
      </c>
      <c r="E21" s="3">
        <v>1</v>
      </c>
      <c r="F21" s="3">
        <v>0.02</v>
      </c>
      <c r="G21" s="3">
        <v>0.02</v>
      </c>
    </row>
    <row r="22" spans="4:22">
      <c r="D22" s="3" t="str">
        <f>E8</f>
        <v>delta_R_1 [cm]</v>
      </c>
      <c r="E22" s="3" t="s">
        <v>109</v>
      </c>
      <c r="F22" s="3" t="s">
        <v>110</v>
      </c>
      <c r="G22" t="s">
        <v>134</v>
      </c>
    </row>
    <row r="23" spans="4:22">
      <c r="D23" s="3">
        <f>E9</f>
        <v>6.4362430572002152E-2</v>
      </c>
      <c r="E23" s="3">
        <v>0.69399999999999995</v>
      </c>
      <c r="F23" s="3">
        <v>5.5510000000000002</v>
      </c>
      <c r="G23">
        <v>5.6719999999999997</v>
      </c>
    </row>
    <row r="24" spans="4:22">
      <c r="D24" s="3">
        <f>E10</f>
        <v>3.0487467113053651E-2</v>
      </c>
      <c r="E24" s="3">
        <v>1.022</v>
      </c>
      <c r="F24" s="3">
        <v>7.8220000000000001</v>
      </c>
      <c r="G24">
        <v>6.0490000000000004</v>
      </c>
    </row>
    <row r="25" spans="4:22">
      <c r="D25" s="3">
        <f>E11</f>
        <v>1.4852868593538963E-2</v>
      </c>
      <c r="E25" s="3">
        <v>1.796</v>
      </c>
      <c r="F25" s="3">
        <v>14.374000000000001</v>
      </c>
      <c r="G25">
        <v>6.65</v>
      </c>
    </row>
    <row r="27" spans="4:22">
      <c r="E27" s="7">
        <f t="shared" ref="E27:G29" si="3">E23/E$23</f>
        <v>1</v>
      </c>
      <c r="F27" s="7">
        <f t="shared" si="3"/>
        <v>1</v>
      </c>
      <c r="G27" s="7">
        <f t="shared" si="3"/>
        <v>1</v>
      </c>
    </row>
    <row r="28" spans="4:22">
      <c r="E28" s="7">
        <f t="shared" si="3"/>
        <v>1.4726224783861672</v>
      </c>
      <c r="F28" s="7">
        <f t="shared" si="3"/>
        <v>1.4091154746892451</v>
      </c>
      <c r="G28" s="7">
        <f t="shared" si="3"/>
        <v>1.0664668547249649</v>
      </c>
    </row>
    <row r="29" spans="4:22">
      <c r="E29" s="7">
        <f t="shared" si="3"/>
        <v>2.5878962536023056</v>
      </c>
      <c r="F29" s="7">
        <f t="shared" si="3"/>
        <v>2.5894433435417041</v>
      </c>
      <c r="G29" s="7">
        <f t="shared" si="3"/>
        <v>1.1724259520451341</v>
      </c>
    </row>
  </sheetData>
  <mergeCells count="3">
    <mergeCell ref="F7:I7"/>
    <mergeCell ref="M7:P7"/>
    <mergeCell ref="M13:P13"/>
  </mergeCells>
  <pageMargins left="0.78749999999999998" right="0.78749999999999998" top="1.0249999999999999" bottom="1.0249999999999999" header="0.78749999999999998" footer="0.78749999999999998"/>
  <pageSetup firstPageNumber="0" orientation="portrait" horizontalDpi="4294967292" verticalDpi="4294967292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R14"/>
  <sheetViews>
    <sheetView zoomScale="90" zoomScaleNormal="90" zoomScalePageLayoutView="90" workbookViewId="0">
      <selection activeCell="J26" sqref="J26"/>
    </sheetView>
  </sheetViews>
  <sheetFormatPr baseColWidth="10" defaultColWidth="8.83203125" defaultRowHeight="12" x14ac:dyDescent="0"/>
  <sheetData>
    <row r="7" spans="5:18"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5:18">
      <c r="E8" t="s">
        <v>135</v>
      </c>
      <c r="G8">
        <v>1.0002449840240701E-3</v>
      </c>
      <c r="H8">
        <v>2.2366157784310101E-3</v>
      </c>
      <c r="I8">
        <v>3.60643457792444E-3</v>
      </c>
      <c r="J8">
        <v>5.00122492012035E-3</v>
      </c>
      <c r="K8">
        <v>6.4046929005751596E-3</v>
      </c>
      <c r="L8">
        <v>7.8121630623012497E-3</v>
      </c>
      <c r="M8">
        <v>9.2218030983941303E-3</v>
      </c>
      <c r="N8">
        <v>1.0632750028632299E-2</v>
      </c>
      <c r="O8">
        <v>1.20445445770884E-2</v>
      </c>
      <c r="P8">
        <v>1.3438320209973801E-2</v>
      </c>
      <c r="Q8">
        <v>1.3713910761154901E-2</v>
      </c>
      <c r="R8">
        <v>1.55839895013123E-2</v>
      </c>
    </row>
    <row r="9" spans="5:18">
      <c r="E9" t="s">
        <v>136</v>
      </c>
      <c r="F9">
        <v>0</v>
      </c>
      <c r="G9">
        <v>1.4145600221025E-3</v>
      </c>
      <c r="H9">
        <v>2.829120044205E-3</v>
      </c>
      <c r="I9">
        <v>4.2436800663075E-3</v>
      </c>
      <c r="J9">
        <v>5.65824008841E-3</v>
      </c>
      <c r="K9">
        <v>7.0728001105124999E-3</v>
      </c>
      <c r="L9">
        <v>8.4873601326149999E-3</v>
      </c>
      <c r="M9">
        <v>9.9019201547175008E-3</v>
      </c>
      <c r="N9">
        <v>1.131648017682E-2</v>
      </c>
      <c r="O9">
        <v>1.2731040198922501E-2</v>
      </c>
      <c r="P9">
        <v>1.3438320209973801E-2</v>
      </c>
      <c r="Q9">
        <v>1.46489501312336E-2</v>
      </c>
      <c r="R9">
        <v>1.55839895013123E-2</v>
      </c>
    </row>
    <row r="10" spans="5:18">
      <c r="E10" t="s">
        <v>137</v>
      </c>
      <c r="F10">
        <v>6.2862642371365604E-6</v>
      </c>
      <c r="G10">
        <v>1.8858792711409699E-5</v>
      </c>
      <c r="H10">
        <v>3.1431321185682798E-5</v>
      </c>
      <c r="I10">
        <v>4.4003849659955903E-5</v>
      </c>
      <c r="J10">
        <v>5.6576378134229097E-5</v>
      </c>
      <c r="K10">
        <v>6.9148906608502202E-5</v>
      </c>
      <c r="L10">
        <v>8.1721435082775403E-5</v>
      </c>
      <c r="M10">
        <v>9.4293963557048495E-5</v>
      </c>
      <c r="N10">
        <v>1.0686649203132201E-4</v>
      </c>
      <c r="O10">
        <v>5.8147944193513099E-5</v>
      </c>
      <c r="P10">
        <v>8.3316267270546203E-5</v>
      </c>
      <c r="Q10">
        <v>8.8809647530142702E-5</v>
      </c>
    </row>
    <row r="11" spans="5:18"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7</v>
      </c>
      <c r="M11">
        <v>8</v>
      </c>
      <c r="N11">
        <v>9</v>
      </c>
      <c r="O11">
        <v>10</v>
      </c>
    </row>
    <row r="12" spans="5:18">
      <c r="E12" t="s">
        <v>138</v>
      </c>
      <c r="F12">
        <f t="shared" ref="F12:O12" si="0">PI()*(G9^2-F9^2)</f>
        <v>6.286264244319664E-6</v>
      </c>
      <c r="G12">
        <f t="shared" si="0"/>
        <v>1.885879273295899E-5</v>
      </c>
      <c r="H12">
        <f t="shared" si="0"/>
        <v>3.1431321221598323E-5</v>
      </c>
      <c r="I12">
        <f t="shared" si="0"/>
        <v>4.4003849710237649E-5</v>
      </c>
      <c r="J12">
        <f t="shared" si="0"/>
        <v>5.6576378198876969E-5</v>
      </c>
      <c r="K12">
        <f t="shared" si="0"/>
        <v>6.9148906687516322E-5</v>
      </c>
      <c r="L12">
        <f t="shared" si="0"/>
        <v>8.1721435176155676E-5</v>
      </c>
      <c r="M12">
        <f t="shared" si="0"/>
        <v>9.4293963664794921E-5</v>
      </c>
      <c r="N12">
        <f t="shared" si="0"/>
        <v>1.0686649215343438E-4</v>
      </c>
      <c r="O12">
        <f t="shared" si="0"/>
        <v>5.8147944259961113E-5</v>
      </c>
      <c r="P12">
        <f>PI()*(Q9^2-Q8^2)</f>
        <v>8.3316267365745469E-5</v>
      </c>
      <c r="Q12">
        <f>PI()*(R9^2-Q9^2)</f>
        <v>8.8809647631618712E-5</v>
      </c>
    </row>
    <row r="13" spans="5:18">
      <c r="E13" t="s">
        <v>139</v>
      </c>
      <c r="F13">
        <f>F12</f>
        <v>6.286264244319664E-6</v>
      </c>
      <c r="G13">
        <f t="shared" ref="G13:O13" si="1">G12+F13</f>
        <v>2.5145056977278653E-5</v>
      </c>
      <c r="H13">
        <f t="shared" si="1"/>
        <v>5.6576378198876976E-5</v>
      </c>
      <c r="I13">
        <f t="shared" si="1"/>
        <v>1.0058022790911462E-4</v>
      </c>
      <c r="J13">
        <f t="shared" si="1"/>
        <v>1.5715660610799158E-4</v>
      </c>
      <c r="K13">
        <f t="shared" si="1"/>
        <v>2.263055127955079E-4</v>
      </c>
      <c r="L13">
        <f t="shared" si="1"/>
        <v>3.0802694797166361E-4</v>
      </c>
      <c r="M13">
        <f t="shared" si="1"/>
        <v>4.0232091163645855E-4</v>
      </c>
      <c r="N13">
        <f t="shared" si="1"/>
        <v>5.0918740378989294E-4</v>
      </c>
      <c r="O13">
        <f t="shared" si="1"/>
        <v>5.673353480498541E-4</v>
      </c>
    </row>
    <row r="14" spans="5:18">
      <c r="O14">
        <f>PI()*(R_fuel/100/t_ft_m )^2</f>
        <v>5.6733534804984998E-4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27"/>
  <sheetViews>
    <sheetView zoomScale="90" zoomScaleNormal="90" zoomScalePageLayoutView="90" workbookViewId="0">
      <selection activeCell="L20" sqref="L20"/>
    </sheetView>
  </sheetViews>
  <sheetFormatPr baseColWidth="10" defaultColWidth="8.83203125" defaultRowHeight="12" x14ac:dyDescent="0"/>
  <sheetData>
    <row r="6" spans="3:15">
      <c r="C6" t="s">
        <v>140</v>
      </c>
    </row>
    <row r="7" spans="3:15">
      <c r="D7" t="s">
        <v>141</v>
      </c>
      <c r="E7" t="s">
        <v>117</v>
      </c>
    </row>
    <row r="8" spans="3:15">
      <c r="C8" t="s">
        <v>142</v>
      </c>
      <c r="D8" s="12">
        <v>5.8147944193513099E-5</v>
      </c>
      <c r="E8" s="12">
        <f>Sheet6!O12</f>
        <v>5.8147944259961113E-5</v>
      </c>
    </row>
    <row r="9" spans="3:15">
      <c r="C9" t="s">
        <v>20</v>
      </c>
      <c r="E9">
        <f>dz/t_ft_m</f>
        <v>0.60006561679790038</v>
      </c>
    </row>
    <row r="10" spans="3:15">
      <c r="C10" t="s">
        <v>143</v>
      </c>
      <c r="E10">
        <f>Problem_Setup!A25</f>
        <v>2036.8528720414915</v>
      </c>
    </row>
    <row r="11" spans="3:15">
      <c r="C11" t="s">
        <v>144</v>
      </c>
      <c r="E11">
        <f>E10*E9*E8</f>
        <v>7.1071055936806363E-2</v>
      </c>
    </row>
    <row r="12" spans="3:15">
      <c r="M12">
        <f>PI()*(R_fuel/100/t_ft_m )^2</f>
        <v>5.6733534804984998E-4</v>
      </c>
    </row>
    <row r="13" spans="3:15">
      <c r="C13" t="s">
        <v>138</v>
      </c>
      <c r="D13">
        <f>Sheet6!F12</f>
        <v>6.286264244319664E-6</v>
      </c>
      <c r="E13">
        <f>Sheet6!G12</f>
        <v>1.885879273295899E-5</v>
      </c>
      <c r="F13">
        <f>Sheet6!H12</f>
        <v>3.1431321221598323E-5</v>
      </c>
      <c r="G13">
        <f>Sheet6!I12</f>
        <v>4.4003849710237649E-5</v>
      </c>
      <c r="H13">
        <f>Sheet6!J12</f>
        <v>5.6576378198876969E-5</v>
      </c>
      <c r="I13">
        <f>Sheet6!K12</f>
        <v>6.9148906687516322E-5</v>
      </c>
      <c r="J13">
        <f>Sheet6!L12</f>
        <v>8.1721435176155676E-5</v>
      </c>
      <c r="K13">
        <f>Sheet6!M12</f>
        <v>9.4293963664794921E-5</v>
      </c>
      <c r="L13">
        <f>Sheet6!N12</f>
        <v>1.0686649215343438E-4</v>
      </c>
      <c r="M13">
        <f>Sheet6!O12</f>
        <v>5.8147944259961113E-5</v>
      </c>
      <c r="N13">
        <f>Sheet6!P12</f>
        <v>8.3316267365745469E-5</v>
      </c>
      <c r="O13">
        <f>Sheet6!Q12</f>
        <v>8.8809647631618712E-5</v>
      </c>
    </row>
    <row r="14" spans="3:15">
      <c r="C14" t="s">
        <v>139</v>
      </c>
      <c r="D14">
        <f>D13</f>
        <v>6.286264244319664E-6</v>
      </c>
      <c r="E14">
        <f t="shared" ref="E14:O14" si="0">E13+D14</f>
        <v>2.5145056977278653E-5</v>
      </c>
      <c r="F14">
        <f t="shared" si="0"/>
        <v>5.6576378198876976E-5</v>
      </c>
      <c r="G14">
        <f t="shared" si="0"/>
        <v>1.0058022790911462E-4</v>
      </c>
      <c r="H14">
        <f t="shared" si="0"/>
        <v>1.5715660610799158E-4</v>
      </c>
      <c r="I14">
        <f t="shared" si="0"/>
        <v>2.263055127955079E-4</v>
      </c>
      <c r="J14">
        <f t="shared" si="0"/>
        <v>3.0802694797166361E-4</v>
      </c>
      <c r="K14">
        <f t="shared" si="0"/>
        <v>4.0232091163645855E-4</v>
      </c>
      <c r="L14">
        <f t="shared" si="0"/>
        <v>5.0918740378989294E-4</v>
      </c>
      <c r="M14">
        <f t="shared" si="0"/>
        <v>5.673353480498541E-4</v>
      </c>
      <c r="N14">
        <f t="shared" si="0"/>
        <v>6.5065161541559959E-4</v>
      </c>
      <c r="O14">
        <f t="shared" si="0"/>
        <v>7.394612630472183E-4</v>
      </c>
    </row>
    <row r="15" spans="3:15">
      <c r="C15" t="s">
        <v>144</v>
      </c>
      <c r="D15">
        <f>D13*dz/t_ft_m*Problem_Setup!$A$25</f>
        <v>7.6833573985731016E-3</v>
      </c>
      <c r="E15">
        <f>E13*dz/t_ft_m*Problem_Setup!$A$25</f>
        <v>2.3050072195719307E-2</v>
      </c>
      <c r="F15">
        <f>F13*dz/t_ft_m*Problem_Setup!$A$25</f>
        <v>3.841678699286552E-2</v>
      </c>
      <c r="G15">
        <f>G13*dz/t_ft_m*Problem_Setup!$A$25</f>
        <v>5.378350179001172E-2</v>
      </c>
      <c r="H15">
        <f>H13*dz/t_ft_m*Problem_Setup!$A$25</f>
        <v>6.9150216587157906E-2</v>
      </c>
      <c r="I15">
        <f>I13*dz/t_ft_m*Problem_Setup!$A$25</f>
        <v>8.4516931384304148E-2</v>
      </c>
      <c r="J15">
        <f>J13*dz/t_ft_m*Problem_Setup!$A$25</f>
        <v>9.9883646181450389E-2</v>
      </c>
      <c r="K15">
        <f>K13*dz/t_ft_m*Problem_Setup!$A$25</f>
        <v>0.11525036097859648</v>
      </c>
      <c r="L15">
        <f>L13*dz/t_ft_m*Problem_Setup!$A$25</f>
        <v>0.13061707577574286</v>
      </c>
      <c r="M15">
        <f>M13*dz/t_ft_m*Problem_Setup!$A$25</f>
        <v>7.1071055936806363E-2</v>
      </c>
      <c r="N15">
        <v>0</v>
      </c>
      <c r="O15">
        <v>0</v>
      </c>
    </row>
    <row r="16" spans="3:15">
      <c r="C16" t="s">
        <v>145</v>
      </c>
      <c r="D16">
        <f>D14*dz/t_ft_m*Problem_Setup!$A$25</f>
        <v>7.6833573985731016E-3</v>
      </c>
      <c r="E16">
        <f>E14*dz/t_ft_m*Problem_Setup!$A$25</f>
        <v>3.0733429594292407E-2</v>
      </c>
      <c r="F16">
        <f>F14*dz/t_ft_m*Problem_Setup!$A$25</f>
        <v>6.915021658715792E-2</v>
      </c>
      <c r="G16">
        <f>G14*dz/t_ft_m*Problem_Setup!$A$25</f>
        <v>0.12293371837716963</v>
      </c>
      <c r="H16">
        <f>H14*dz/t_ft_m*Problem_Setup!$A$25</f>
        <v>0.19208393496432752</v>
      </c>
      <c r="I16">
        <f>I14*dz/t_ft_m*Problem_Setup!$A$25</f>
        <v>0.27660086634863168</v>
      </c>
      <c r="J16">
        <f>J14*dz/t_ft_m*Problem_Setup!$A$25</f>
        <v>0.37648451253008208</v>
      </c>
      <c r="K16">
        <f>K14*dz/t_ft_m*Problem_Setup!$A$25</f>
        <v>0.49173487350867862</v>
      </c>
      <c r="L16">
        <f>L14*dz/t_ft_m*Problem_Setup!$A$25</f>
        <v>0.6223519492844215</v>
      </c>
      <c r="M16">
        <f>M14*dz/t_ft_m*Problem_Setup!$A$25</f>
        <v>0.69342300522122802</v>
      </c>
    </row>
    <row r="18" spans="4:18"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12</v>
      </c>
    </row>
    <row r="19" spans="4:18">
      <c r="L19">
        <v>0.130617075775743</v>
      </c>
      <c r="M19" s="12">
        <v>7.1071055936801103E-2</v>
      </c>
      <c r="N19">
        <v>0</v>
      </c>
      <c r="O19">
        <v>0</v>
      </c>
      <c r="P19" t="s">
        <v>146</v>
      </c>
      <c r="R19" t="e">
        <v>#REF!</v>
      </c>
    </row>
    <row r="20" spans="4:18">
      <c r="M20">
        <v>0.65692705772161497</v>
      </c>
      <c r="N20">
        <v>0.72799811351480304</v>
      </c>
      <c r="O20">
        <v>0.72799811351480304</v>
      </c>
      <c r="P20" t="s">
        <v>147</v>
      </c>
      <c r="R20">
        <v>4</v>
      </c>
    </row>
    <row r="21" spans="4:18">
      <c r="M21">
        <f>M20+M22</f>
        <v>0.72799811365842138</v>
      </c>
      <c r="N21">
        <f>N20+N22</f>
        <v>0.72799811351480304</v>
      </c>
      <c r="O21">
        <f>O20+O22</f>
        <v>0.72799811351480304</v>
      </c>
      <c r="P21" t="s">
        <v>148</v>
      </c>
      <c r="R21" t="e">
        <f>Sheet8!R19/Sheet8!R20</f>
        <v>#REF!</v>
      </c>
    </row>
    <row r="22" spans="4:18">
      <c r="D22">
        <f t="shared" ref="D22:O22" si="1">D15</f>
        <v>7.6833573985731016E-3</v>
      </c>
      <c r="E22">
        <f t="shared" si="1"/>
        <v>2.3050072195719307E-2</v>
      </c>
      <c r="F22">
        <f t="shared" si="1"/>
        <v>3.841678699286552E-2</v>
      </c>
      <c r="G22">
        <f t="shared" si="1"/>
        <v>5.378350179001172E-2</v>
      </c>
      <c r="H22">
        <f t="shared" si="1"/>
        <v>6.9150216587157906E-2</v>
      </c>
      <c r="I22">
        <f t="shared" si="1"/>
        <v>8.4516931384304148E-2</v>
      </c>
      <c r="J22">
        <f t="shared" si="1"/>
        <v>9.9883646181450389E-2</v>
      </c>
      <c r="K22">
        <f t="shared" si="1"/>
        <v>0.11525036097859648</v>
      </c>
      <c r="L22">
        <f t="shared" si="1"/>
        <v>0.13061707577574286</v>
      </c>
      <c r="M22">
        <f t="shared" si="1"/>
        <v>7.1071055936806363E-2</v>
      </c>
      <c r="N22">
        <f t="shared" si="1"/>
        <v>0</v>
      </c>
      <c r="O22">
        <f t="shared" si="1"/>
        <v>0</v>
      </c>
      <c r="P22" t="s">
        <v>149</v>
      </c>
    </row>
    <row r="23" spans="4:18">
      <c r="D23">
        <f t="shared" ref="D23:O23" si="2">C24</f>
        <v>0</v>
      </c>
      <c r="E23">
        <f t="shared" si="2"/>
        <v>7.6833573985731016E-3</v>
      </c>
      <c r="F23">
        <f t="shared" si="2"/>
        <v>3.0733429594292407E-2</v>
      </c>
      <c r="G23">
        <f t="shared" si="2"/>
        <v>6.915021658715792E-2</v>
      </c>
      <c r="H23">
        <f t="shared" si="2"/>
        <v>0.12293371837716963</v>
      </c>
      <c r="I23">
        <f t="shared" si="2"/>
        <v>0.19208393496432752</v>
      </c>
      <c r="J23">
        <f t="shared" si="2"/>
        <v>0.27660086634863168</v>
      </c>
      <c r="K23">
        <f t="shared" si="2"/>
        <v>0.37648451253008208</v>
      </c>
      <c r="L23">
        <f t="shared" si="2"/>
        <v>0.49173487350867862</v>
      </c>
      <c r="M23">
        <f t="shared" si="2"/>
        <v>0.6223519492844215</v>
      </c>
      <c r="N23">
        <f t="shared" si="2"/>
        <v>0.69342300522122802</v>
      </c>
      <c r="O23">
        <f t="shared" si="2"/>
        <v>0.69342300522122802</v>
      </c>
      <c r="P23" t="s">
        <v>147</v>
      </c>
    </row>
    <row r="24" spans="4:18">
      <c r="D24">
        <f t="shared" ref="D24:M24" si="3">D16</f>
        <v>7.6833573985731016E-3</v>
      </c>
      <c r="E24">
        <f t="shared" si="3"/>
        <v>3.0733429594292407E-2</v>
      </c>
      <c r="F24">
        <f t="shared" si="3"/>
        <v>6.915021658715792E-2</v>
      </c>
      <c r="G24">
        <f t="shared" si="3"/>
        <v>0.12293371837716963</v>
      </c>
      <c r="H24">
        <f t="shared" si="3"/>
        <v>0.19208393496432752</v>
      </c>
      <c r="I24">
        <f t="shared" si="3"/>
        <v>0.27660086634863168</v>
      </c>
      <c r="J24">
        <f t="shared" si="3"/>
        <v>0.37648451253008208</v>
      </c>
      <c r="K24">
        <f t="shared" si="3"/>
        <v>0.49173487350867862</v>
      </c>
      <c r="L24">
        <f t="shared" si="3"/>
        <v>0.6223519492844215</v>
      </c>
      <c r="M24">
        <f t="shared" si="3"/>
        <v>0.69342300522122802</v>
      </c>
      <c r="N24">
        <f>N23</f>
        <v>0.69342300522122802</v>
      </c>
      <c r="O24">
        <f>O23</f>
        <v>0.69342300522122802</v>
      </c>
      <c r="P24" t="s">
        <v>148</v>
      </c>
    </row>
    <row r="25" spans="4:18">
      <c r="D25">
        <f t="shared" ref="D25:M25" si="4">D19/D22</f>
        <v>0</v>
      </c>
      <c r="E25">
        <f t="shared" si="4"/>
        <v>0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1.0000000000000011</v>
      </c>
      <c r="M25">
        <f t="shared" si="4"/>
        <v>0.99999999999992595</v>
      </c>
      <c r="N25" s="3" t="s">
        <v>150</v>
      </c>
      <c r="O25" s="3" t="s">
        <v>150</v>
      </c>
      <c r="P25" t="s">
        <v>151</v>
      </c>
    </row>
    <row r="26" spans="4:18">
      <c r="D26" s="3" t="s">
        <v>150</v>
      </c>
      <c r="E26">
        <f t="shared" ref="E26:O26" si="5">E20/E23</f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1.0555555557863165</v>
      </c>
      <c r="N26">
        <f t="shared" si="5"/>
        <v>1.0498614958448693</v>
      </c>
      <c r="O26">
        <f t="shared" si="5"/>
        <v>1.0498614958448693</v>
      </c>
      <c r="P26" t="s">
        <v>152</v>
      </c>
    </row>
    <row r="27" spans="4:18">
      <c r="D27">
        <f>D21/D24</f>
        <v>0</v>
      </c>
      <c r="E27">
        <f t="shared" ref="E27:O27" si="6">E21/E24</f>
        <v>0</v>
      </c>
      <c r="F27">
        <f t="shared" si="6"/>
        <v>0</v>
      </c>
      <c r="G27">
        <f t="shared" si="6"/>
        <v>0</v>
      </c>
      <c r="H27">
        <f t="shared" si="6"/>
        <v>0</v>
      </c>
      <c r="I27">
        <f t="shared" si="6"/>
        <v>0</v>
      </c>
      <c r="J27">
        <f t="shared" si="6"/>
        <v>0</v>
      </c>
      <c r="K27">
        <f t="shared" si="6"/>
        <v>0</v>
      </c>
      <c r="L27">
        <f t="shared" si="6"/>
        <v>0</v>
      </c>
      <c r="M27">
        <f t="shared" si="6"/>
        <v>1.0498614960519843</v>
      </c>
      <c r="N27">
        <f t="shared" si="6"/>
        <v>1.0498614958448693</v>
      </c>
      <c r="O27">
        <f t="shared" si="6"/>
        <v>1.0498614958448693</v>
      </c>
      <c r="P27" t="s">
        <v>153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423702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Problem_Setup</vt:lpstr>
      <vt:lpstr>SS Rod Radial Profile_5</vt:lpstr>
      <vt:lpstr>SS Rod Radial Profile_10</vt:lpstr>
      <vt:lpstr>SS Rod Radial Profile_20</vt:lpstr>
      <vt:lpstr>Fuel_Centerline_Temperature</vt:lpstr>
      <vt:lpstr>Sheet6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Dances</cp:lastModifiedBy>
  <cp:revision>698</cp:revision>
  <dcterms:created xsi:type="dcterms:W3CDTF">2015-03-08T19:04:55Z</dcterms:created>
  <dcterms:modified xsi:type="dcterms:W3CDTF">2015-03-30T19:08:00Z</dcterms:modified>
  <dc:language>en-US</dc:language>
</cp:coreProperties>
</file>