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100" windowHeight="14860" tabRatio="628" firstSheet="2" activeTab="2"/>
  </bookViews>
  <sheets>
    <sheet name="Problem_Setup" sheetId="1" r:id="rId1"/>
    <sheet name="SS Rod Radial Profile_5" sheetId="2" r:id="rId2"/>
    <sheet name="SS Rod Radial Profile_10" sheetId="3" r:id="rId3"/>
    <sheet name="SS Rod Radial Profile_20" sheetId="4" r:id="rId4"/>
    <sheet name="Fuel_Centerline_Temperature" sheetId="5" r:id="rId5"/>
  </sheets>
  <definedNames>
    <definedName name="A_surf">Problem_Setup!$D$13</definedName>
    <definedName name="cp_in">Problem_Setup!$D$34</definedName>
    <definedName name="delta_clad">Problem_Setup!$H$34</definedName>
    <definedName name="delta_fluid">Problem_Setup!$H$35</definedName>
    <definedName name="delta_gap">Problem_Setup!$H$33</definedName>
    <definedName name="dT_clad">Problem_Setup!$H$34</definedName>
    <definedName name="dT_gap">Problem_Setup!$H$34</definedName>
    <definedName name="dz">Problem_Setup!$D$7</definedName>
    <definedName name="heat_gen">Problem_Setup!$D$26</definedName>
    <definedName name="hgap">Problem_Setup!$H$10</definedName>
    <definedName name="htc">Problem_Setup!$H$23</definedName>
    <definedName name="k_clad">Problem_Setup!$H$5</definedName>
    <definedName name="k_fuel">Problem_Setup!$H$4</definedName>
    <definedName name="L_chan">Problem_Setup!$D$6</definedName>
    <definedName name="M_dot">Problem_Setup!$D$30</definedName>
    <definedName name="Naxial">Problem_Setup!$D$5</definedName>
    <definedName name="q_dot">Problem_Setup!$D$25</definedName>
    <definedName name="q_lin">Problem_Setup!$D$23</definedName>
    <definedName name="R_fuel">Problem_Setup!$D$9</definedName>
    <definedName name="R_rod">Problem_Setup!$D$8</definedName>
    <definedName name="Rho_fuel">Problem_Setup!$H$6</definedName>
    <definedName name="t_btu_kw">Problem_Setup!$N$5</definedName>
    <definedName name="t_ft_m">Problem_Setup!$N$6</definedName>
    <definedName name="t_gap">Problem_Setup!$H$34</definedName>
    <definedName name="t_htc">Problem_Setup!$N$8</definedName>
    <definedName name="t_in">Problem_Setup!$D$32</definedName>
    <definedName name="t_R_K">Problem_Setup!$N$7</definedName>
    <definedName name="vol_fuel">Problem_Setup!$D$17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5" l="1"/>
  <c r="M16" i="5"/>
  <c r="N16" i="5"/>
  <c r="L17" i="5"/>
  <c r="M17" i="5"/>
  <c r="N17" i="5"/>
  <c r="M15" i="5"/>
  <c r="N15" i="5"/>
  <c r="L15" i="5"/>
  <c r="L9" i="5"/>
  <c r="M9" i="5"/>
  <c r="N9" i="5"/>
  <c r="L10" i="5"/>
  <c r="M10" i="5"/>
  <c r="N10" i="5"/>
  <c r="L11" i="5"/>
  <c r="M11" i="5"/>
  <c r="N11" i="5"/>
  <c r="P32" i="3"/>
  <c r="P33" i="3"/>
  <c r="P34" i="3"/>
  <c r="D19" i="3"/>
  <c r="D9" i="1"/>
  <c r="D8" i="1"/>
  <c r="H29" i="1"/>
  <c r="H34" i="1"/>
  <c r="C31" i="3"/>
  <c r="F9" i="5"/>
  <c r="C26" i="2"/>
  <c r="C31" i="2"/>
  <c r="H28" i="1"/>
  <c r="K10" i="5"/>
  <c r="K11" i="5"/>
  <c r="K9" i="5"/>
  <c r="C28" i="4"/>
  <c r="N7" i="1"/>
  <c r="C34" i="4"/>
  <c r="I11" i="5"/>
  <c r="F10" i="5"/>
  <c r="F11" i="5"/>
  <c r="H11" i="5"/>
  <c r="C26" i="4"/>
  <c r="C32" i="4"/>
  <c r="G11" i="5"/>
  <c r="C28" i="3"/>
  <c r="C34" i="3"/>
  <c r="I10" i="5"/>
  <c r="C27" i="3"/>
  <c r="C33" i="3"/>
  <c r="H10" i="5"/>
  <c r="C26" i="3"/>
  <c r="C32" i="3"/>
  <c r="G10" i="5"/>
  <c r="C28" i="2"/>
  <c r="C34" i="2"/>
  <c r="I9" i="5"/>
  <c r="C27" i="2"/>
  <c r="C33" i="2"/>
  <c r="H9" i="5"/>
  <c r="C32" i="2"/>
  <c r="G9" i="5"/>
  <c r="O34" i="4"/>
  <c r="D7" i="1"/>
  <c r="Z25" i="4"/>
  <c r="Z26" i="4"/>
  <c r="Z27" i="4"/>
  <c r="Z28" i="4"/>
  <c r="AA41" i="4"/>
  <c r="AA34" i="4"/>
  <c r="O41" i="4"/>
  <c r="D25" i="1"/>
  <c r="O30" i="4"/>
  <c r="H33" i="1"/>
  <c r="D10" i="1"/>
  <c r="O31" i="4"/>
  <c r="AA38" i="4"/>
  <c r="O30" i="3"/>
  <c r="D13" i="1"/>
  <c r="N8" i="1"/>
  <c r="H23" i="1"/>
  <c r="H30" i="1"/>
  <c r="H35" i="1"/>
  <c r="AA31" i="4"/>
  <c r="O38" i="4"/>
  <c r="AO41" i="4"/>
  <c r="N34" i="4"/>
  <c r="N41" i="4"/>
  <c r="N30" i="4"/>
  <c r="N31" i="4"/>
  <c r="N38" i="4"/>
  <c r="AN41" i="4"/>
  <c r="M34" i="4"/>
  <c r="M41" i="4"/>
  <c r="M30" i="4"/>
  <c r="M31" i="4"/>
  <c r="M38" i="4"/>
  <c r="AM41" i="4"/>
  <c r="L34" i="4"/>
  <c r="L41" i="4"/>
  <c r="L30" i="4"/>
  <c r="L31" i="4"/>
  <c r="L38" i="4"/>
  <c r="AL41" i="4"/>
  <c r="K34" i="4"/>
  <c r="K41" i="4"/>
  <c r="K30" i="4"/>
  <c r="K31" i="4"/>
  <c r="K38" i="4"/>
  <c r="AK41" i="4"/>
  <c r="J34" i="4"/>
  <c r="J41" i="4"/>
  <c r="J30" i="4"/>
  <c r="J31" i="4"/>
  <c r="J38" i="4"/>
  <c r="AJ41" i="4"/>
  <c r="I34" i="4"/>
  <c r="I41" i="4"/>
  <c r="I30" i="4"/>
  <c r="I31" i="4"/>
  <c r="I38" i="4"/>
  <c r="AI41" i="4"/>
  <c r="H34" i="4"/>
  <c r="H41" i="4"/>
  <c r="H30" i="4"/>
  <c r="H31" i="4"/>
  <c r="H38" i="4"/>
  <c r="AH41" i="4"/>
  <c r="G34" i="4"/>
  <c r="G41" i="4"/>
  <c r="G30" i="4"/>
  <c r="G31" i="4"/>
  <c r="G38" i="4"/>
  <c r="AG41" i="4"/>
  <c r="F34" i="4"/>
  <c r="F41" i="4"/>
  <c r="F30" i="4"/>
  <c r="F31" i="4"/>
  <c r="F38" i="4"/>
  <c r="AF41" i="4"/>
  <c r="E34" i="4"/>
  <c r="E41" i="4"/>
  <c r="E30" i="4"/>
  <c r="E31" i="4"/>
  <c r="E38" i="4"/>
  <c r="AE41" i="4"/>
  <c r="D34" i="4"/>
  <c r="D41" i="4"/>
  <c r="D30" i="4"/>
  <c r="D31" i="4"/>
  <c r="D38" i="4"/>
  <c r="AD41" i="4"/>
  <c r="C41" i="4"/>
  <c r="C30" i="4"/>
  <c r="C31" i="4"/>
  <c r="C38" i="4"/>
  <c r="AC41" i="4"/>
  <c r="Y34" i="4"/>
  <c r="Y41" i="4"/>
  <c r="X34" i="4"/>
  <c r="X41" i="4"/>
  <c r="W34" i="4"/>
  <c r="W41" i="4"/>
  <c r="V34" i="4"/>
  <c r="V41" i="4"/>
  <c r="U34" i="4"/>
  <c r="U41" i="4"/>
  <c r="T34" i="4"/>
  <c r="T41" i="4"/>
  <c r="S34" i="4"/>
  <c r="S41" i="4"/>
  <c r="R34" i="4"/>
  <c r="R41" i="4"/>
  <c r="Q34" i="4"/>
  <c r="Q41" i="4"/>
  <c r="P34" i="4"/>
  <c r="P41" i="4"/>
  <c r="O33" i="4"/>
  <c r="AA40" i="4"/>
  <c r="AA33" i="4"/>
  <c r="O40" i="4"/>
  <c r="AO40" i="4"/>
  <c r="N33" i="4"/>
  <c r="N40" i="4"/>
  <c r="AN40" i="4"/>
  <c r="M33" i="4"/>
  <c r="M40" i="4"/>
  <c r="AM40" i="4"/>
  <c r="L33" i="4"/>
  <c r="L40" i="4"/>
  <c r="AL40" i="4"/>
  <c r="K33" i="4"/>
  <c r="K40" i="4"/>
  <c r="AK40" i="4"/>
  <c r="J33" i="4"/>
  <c r="J40" i="4"/>
  <c r="AJ40" i="4"/>
  <c r="I33" i="4"/>
  <c r="I40" i="4"/>
  <c r="AI40" i="4"/>
  <c r="H33" i="4"/>
  <c r="H40" i="4"/>
  <c r="AH40" i="4"/>
  <c r="G33" i="4"/>
  <c r="G40" i="4"/>
  <c r="AG40" i="4"/>
  <c r="F33" i="4"/>
  <c r="F40" i="4"/>
  <c r="AF40" i="4"/>
  <c r="E33" i="4"/>
  <c r="E40" i="4"/>
  <c r="AE40" i="4"/>
  <c r="D33" i="4"/>
  <c r="D40" i="4"/>
  <c r="AD40" i="4"/>
  <c r="C27" i="4"/>
  <c r="C33" i="4"/>
  <c r="C40" i="4"/>
  <c r="AC40" i="4"/>
  <c r="Y33" i="4"/>
  <c r="Y40" i="4"/>
  <c r="X33" i="4"/>
  <c r="X40" i="4"/>
  <c r="W33" i="4"/>
  <c r="W40" i="4"/>
  <c r="V33" i="4"/>
  <c r="V40" i="4"/>
  <c r="U33" i="4"/>
  <c r="U40" i="4"/>
  <c r="T33" i="4"/>
  <c r="T40" i="4"/>
  <c r="S33" i="4"/>
  <c r="S40" i="4"/>
  <c r="R33" i="4"/>
  <c r="R40" i="4"/>
  <c r="Q33" i="4"/>
  <c r="Q40" i="4"/>
  <c r="P33" i="4"/>
  <c r="P40" i="4"/>
  <c r="O32" i="4"/>
  <c r="AA39" i="4"/>
  <c r="AA32" i="4"/>
  <c r="O39" i="4"/>
  <c r="AO39" i="4"/>
  <c r="N32" i="4"/>
  <c r="N39" i="4"/>
  <c r="AN39" i="4"/>
  <c r="M32" i="4"/>
  <c r="M39" i="4"/>
  <c r="AM39" i="4"/>
  <c r="L32" i="4"/>
  <c r="L39" i="4"/>
  <c r="AL39" i="4"/>
  <c r="K32" i="4"/>
  <c r="K39" i="4"/>
  <c r="AK39" i="4"/>
  <c r="J32" i="4"/>
  <c r="J39" i="4"/>
  <c r="AJ39" i="4"/>
  <c r="I32" i="4"/>
  <c r="I39" i="4"/>
  <c r="AI39" i="4"/>
  <c r="H32" i="4"/>
  <c r="H39" i="4"/>
  <c r="AH39" i="4"/>
  <c r="G32" i="4"/>
  <c r="G39" i="4"/>
  <c r="AG39" i="4"/>
  <c r="F32" i="4"/>
  <c r="F39" i="4"/>
  <c r="AF39" i="4"/>
  <c r="E32" i="4"/>
  <c r="E39" i="4"/>
  <c r="AE39" i="4"/>
  <c r="D32" i="4"/>
  <c r="D39" i="4"/>
  <c r="AD39" i="4"/>
  <c r="C39" i="4"/>
  <c r="AC39" i="4"/>
  <c r="Y32" i="4"/>
  <c r="Y39" i="4"/>
  <c r="X32" i="4"/>
  <c r="X39" i="4"/>
  <c r="W32" i="4"/>
  <c r="W39" i="4"/>
  <c r="V32" i="4"/>
  <c r="V39" i="4"/>
  <c r="U32" i="4"/>
  <c r="U39" i="4"/>
  <c r="T32" i="4"/>
  <c r="T39" i="4"/>
  <c r="S32" i="4"/>
  <c r="S39" i="4"/>
  <c r="R32" i="4"/>
  <c r="R39" i="4"/>
  <c r="Q32" i="4"/>
  <c r="Q39" i="4"/>
  <c r="P32" i="4"/>
  <c r="P39" i="4"/>
  <c r="Y38" i="4"/>
  <c r="X31" i="4"/>
  <c r="X38" i="4"/>
  <c r="W31" i="4"/>
  <c r="W38" i="4"/>
  <c r="V30" i="4"/>
  <c r="V31" i="4"/>
  <c r="V38" i="4"/>
  <c r="U30" i="4"/>
  <c r="U31" i="4"/>
  <c r="U38" i="4"/>
  <c r="T30" i="4"/>
  <c r="T31" i="4"/>
  <c r="T38" i="4"/>
  <c r="S30" i="4"/>
  <c r="S31" i="4"/>
  <c r="S38" i="4"/>
  <c r="R30" i="4"/>
  <c r="R31" i="4"/>
  <c r="R38" i="4"/>
  <c r="Q30" i="4"/>
  <c r="Q31" i="4"/>
  <c r="Q38" i="4"/>
  <c r="P30" i="4"/>
  <c r="P31" i="4"/>
  <c r="P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Y30" i="4"/>
  <c r="X30" i="4"/>
  <c r="W30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E12" i="4"/>
  <c r="E9" i="4"/>
  <c r="C22" i="4"/>
  <c r="D22" i="4"/>
  <c r="E22" i="4"/>
  <c r="E19" i="4"/>
  <c r="F22" i="4"/>
  <c r="E11" i="4"/>
  <c r="C21" i="4"/>
  <c r="D21" i="4"/>
  <c r="E21" i="4"/>
  <c r="F21" i="4"/>
  <c r="E10" i="4"/>
  <c r="C20" i="4"/>
  <c r="D20" i="4"/>
  <c r="E20" i="4"/>
  <c r="F20" i="4"/>
  <c r="C19" i="4"/>
  <c r="D19" i="4"/>
  <c r="C11" i="4"/>
  <c r="C12" i="4"/>
  <c r="O34" i="3"/>
  <c r="P24" i="3"/>
  <c r="P25" i="3"/>
  <c r="P26" i="3"/>
  <c r="P27" i="3"/>
  <c r="P41" i="3"/>
  <c r="O41" i="3"/>
  <c r="P38" i="3"/>
  <c r="P31" i="3"/>
  <c r="O38" i="3"/>
  <c r="AD41" i="3"/>
  <c r="N34" i="3"/>
  <c r="N41" i="3"/>
  <c r="N31" i="3"/>
  <c r="N38" i="3"/>
  <c r="AC41" i="3"/>
  <c r="M34" i="3"/>
  <c r="M41" i="3"/>
  <c r="M31" i="3"/>
  <c r="M38" i="3"/>
  <c r="AB41" i="3"/>
  <c r="L34" i="3"/>
  <c r="L41" i="3"/>
  <c r="L30" i="3"/>
  <c r="L31" i="3"/>
  <c r="L38" i="3"/>
  <c r="AA41" i="3"/>
  <c r="K34" i="3"/>
  <c r="K41" i="3"/>
  <c r="K30" i="3"/>
  <c r="K31" i="3"/>
  <c r="K38" i="3"/>
  <c r="Z41" i="3"/>
  <c r="J34" i="3"/>
  <c r="J41" i="3"/>
  <c r="J30" i="3"/>
  <c r="J31" i="3"/>
  <c r="J38" i="3"/>
  <c r="Y41" i="3"/>
  <c r="I34" i="3"/>
  <c r="I41" i="3"/>
  <c r="I30" i="3"/>
  <c r="I31" i="3"/>
  <c r="I38" i="3"/>
  <c r="X41" i="3"/>
  <c r="H34" i="3"/>
  <c r="H41" i="3"/>
  <c r="H30" i="3"/>
  <c r="H31" i="3"/>
  <c r="H38" i="3"/>
  <c r="W41" i="3"/>
  <c r="G34" i="3"/>
  <c r="G41" i="3"/>
  <c r="G30" i="3"/>
  <c r="G31" i="3"/>
  <c r="G38" i="3"/>
  <c r="V41" i="3"/>
  <c r="F34" i="3"/>
  <c r="F41" i="3"/>
  <c r="F30" i="3"/>
  <c r="F31" i="3"/>
  <c r="F38" i="3"/>
  <c r="U41" i="3"/>
  <c r="E34" i="3"/>
  <c r="E41" i="3"/>
  <c r="E30" i="3"/>
  <c r="E31" i="3"/>
  <c r="E38" i="3"/>
  <c r="T41" i="3"/>
  <c r="D34" i="3"/>
  <c r="D41" i="3"/>
  <c r="D30" i="3"/>
  <c r="D31" i="3"/>
  <c r="D38" i="3"/>
  <c r="S41" i="3"/>
  <c r="C41" i="3"/>
  <c r="C30" i="3"/>
  <c r="C38" i="3"/>
  <c r="R41" i="3"/>
  <c r="O33" i="3"/>
  <c r="P40" i="3"/>
  <c r="O40" i="3"/>
  <c r="AD40" i="3"/>
  <c r="N33" i="3"/>
  <c r="N40" i="3"/>
  <c r="AC40" i="3"/>
  <c r="M33" i="3"/>
  <c r="M40" i="3"/>
  <c r="AB40" i="3"/>
  <c r="L33" i="3"/>
  <c r="L40" i="3"/>
  <c r="AA40" i="3"/>
  <c r="K33" i="3"/>
  <c r="K40" i="3"/>
  <c r="Z40" i="3"/>
  <c r="J33" i="3"/>
  <c r="J40" i="3"/>
  <c r="Y40" i="3"/>
  <c r="I33" i="3"/>
  <c r="I40" i="3"/>
  <c r="X40" i="3"/>
  <c r="H33" i="3"/>
  <c r="H40" i="3"/>
  <c r="W40" i="3"/>
  <c r="G33" i="3"/>
  <c r="G40" i="3"/>
  <c r="V40" i="3"/>
  <c r="F33" i="3"/>
  <c r="F40" i="3"/>
  <c r="U40" i="3"/>
  <c r="E33" i="3"/>
  <c r="E40" i="3"/>
  <c r="T40" i="3"/>
  <c r="D33" i="3"/>
  <c r="D40" i="3"/>
  <c r="S40" i="3"/>
  <c r="C40" i="3"/>
  <c r="R40" i="3"/>
  <c r="O32" i="3"/>
  <c r="P39" i="3"/>
  <c r="O39" i="3"/>
  <c r="AD39" i="3"/>
  <c r="N32" i="3"/>
  <c r="N39" i="3"/>
  <c r="AC39" i="3"/>
  <c r="M32" i="3"/>
  <c r="M39" i="3"/>
  <c r="AB39" i="3"/>
  <c r="L32" i="3"/>
  <c r="L39" i="3"/>
  <c r="AA39" i="3"/>
  <c r="K32" i="3"/>
  <c r="K39" i="3"/>
  <c r="Z39" i="3"/>
  <c r="J32" i="3"/>
  <c r="J39" i="3"/>
  <c r="Y39" i="3"/>
  <c r="I32" i="3"/>
  <c r="I39" i="3"/>
  <c r="X39" i="3"/>
  <c r="H32" i="3"/>
  <c r="H39" i="3"/>
  <c r="W39" i="3"/>
  <c r="G32" i="3"/>
  <c r="G39" i="3"/>
  <c r="V39" i="3"/>
  <c r="F32" i="3"/>
  <c r="F39" i="3"/>
  <c r="U39" i="3"/>
  <c r="E32" i="3"/>
  <c r="E39" i="3"/>
  <c r="T39" i="3"/>
  <c r="D32" i="3"/>
  <c r="D39" i="3"/>
  <c r="S39" i="3"/>
  <c r="C39" i="3"/>
  <c r="R39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N30" i="3"/>
  <c r="M30" i="3"/>
  <c r="D24" i="3"/>
  <c r="P29" i="3"/>
  <c r="O24" i="3"/>
  <c r="N24" i="3"/>
  <c r="M24" i="3"/>
  <c r="L24" i="3"/>
  <c r="K24" i="3"/>
  <c r="J24" i="3"/>
  <c r="I24" i="3"/>
  <c r="H24" i="3"/>
  <c r="G24" i="3"/>
  <c r="F24" i="3"/>
  <c r="E24" i="3"/>
  <c r="E12" i="3"/>
  <c r="E9" i="3"/>
  <c r="C22" i="3"/>
  <c r="D22" i="3"/>
  <c r="E22" i="3"/>
  <c r="E19" i="3"/>
  <c r="F22" i="3"/>
  <c r="E11" i="3"/>
  <c r="C21" i="3"/>
  <c r="D21" i="3"/>
  <c r="E21" i="3"/>
  <c r="F21" i="3"/>
  <c r="E10" i="3"/>
  <c r="C20" i="3"/>
  <c r="D20" i="3"/>
  <c r="E20" i="3"/>
  <c r="F20" i="3"/>
  <c r="C19" i="3"/>
  <c r="C11" i="3"/>
  <c r="C12" i="3"/>
  <c r="J34" i="2"/>
  <c r="K24" i="2"/>
  <c r="K25" i="2"/>
  <c r="K41" i="2"/>
  <c r="K34" i="2"/>
  <c r="J41" i="2"/>
  <c r="K38" i="2"/>
  <c r="K31" i="2"/>
  <c r="J38" i="2"/>
  <c r="Y41" i="2"/>
  <c r="I34" i="2"/>
  <c r="I41" i="2"/>
  <c r="I31" i="2"/>
  <c r="I38" i="2"/>
  <c r="X41" i="2"/>
  <c r="H34" i="2"/>
  <c r="H41" i="2"/>
  <c r="H31" i="2"/>
  <c r="H38" i="2"/>
  <c r="W41" i="2"/>
  <c r="V41" i="2"/>
  <c r="F34" i="2"/>
  <c r="F41" i="2"/>
  <c r="F30" i="2"/>
  <c r="F31" i="2"/>
  <c r="F38" i="2"/>
  <c r="U41" i="2"/>
  <c r="E34" i="2"/>
  <c r="E41" i="2"/>
  <c r="E30" i="2"/>
  <c r="E31" i="2"/>
  <c r="E38" i="2"/>
  <c r="T41" i="2"/>
  <c r="D34" i="2"/>
  <c r="D41" i="2"/>
  <c r="D30" i="2"/>
  <c r="D31" i="2"/>
  <c r="D38" i="2"/>
  <c r="S41" i="2"/>
  <c r="C41" i="2"/>
  <c r="C30" i="2"/>
  <c r="C38" i="2"/>
  <c r="R41" i="2"/>
  <c r="G34" i="2"/>
  <c r="G41" i="2"/>
  <c r="G30" i="2"/>
  <c r="G31" i="2"/>
  <c r="G38" i="2"/>
  <c r="Q41" i="2"/>
  <c r="P41" i="2"/>
  <c r="O41" i="2"/>
  <c r="N41" i="2"/>
  <c r="M41" i="2"/>
  <c r="J33" i="2"/>
  <c r="K40" i="2"/>
  <c r="K33" i="2"/>
  <c r="J40" i="2"/>
  <c r="Y40" i="2"/>
  <c r="I33" i="2"/>
  <c r="I40" i="2"/>
  <c r="X40" i="2"/>
  <c r="H33" i="2"/>
  <c r="H40" i="2"/>
  <c r="W40" i="2"/>
  <c r="V40" i="2"/>
  <c r="F33" i="2"/>
  <c r="F40" i="2"/>
  <c r="U40" i="2"/>
  <c r="E33" i="2"/>
  <c r="E40" i="2"/>
  <c r="T40" i="2"/>
  <c r="D33" i="2"/>
  <c r="D40" i="2"/>
  <c r="S40" i="2"/>
  <c r="C40" i="2"/>
  <c r="R40" i="2"/>
  <c r="G33" i="2"/>
  <c r="G40" i="2"/>
  <c r="Q40" i="2"/>
  <c r="P40" i="2"/>
  <c r="O40" i="2"/>
  <c r="N40" i="2"/>
  <c r="M40" i="2"/>
  <c r="J32" i="2"/>
  <c r="K39" i="2"/>
  <c r="K32" i="2"/>
  <c r="J39" i="2"/>
  <c r="Y39" i="2"/>
  <c r="I32" i="2"/>
  <c r="I39" i="2"/>
  <c r="X39" i="2"/>
  <c r="H32" i="2"/>
  <c r="H39" i="2"/>
  <c r="W39" i="2"/>
  <c r="V39" i="2"/>
  <c r="F32" i="2"/>
  <c r="F39" i="2"/>
  <c r="U39" i="2"/>
  <c r="E32" i="2"/>
  <c r="E39" i="2"/>
  <c r="T39" i="2"/>
  <c r="D32" i="2"/>
  <c r="D39" i="2"/>
  <c r="S39" i="2"/>
  <c r="C39" i="2"/>
  <c r="R39" i="2"/>
  <c r="G32" i="2"/>
  <c r="G39" i="2"/>
  <c r="Q39" i="2"/>
  <c r="P39" i="2"/>
  <c r="O39" i="2"/>
  <c r="N39" i="2"/>
  <c r="M39" i="2"/>
  <c r="J37" i="2"/>
  <c r="I37" i="2"/>
  <c r="H37" i="2"/>
  <c r="G37" i="2"/>
  <c r="F37" i="2"/>
  <c r="E37" i="2"/>
  <c r="D37" i="2"/>
  <c r="C37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J30" i="2"/>
  <c r="I30" i="2"/>
  <c r="H30" i="2"/>
  <c r="D24" i="2"/>
  <c r="K29" i="2"/>
  <c r="J24" i="2"/>
  <c r="I24" i="2"/>
  <c r="H24" i="2"/>
  <c r="G24" i="2"/>
  <c r="F24" i="2"/>
  <c r="E24" i="2"/>
  <c r="E12" i="2"/>
  <c r="E9" i="2"/>
  <c r="C22" i="2"/>
  <c r="D22" i="2"/>
  <c r="E22" i="2"/>
  <c r="E19" i="2"/>
  <c r="F22" i="2"/>
  <c r="E11" i="2"/>
  <c r="C21" i="2"/>
  <c r="D21" i="2"/>
  <c r="E21" i="2"/>
  <c r="F21" i="2"/>
  <c r="E10" i="2"/>
  <c r="C20" i="2"/>
  <c r="D20" i="2"/>
  <c r="E20" i="2"/>
  <c r="F20" i="2"/>
  <c r="C19" i="2"/>
  <c r="D19" i="2"/>
  <c r="C11" i="2"/>
  <c r="C12" i="2"/>
  <c r="D24" i="1"/>
  <c r="B37" i="1"/>
  <c r="D37" i="1"/>
  <c r="D26" i="1"/>
  <c r="H24" i="1"/>
  <c r="H18" i="1"/>
  <c r="D17" i="1"/>
  <c r="D18" i="1"/>
  <c r="D15" i="1"/>
  <c r="D14" i="1"/>
  <c r="D11" i="1"/>
</calcChain>
</file>

<file path=xl/sharedStrings.xml><?xml version="1.0" encoding="utf-8"?>
<sst xmlns="http://schemas.openxmlformats.org/spreadsheetml/2006/main" count="330" uniqueCount="130">
  <si>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</si>
  <si>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</si>
  <si>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</si>
  <si>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</si>
  <si>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</si>
  <si>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</si>
  <si>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</si>
  <si>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</si>
  <si>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</si>
  <si>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</si>
  <si>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</si>
  <si>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</si>
  <si>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</si>
  <si>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</si>
  <si>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</si>
  <si>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</si>
  <si>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</si>
  <si>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</si>
  <si>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</si>
  <si>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</si>
  <si>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</si>
  <si>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</si>
  <si>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</si>
  <si>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</si>
  <si>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</si>
  <si>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</si>
  <si>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</si>
  <si>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</si>
  <si>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</si>
  <si>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</si>
  <si>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</si>
  <si>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</si>
  <si>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</si>
  <si>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</si>
  <si>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</si>
  <si>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</si>
  <si>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</si>
  <si>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</si>
  <si>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</si>
  <si>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</si>
  <si>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m</t>
  </si>
  <si>
    <t>kl</t>
  </si>
  <si>
    <t>btu/hr-ft-F</t>
  </si>
  <si>
    <t>volume fuel</t>
  </si>
  <si>
    <t>m^3</t>
  </si>
  <si>
    <t>De</t>
  </si>
  <si>
    <t>Ft^2</t>
  </si>
  <si>
    <t>mass fuel</t>
  </si>
  <si>
    <t>kg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</si>
  <si>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</si>
  <si>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</si>
  <si>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</si>
  <si>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</si>
  <si>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</si>
  <si>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</si>
  <si>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</si>
  <si>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</si>
  <si>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</si>
  <si>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</si>
  <si>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q'</t>
  </si>
  <si>
    <t>kW/m</t>
  </si>
  <si>
    <t>q</t>
  </si>
  <si>
    <t>kW</t>
  </si>
  <si>
    <t>Tw-Tf</t>
  </si>
  <si>
    <t>q_dot</t>
  </si>
  <si>
    <t>kW/m^3</t>
  </si>
  <si>
    <t>q''</t>
  </si>
  <si>
    <t>kW/m^2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</si>
  <si>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</si>
  <si>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</si>
  <si>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</si>
  <si>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</si>
  <si>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</si>
  <si>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</si>
  <si>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</si>
  <si>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</si>
  <si>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</si>
  <si>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</si>
  <si>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</si>
  <si>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</si>
  <si>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</si>
  <si>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</si>
  <si>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</si>
  <si>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</si>
  <si>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</si>
  <si>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</si>
  <si>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</si>
  <si>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</si>
  <si>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</si>
  <si>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</si>
  <si>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</si>
  <si>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</si>
  <si>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</si>
  <si>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</si>
  <si>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</si>
  <si>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</si>
  <si>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</si>
  <si>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10 Radial Nodes</t>
  </si>
  <si>
    <t>Fluid Energy Balance</t>
  </si>
  <si>
    <t>Raw Data</t>
  </si>
  <si>
    <t>flow rate</t>
  </si>
  <si>
    <t>enthalpy</t>
  </si>
  <si>
    <t>lbm/sec</t>
  </si>
  <si>
    <t>btu/lbm</t>
  </si>
  <si>
    <t>Inlet</t>
  </si>
  <si>
    <t>Semi-implicit Trans</t>
  </si>
  <si>
    <t>Implicit SS</t>
  </si>
  <si>
    <t>Implicit Trans</t>
  </si>
  <si>
    <t>Output</t>
  </si>
  <si>
    <t>Enthalpy Change</t>
  </si>
  <si>
    <t>Total Power</t>
  </si>
  <si>
    <t>Rod Energy Rate</t>
  </si>
  <si>
    <t>Analytical</t>
  </si>
  <si>
    <t>Error</t>
  </si>
  <si>
    <t>FLUID</t>
  </si>
  <si>
    <t>dr [ft]</t>
  </si>
  <si>
    <t>r [ft]</t>
  </si>
  <si>
    <t>T(r) [F]</t>
  </si>
  <si>
    <t>Relative Temperature Difference</t>
  </si>
  <si>
    <t>r [cm]</t>
  </si>
  <si>
    <t>Difference</t>
  </si>
  <si>
    <t>T(r)-T(s) [C]</t>
  </si>
  <si>
    <t>Absolute Temperature Difference</t>
  </si>
  <si>
    <t>Relative Difference</t>
  </si>
  <si>
    <t>DATA</t>
  </si>
  <si>
    <t>Axial Centerline Temperature [K]</t>
  </si>
  <si>
    <t>Fuel Centerline Temperature Error [%]</t>
  </si>
  <si>
    <t>NR</t>
  </si>
  <si>
    <t>EXACT</t>
  </si>
  <si>
    <t>N_radial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</si>
</sst>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0"/>
    <numFmt numFmtId="167" formatCode="0.0000"/>
    <numFmt numFmtId="168" formatCode="0.00E+000"/>
    <numFmt numFmtId="171" formatCode="0.00000000"/>
    <numFmt numFmtId="172" formatCode="0.000%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Profile_5'!$C$31:$J$31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90.59528239739544</c:v>
                </c:pt>
                <c:pt idx="2">
                  <c:v>84.74856272859854</c:v>
                </c:pt>
                <c:pt idx="3">
                  <c:v>73.05512339100478</c:v>
                </c:pt>
                <c:pt idx="4">
                  <c:v>55.51496438461386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Profile_5'!$C$32:$J$32</c:f>
              <c:numCache>
                <c:formatCode>0.000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81.41848055555556</c:v>
                </c:pt>
                <c:pt idx="3">
                  <c:v>70.9436561111111</c:v>
                </c:pt>
                <c:pt idx="4">
                  <c:v>54.48638277777775</c:v>
                </c:pt>
                <c:pt idx="5">
                  <c:v>32.26015611111108</c:v>
                </c:pt>
                <c:pt idx="6">
                  <c:v>5.479050000000016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Profile_5'!$C$33:$J$33</c:f>
              <c:numCache>
                <c:formatCode>0.000</c:formatCode>
                <c:ptCount val="8"/>
                <c:pt idx="0">
                  <c:v>88.44823703703696</c:v>
                </c:pt>
                <c:pt idx="1">
                  <c:v>86.73207944444439</c:v>
                </c:pt>
                <c:pt idx="2">
                  <c:v>81.58360666666663</c:v>
                </c:pt>
                <c:pt idx="3">
                  <c:v>71.0842905555555</c:v>
                </c:pt>
                <c:pt idx="4">
                  <c:v>54.59194666666665</c:v>
                </c:pt>
                <c:pt idx="5">
                  <c:v>32.32435888888883</c:v>
                </c:pt>
                <c:pt idx="6">
                  <c:v>5.490174444444418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Profile_5'!$C$34:$J$34</c:f>
              <c:numCache>
                <c:formatCode>0.000</c:formatCode>
                <c:ptCount val="8"/>
                <c:pt idx="0">
                  <c:v>88.23573351851856</c:v>
                </c:pt>
                <c:pt idx="1">
                  <c:v>86.52449166666669</c:v>
                </c:pt>
                <c:pt idx="2">
                  <c:v>81.39076611111111</c:v>
                </c:pt>
                <c:pt idx="3">
                  <c:v>70.9200522222222</c:v>
                </c:pt>
                <c:pt idx="4">
                  <c:v>54.46866499999999</c:v>
                </c:pt>
                <c:pt idx="5">
                  <c:v>32.24938055555558</c:v>
                </c:pt>
                <c:pt idx="6">
                  <c:v>5.477182777777772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30920"/>
        <c:axId val="2054337896"/>
      </c:scatterChart>
      <c:valAx>
        <c:axId val="205433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37896"/>
        <c:crossesAt val="0.0"/>
        <c:crossBetween val="midCat"/>
      </c:valAx>
      <c:valAx>
        <c:axId val="2054337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309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Profile_20'!$C$31:$Y$31</c:f>
              <c:numCache>
                <c:formatCode>0.000</c:formatCode>
                <c:ptCount val="23"/>
                <c:pt idx="0">
                  <c:v>92.05696231459466</c:v>
                </c:pt>
                <c:pt idx="1">
                  <c:v>91.9791213722586</c:v>
                </c:pt>
                <c:pt idx="2">
                  <c:v>91.66775760291439</c:v>
                </c:pt>
                <c:pt idx="3">
                  <c:v>91.04503006422597</c:v>
                </c:pt>
                <c:pt idx="4">
                  <c:v>90.11093875619333</c:v>
                </c:pt>
                <c:pt idx="5">
                  <c:v>88.86548367881647</c:v>
                </c:pt>
                <c:pt idx="6">
                  <c:v>87.3086648320954</c:v>
                </c:pt>
                <c:pt idx="7">
                  <c:v>85.44048221603013</c:v>
                </c:pt>
                <c:pt idx="8">
                  <c:v>83.26093583062064</c:v>
                </c:pt>
                <c:pt idx="9">
                  <c:v>80.77002567586693</c:v>
                </c:pt>
                <c:pt idx="10">
                  <c:v>77.96775175176903</c:v>
                </c:pt>
                <c:pt idx="11">
                  <c:v>74.85411405832693</c:v>
                </c:pt>
                <c:pt idx="12">
                  <c:v>71.42911259554057</c:v>
                </c:pt>
                <c:pt idx="13">
                  <c:v>67.69274736341005</c:v>
                </c:pt>
                <c:pt idx="14">
                  <c:v>63.6450183619353</c:v>
                </c:pt>
                <c:pt idx="15">
                  <c:v>59.28592559111627</c:v>
                </c:pt>
                <c:pt idx="16">
                  <c:v>54.6154690509533</c:v>
                </c:pt>
                <c:pt idx="17">
                  <c:v>49.6336487414459</c:v>
                </c:pt>
                <c:pt idx="18">
                  <c:v>44.3404646625937</c:v>
                </c:pt>
                <c:pt idx="19">
                  <c:v>38.73591681439815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Profile_20'!$C$32:$Y$32</c:f>
              <c:numCache>
                <c:formatCode>0.000</c:formatCode>
                <c:ptCount val="23"/>
                <c:pt idx="0">
                  <c:v>91.48061703703699</c:v>
                </c:pt>
                <c:pt idx="1">
                  <c:v>91.38942388888887</c:v>
                </c:pt>
                <c:pt idx="2">
                  <c:v>91.11584444444443</c:v>
                </c:pt>
                <c:pt idx="3">
                  <c:v>90.55792888888884</c:v>
                </c:pt>
                <c:pt idx="4">
                  <c:v>89.68154444444438</c:v>
                </c:pt>
                <c:pt idx="5">
                  <c:v>88.48693388888888</c:v>
                </c:pt>
                <c:pt idx="6">
                  <c:v>86.97574722222221</c:v>
                </c:pt>
                <c:pt idx="7">
                  <c:v>85.14927166666666</c:v>
                </c:pt>
                <c:pt idx="8">
                  <c:v>83.0084194444444</c:v>
                </c:pt>
                <c:pt idx="9">
                  <c:v>80.55384111111108</c:v>
                </c:pt>
                <c:pt idx="10">
                  <c:v>77.78600777777778</c:v>
                </c:pt>
                <c:pt idx="11">
                  <c:v>74.7052661111111</c:v>
                </c:pt>
                <c:pt idx="12">
                  <c:v>71.31187499999997</c:v>
                </c:pt>
                <c:pt idx="13">
                  <c:v>67.60602888888886</c:v>
                </c:pt>
                <c:pt idx="14">
                  <c:v>63.58787277777778</c:v>
                </c:pt>
                <c:pt idx="15">
                  <c:v>59.25751666666662</c:v>
                </c:pt>
                <c:pt idx="16">
                  <c:v>54.61504166666663</c:v>
                </c:pt>
                <c:pt idx="17">
                  <c:v>49.66050611111105</c:v>
                </c:pt>
                <c:pt idx="18">
                  <c:v>44.39395222222218</c:v>
                </c:pt>
                <c:pt idx="19">
                  <c:v>38.81540611111107</c:v>
                </c:pt>
                <c:pt idx="20">
                  <c:v>32.92779611111106</c:v>
                </c:pt>
                <c:pt idx="21">
                  <c:v>5.59249222222219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Profile_20'!$C$33:$Y$33</c:f>
              <c:numCache>
                <c:formatCode>0.000</c:formatCode>
                <c:ptCount val="23"/>
                <c:pt idx="0">
                  <c:v>91.63475740740738</c:v>
                </c:pt>
                <c:pt idx="1">
                  <c:v>91.54336444444444</c:v>
                </c:pt>
                <c:pt idx="2">
                  <c:v>91.26918555555557</c:v>
                </c:pt>
                <c:pt idx="3">
                  <c:v>90.71005055555557</c:v>
                </c:pt>
                <c:pt idx="4">
                  <c:v>89.83176000000001</c:v>
                </c:pt>
                <c:pt idx="5">
                  <c:v>88.63456888888891</c:v>
                </c:pt>
                <c:pt idx="6">
                  <c:v>87.1201477777778</c:v>
                </c:pt>
                <c:pt idx="7">
                  <c:v>85.28980666666668</c:v>
                </c:pt>
                <c:pt idx="8">
                  <c:v>83.144485</c:v>
                </c:pt>
                <c:pt idx="9">
                  <c:v>80.68486222222222</c:v>
                </c:pt>
                <c:pt idx="10">
                  <c:v>77.91144222222222</c:v>
                </c:pt>
                <c:pt idx="11">
                  <c:v>74.8246077777778</c:v>
                </c:pt>
                <c:pt idx="12">
                  <c:v>71.42465611111113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59.34823444444444</c:v>
                </c:pt>
                <c:pt idx="16">
                  <c:v>54.69776444444442</c:v>
                </c:pt>
                <c:pt idx="17">
                  <c:v>49.73499388888892</c:v>
                </c:pt>
                <c:pt idx="18">
                  <c:v>44.46001499999997</c:v>
                </c:pt>
                <c:pt idx="19">
                  <c:v>38.87290611111111</c:v>
                </c:pt>
                <c:pt idx="20">
                  <c:v>32.97664833333335</c:v>
                </c:pt>
                <c:pt idx="21">
                  <c:v>5.600963333333324</c:v>
                </c:pt>
                <c:pt idx="2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Profile_20'!$C$34:$Y$34</c:f>
              <c:numCache>
                <c:formatCode>0.000</c:formatCode>
                <c:ptCount val="23"/>
                <c:pt idx="0">
                  <c:v>91.45266962962965</c:v>
                </c:pt>
                <c:pt idx="1">
                  <c:v>91.3615127777778</c:v>
                </c:pt>
                <c:pt idx="2">
                  <c:v>91.08804222222224</c:v>
                </c:pt>
                <c:pt idx="3">
                  <c:v>90.53034777777782</c:v>
                </c:pt>
                <c:pt idx="4">
                  <c:v>89.65430888888895</c:v>
                </c:pt>
                <c:pt idx="5">
                  <c:v>88.4601661111111</c:v>
                </c:pt>
                <c:pt idx="6">
                  <c:v>86.94956666666668</c:v>
                </c:pt>
                <c:pt idx="7">
                  <c:v>85.1237916666667</c:v>
                </c:pt>
                <c:pt idx="8">
                  <c:v>82.98374944444447</c:v>
                </c:pt>
                <c:pt idx="9">
                  <c:v>80.53008611111112</c:v>
                </c:pt>
                <c:pt idx="10">
                  <c:v>77.76326555555556</c:v>
                </c:pt>
                <c:pt idx="11">
                  <c:v>74.68362888888893</c:v>
                </c:pt>
                <c:pt idx="12">
                  <c:v>71.29142722222222</c:v>
                </c:pt>
                <c:pt idx="13">
                  <c:v>67.58684777777781</c:v>
                </c:pt>
                <c:pt idx="14">
                  <c:v>63.5700277777778</c:v>
                </c:pt>
                <c:pt idx="15">
                  <c:v>59.24106888888894</c:v>
                </c:pt>
                <c:pt idx="16">
                  <c:v>54.60004333333334</c:v>
                </c:pt>
                <c:pt idx="17">
                  <c:v>49.64700166666666</c:v>
                </c:pt>
                <c:pt idx="18">
                  <c:v>44.38197500000001</c:v>
                </c:pt>
                <c:pt idx="19">
                  <c:v>38.80498166666668</c:v>
                </c:pt>
                <c:pt idx="20">
                  <c:v>32.9189388888889</c:v>
                </c:pt>
                <c:pt idx="21">
                  <c:v>5.590956666666658</c:v>
                </c:pt>
                <c:pt idx="2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13816"/>
        <c:axId val="2054719608"/>
      </c:scatterChart>
      <c:valAx>
        <c:axId val="205471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19608"/>
        <c:crossesAt val="0.0"/>
        <c:crossBetween val="midCat"/>
      </c:valAx>
      <c:valAx>
        <c:axId val="2054719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1381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Profile_20'!$AB$39:$AB$39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Profile_20'!$AC$39:$AM$39</c:f>
              <c:numCache>
                <c:formatCode>0.000%</c:formatCode>
                <c:ptCount val="11"/>
                <c:pt idx="0">
                  <c:v>-0.000333024921547032</c:v>
                </c:pt>
                <c:pt idx="1">
                  <c:v>-0.000367604684341002</c:v>
                </c:pt>
                <c:pt idx="2">
                  <c:v>-0.000270157256449537</c:v>
                </c:pt>
                <c:pt idx="3">
                  <c:v>-0.000102661805676226</c:v>
                </c:pt>
                <c:pt idx="4">
                  <c:v>4.69734893041001E-5</c:v>
                </c:pt>
                <c:pt idx="5">
                  <c:v>0.000179615051505948</c:v>
                </c:pt>
                <c:pt idx="6">
                  <c:v>0.000299737955385724</c:v>
                </c:pt>
                <c:pt idx="7">
                  <c:v>0.000410867900305812</c:v>
                </c:pt>
                <c:pt idx="8">
                  <c:v>0.000515558377566645</c:v>
                </c:pt>
                <c:pt idx="9">
                  <c:v>0.000615689345241765</c:v>
                </c:pt>
                <c:pt idx="10">
                  <c:v>0.000712683755666987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Profile_20'!$AB$41:$AB$41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Profile_20'!$AC$41:$AM$41</c:f>
              <c:numCache>
                <c:formatCode>0.000%</c:formatCode>
                <c:ptCount val="11"/>
                <c:pt idx="0">
                  <c:v>-0.000409077836253299</c:v>
                </c:pt>
                <c:pt idx="1">
                  <c:v>-0.000443579082531197</c:v>
                </c:pt>
                <c:pt idx="2">
                  <c:v>-0.000345911166532837</c:v>
                </c:pt>
                <c:pt idx="3">
                  <c:v>-0.000177965035412474</c:v>
                </c:pt>
                <c:pt idx="4">
                  <c:v>-2.76149121903542E-5</c:v>
                </c:pt>
                <c:pt idx="5">
                  <c:v>0.00010600350428835</c:v>
                </c:pt>
                <c:pt idx="6">
                  <c:v>0.000227362969627856</c:v>
                </c:pt>
                <c:pt idx="7">
                  <c:v>0.00033997934170398</c:v>
                </c:pt>
                <c:pt idx="8">
                  <c:v>0.000446403202868072</c:v>
                </c:pt>
                <c:pt idx="9">
                  <c:v>0.000548511288817261</c:v>
                </c:pt>
                <c:pt idx="10">
                  <c:v>0.000647717020174609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Profile_20'!$AB$40:$AB$40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Profile_20'!$AC$40:$AM$40</c:f>
              <c:numCache>
                <c:formatCode>0.000%</c:formatCode>
                <c:ptCount val="11"/>
                <c:pt idx="0">
                  <c:v>8.64862236498333E-5</c:v>
                </c:pt>
                <c:pt idx="1">
                  <c:v>5.14743868419186E-5</c:v>
                </c:pt>
                <c:pt idx="2">
                  <c:v>0.0001477086755566</c:v>
                </c:pt>
                <c:pt idx="3">
                  <c:v>0.000312718715143938</c:v>
                </c:pt>
                <c:pt idx="4">
                  <c:v>0.000458410967461249</c:v>
                </c:pt>
                <c:pt idx="5">
                  <c:v>0.000585663462605051</c:v>
                </c:pt>
                <c:pt idx="6">
                  <c:v>0.000698977749693827</c:v>
                </c:pt>
                <c:pt idx="7">
                  <c:v>0.000801905262944161</c:v>
                </c:pt>
                <c:pt idx="8">
                  <c:v>0.000897030561787541</c:v>
                </c:pt>
                <c:pt idx="9">
                  <c:v>0.000986263001585394</c:v>
                </c:pt>
                <c:pt idx="10">
                  <c:v>0.00107105941761128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64344"/>
        <c:axId val="2054767672"/>
      </c:scatterChart>
      <c:valAx>
        <c:axId val="205476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67672"/>
        <c:crossesAt val="0.0"/>
        <c:crossBetween val="midCat"/>
      </c:valAx>
      <c:valAx>
        <c:axId val="2054767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6434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Profile_20'!$C$38:$AO$38</c:f>
              <c:numCache>
                <c:formatCode>0.000</c:formatCode>
                <c:ptCount val="39"/>
                <c:pt idx="0">
                  <c:v>386.9552427764049</c:v>
                </c:pt>
                <c:pt idx="1">
                  <c:v>386.8774018340687</c:v>
                </c:pt>
                <c:pt idx="2">
                  <c:v>386.5660380647246</c:v>
                </c:pt>
                <c:pt idx="3">
                  <c:v>385.9433105260362</c:v>
                </c:pt>
                <c:pt idx="4">
                  <c:v>385.0092192180035</c:v>
                </c:pt>
                <c:pt idx="5">
                  <c:v>383.7637641406267</c:v>
                </c:pt>
                <c:pt idx="6">
                  <c:v>382.2069452939056</c:v>
                </c:pt>
                <c:pt idx="7">
                  <c:v>380.3387626778404</c:v>
                </c:pt>
                <c:pt idx="8">
                  <c:v>378.1592162924308</c:v>
                </c:pt>
                <c:pt idx="9">
                  <c:v>375.6683061376771</c:v>
                </c:pt>
                <c:pt idx="10">
                  <c:v>372.8660322135792</c:v>
                </c:pt>
                <c:pt idx="11">
                  <c:v>369.7523945201371</c:v>
                </c:pt>
                <c:pt idx="12">
                  <c:v>366.3273930573508</c:v>
                </c:pt>
                <c:pt idx="13">
                  <c:v>362.5910278252202</c:v>
                </c:pt>
                <c:pt idx="14">
                  <c:v>358.5432988237454</c:v>
                </c:pt>
                <c:pt idx="15">
                  <c:v>354.1842060529265</c:v>
                </c:pt>
                <c:pt idx="16">
                  <c:v>349.5137495127635</c:v>
                </c:pt>
                <c:pt idx="17">
                  <c:v>344.5319292032561</c:v>
                </c:pt>
                <c:pt idx="18">
                  <c:v>339.238745124404</c:v>
                </c:pt>
                <c:pt idx="19">
                  <c:v>333.6341972762083</c:v>
                </c:pt>
                <c:pt idx="20">
                  <c:v>327.7575945664855</c:v>
                </c:pt>
                <c:pt idx="21">
                  <c:v>300.3858901631995</c:v>
                </c:pt>
                <c:pt idx="22">
                  <c:v>294.8982804618102</c:v>
                </c:pt>
                <c:pt idx="24">
                  <c:v>290.9345519809411</c:v>
                </c:pt>
                <c:pt idx="26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Profile_20'!$C$39:$AO$39</c:f>
              <c:numCache>
                <c:formatCode>0.000</c:formatCode>
                <c:ptCount val="39"/>
                <c:pt idx="0">
                  <c:v>386.826377037037</c:v>
                </c:pt>
                <c:pt idx="1">
                  <c:v>386.7351838888889</c:v>
                </c:pt>
                <c:pt idx="2">
                  <c:v>386.4616044444444</c:v>
                </c:pt>
                <c:pt idx="3">
                  <c:v>385.9036888888889</c:v>
                </c:pt>
                <c:pt idx="4">
                  <c:v>385.0273044444444</c:v>
                </c:pt>
                <c:pt idx="5">
                  <c:v>383.832693888889</c:v>
                </c:pt>
                <c:pt idx="6">
                  <c:v>382.3215072222222</c:v>
                </c:pt>
                <c:pt idx="7">
                  <c:v>380.4950316666667</c:v>
                </c:pt>
                <c:pt idx="8">
                  <c:v>378.3541794444444</c:v>
                </c:pt>
                <c:pt idx="9">
                  <c:v>375.8996011111111</c:v>
                </c:pt>
                <c:pt idx="10">
                  <c:v>373.1317677777778</c:v>
                </c:pt>
                <c:pt idx="11">
                  <c:v>370.0510261111111</c:v>
                </c:pt>
                <c:pt idx="12">
                  <c:v>366.657635</c:v>
                </c:pt>
                <c:pt idx="13">
                  <c:v>362.9517888888889</c:v>
                </c:pt>
                <c:pt idx="14">
                  <c:v>358.9336327777778</c:v>
                </c:pt>
                <c:pt idx="15">
                  <c:v>354.6032766666666</c:v>
                </c:pt>
                <c:pt idx="16">
                  <c:v>349.9608016666666</c:v>
                </c:pt>
                <c:pt idx="17">
                  <c:v>345.0062661111111</c:v>
                </c:pt>
                <c:pt idx="18">
                  <c:v>339.7397122222222</c:v>
                </c:pt>
                <c:pt idx="19">
                  <c:v>334.1611661111111</c:v>
                </c:pt>
                <c:pt idx="20">
                  <c:v>328.2735561111111</c:v>
                </c:pt>
                <c:pt idx="21">
                  <c:v>300.9382522222222</c:v>
                </c:pt>
                <c:pt idx="22">
                  <c:v>295.34576</c:v>
                </c:pt>
                <c:pt idx="24">
                  <c:v>290.9345519809411</c:v>
                </c:pt>
                <c:pt idx="25" formatCode="General">
                  <c:v>0.0</c:v>
                </c:pt>
                <c:pt idx="26" formatCode="0.000%">
                  <c:v>-0.000333024921547032</c:v>
                </c:pt>
                <c:pt idx="27" formatCode="0.000%">
                  <c:v>-0.000367604684341002</c:v>
                </c:pt>
                <c:pt idx="28" formatCode="0.000%">
                  <c:v>-0.000270157256449537</c:v>
                </c:pt>
                <c:pt idx="29" formatCode="0.000%">
                  <c:v>-0.000102661805676226</c:v>
                </c:pt>
                <c:pt idx="30" formatCode="0.000%">
                  <c:v>4.69734893041001E-5</c:v>
                </c:pt>
                <c:pt idx="31" formatCode="0.000%">
                  <c:v>0.000179615051505948</c:v>
                </c:pt>
                <c:pt idx="32" formatCode="0.000%">
                  <c:v>0.000299737955385724</c:v>
                </c:pt>
                <c:pt idx="33" formatCode="0.000%">
                  <c:v>0.000410867900305812</c:v>
                </c:pt>
                <c:pt idx="34" formatCode="0.000%">
                  <c:v>0.000515558377566645</c:v>
                </c:pt>
                <c:pt idx="35" formatCode="0.000%">
                  <c:v>0.000615689345241765</c:v>
                </c:pt>
                <c:pt idx="36" formatCode="0.000%">
                  <c:v>0.000712683755666987</c:v>
                </c:pt>
                <c:pt idx="37" formatCode="0.000%">
                  <c:v>0.000807652892583936</c:v>
                </c:pt>
                <c:pt idx="38" formatCode="0.000%">
                  <c:v>0.000901493988459527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Profile_20'!$C$40:$AO$40</c:f>
              <c:numCache>
                <c:formatCode>0.000</c:formatCode>
                <c:ptCount val="39"/>
                <c:pt idx="0">
                  <c:v>386.9887090740741</c:v>
                </c:pt>
                <c:pt idx="1">
                  <c:v>386.8973161111112</c:v>
                </c:pt>
                <c:pt idx="2">
                  <c:v>386.6231372222223</c:v>
                </c:pt>
                <c:pt idx="3">
                  <c:v>386.0640022222223</c:v>
                </c:pt>
                <c:pt idx="4">
                  <c:v>385.1857116666667</c:v>
                </c:pt>
                <c:pt idx="5">
                  <c:v>383.9885205555556</c:v>
                </c:pt>
                <c:pt idx="6">
                  <c:v>382.4740994444445</c:v>
                </c:pt>
                <c:pt idx="7">
                  <c:v>380.6437583333333</c:v>
                </c:pt>
                <c:pt idx="8">
                  <c:v>378.4984366666667</c:v>
                </c:pt>
                <c:pt idx="9">
                  <c:v>376.038813888889</c:v>
                </c:pt>
                <c:pt idx="10">
                  <c:v>373.2653938888889</c:v>
                </c:pt>
                <c:pt idx="11">
                  <c:v>370.1785594444445</c:v>
                </c:pt>
                <c:pt idx="12">
                  <c:v>366.7786077777778</c:v>
                </c:pt>
                <c:pt idx="13">
                  <c:v>363.0657738888889</c:v>
                </c:pt>
                <c:pt idx="14">
                  <c:v>359.0402483333334</c:v>
                </c:pt>
                <c:pt idx="15">
                  <c:v>354.7021861111111</c:v>
                </c:pt>
                <c:pt idx="16">
                  <c:v>350.0517161111111</c:v>
                </c:pt>
                <c:pt idx="17">
                  <c:v>345.0889455555557</c:v>
                </c:pt>
                <c:pt idx="18">
                  <c:v>339.8139666666667</c:v>
                </c:pt>
                <c:pt idx="19">
                  <c:v>334.2268577777778</c:v>
                </c:pt>
                <c:pt idx="20">
                  <c:v>328.3306000000001</c:v>
                </c:pt>
                <c:pt idx="21">
                  <c:v>300.954915</c:v>
                </c:pt>
                <c:pt idx="22">
                  <c:v>295.3539516666667</c:v>
                </c:pt>
                <c:pt idx="24">
                  <c:v>290.9345519809411</c:v>
                </c:pt>
                <c:pt idx="25" formatCode="General">
                  <c:v>0.0</c:v>
                </c:pt>
                <c:pt idx="26" formatCode="0.000%">
                  <c:v>8.64862236498333E-5</c:v>
                </c:pt>
                <c:pt idx="27" formatCode="0.000%">
                  <c:v>5.14743868419186E-5</c:v>
                </c:pt>
                <c:pt idx="28" formatCode="0.000%">
                  <c:v>0.0001477086755566</c:v>
                </c:pt>
                <c:pt idx="29" formatCode="0.000%">
                  <c:v>0.000312718715143938</c:v>
                </c:pt>
                <c:pt idx="30" formatCode="0.000%">
                  <c:v>0.000458410967461249</c:v>
                </c:pt>
                <c:pt idx="31" formatCode="0.000%">
                  <c:v>0.000585663462605051</c:v>
                </c:pt>
                <c:pt idx="32" formatCode="0.000%">
                  <c:v>0.000698977749693827</c:v>
                </c:pt>
                <c:pt idx="33" formatCode="0.000%">
                  <c:v>0.000801905262944161</c:v>
                </c:pt>
                <c:pt idx="34" formatCode="0.000%">
                  <c:v>0.000897030561787541</c:v>
                </c:pt>
                <c:pt idx="35" formatCode="0.000%">
                  <c:v>0.000986263001585394</c:v>
                </c:pt>
                <c:pt idx="36" formatCode="0.000%">
                  <c:v>0.00107105941761128</c:v>
                </c:pt>
                <c:pt idx="37" formatCode="0.000%">
                  <c:v>0.00115256839610334</c:v>
                </c:pt>
                <c:pt idx="38" formatCode="0.000%">
                  <c:v>0.00123172530632024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07000"/>
        <c:axId val="2054812744"/>
      </c:scatterChart>
      <c:valAx>
        <c:axId val="205480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12744"/>
        <c:crossesAt val="0.0"/>
        <c:crossBetween val="midCat"/>
      </c:valAx>
      <c:valAx>
        <c:axId val="2054812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0700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Profile_20'!$C$31:$Y$31</c:f>
              <c:numCache>
                <c:formatCode>0.000</c:formatCode>
                <c:ptCount val="23"/>
                <c:pt idx="0">
                  <c:v>92.05696231459466</c:v>
                </c:pt>
                <c:pt idx="1">
                  <c:v>91.9791213722586</c:v>
                </c:pt>
                <c:pt idx="2">
                  <c:v>91.66775760291439</c:v>
                </c:pt>
                <c:pt idx="3">
                  <c:v>91.04503006422597</c:v>
                </c:pt>
                <c:pt idx="4">
                  <c:v>90.11093875619333</c:v>
                </c:pt>
                <c:pt idx="5">
                  <c:v>88.86548367881647</c:v>
                </c:pt>
                <c:pt idx="6">
                  <c:v>87.3086648320954</c:v>
                </c:pt>
                <c:pt idx="7">
                  <c:v>85.44048221603013</c:v>
                </c:pt>
                <c:pt idx="8">
                  <c:v>83.26093583062064</c:v>
                </c:pt>
                <c:pt idx="9">
                  <c:v>80.77002567586693</c:v>
                </c:pt>
                <c:pt idx="10">
                  <c:v>77.96775175176903</c:v>
                </c:pt>
                <c:pt idx="11">
                  <c:v>74.85411405832693</c:v>
                </c:pt>
                <c:pt idx="12">
                  <c:v>71.42911259554057</c:v>
                </c:pt>
                <c:pt idx="13">
                  <c:v>67.69274736341005</c:v>
                </c:pt>
                <c:pt idx="14">
                  <c:v>63.6450183619353</c:v>
                </c:pt>
                <c:pt idx="15">
                  <c:v>59.28592559111627</c:v>
                </c:pt>
                <c:pt idx="16">
                  <c:v>54.6154690509533</c:v>
                </c:pt>
                <c:pt idx="17">
                  <c:v>49.6336487414459</c:v>
                </c:pt>
                <c:pt idx="18">
                  <c:v>44.3404646625937</c:v>
                </c:pt>
                <c:pt idx="19">
                  <c:v>38.73591681439815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Profile_20'!$B$32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Profile_20'!$C$32:$Y$32</c:f>
              <c:numCache>
                <c:formatCode>0.000</c:formatCode>
                <c:ptCount val="23"/>
                <c:pt idx="0">
                  <c:v>91.48061703703699</c:v>
                </c:pt>
                <c:pt idx="1">
                  <c:v>91.38942388888887</c:v>
                </c:pt>
                <c:pt idx="2">
                  <c:v>91.11584444444443</c:v>
                </c:pt>
                <c:pt idx="3">
                  <c:v>90.55792888888884</c:v>
                </c:pt>
                <c:pt idx="4">
                  <c:v>89.68154444444438</c:v>
                </c:pt>
                <c:pt idx="5">
                  <c:v>88.48693388888888</c:v>
                </c:pt>
                <c:pt idx="6">
                  <c:v>86.97574722222221</c:v>
                </c:pt>
                <c:pt idx="7">
                  <c:v>85.14927166666666</c:v>
                </c:pt>
                <c:pt idx="8">
                  <c:v>83.0084194444444</c:v>
                </c:pt>
                <c:pt idx="9">
                  <c:v>80.55384111111108</c:v>
                </c:pt>
                <c:pt idx="10">
                  <c:v>77.78600777777778</c:v>
                </c:pt>
                <c:pt idx="11">
                  <c:v>74.7052661111111</c:v>
                </c:pt>
                <c:pt idx="12">
                  <c:v>71.31187499999997</c:v>
                </c:pt>
                <c:pt idx="13">
                  <c:v>67.60602888888886</c:v>
                </c:pt>
                <c:pt idx="14">
                  <c:v>63.58787277777778</c:v>
                </c:pt>
                <c:pt idx="15">
                  <c:v>59.25751666666662</c:v>
                </c:pt>
                <c:pt idx="16">
                  <c:v>54.61504166666663</c:v>
                </c:pt>
                <c:pt idx="17">
                  <c:v>49.66050611111105</c:v>
                </c:pt>
                <c:pt idx="18">
                  <c:v>44.39395222222218</c:v>
                </c:pt>
                <c:pt idx="19">
                  <c:v>38.81540611111107</c:v>
                </c:pt>
                <c:pt idx="20">
                  <c:v>32.92779611111106</c:v>
                </c:pt>
                <c:pt idx="21">
                  <c:v>5.59249222222219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Profile_20'!$C$33:$Y$33</c:f>
              <c:numCache>
                <c:formatCode>0.000</c:formatCode>
                <c:ptCount val="23"/>
                <c:pt idx="0">
                  <c:v>91.63475740740738</c:v>
                </c:pt>
                <c:pt idx="1">
                  <c:v>91.54336444444444</c:v>
                </c:pt>
                <c:pt idx="2">
                  <c:v>91.26918555555557</c:v>
                </c:pt>
                <c:pt idx="3">
                  <c:v>90.71005055555557</c:v>
                </c:pt>
                <c:pt idx="4">
                  <c:v>89.83176000000001</c:v>
                </c:pt>
                <c:pt idx="5">
                  <c:v>88.63456888888891</c:v>
                </c:pt>
                <c:pt idx="6">
                  <c:v>87.1201477777778</c:v>
                </c:pt>
                <c:pt idx="7">
                  <c:v>85.28980666666668</c:v>
                </c:pt>
                <c:pt idx="8">
                  <c:v>83.144485</c:v>
                </c:pt>
                <c:pt idx="9">
                  <c:v>80.68486222222222</c:v>
                </c:pt>
                <c:pt idx="10">
                  <c:v>77.91144222222222</c:v>
                </c:pt>
                <c:pt idx="11">
                  <c:v>74.8246077777778</c:v>
                </c:pt>
                <c:pt idx="12">
                  <c:v>71.42465611111113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59.34823444444444</c:v>
                </c:pt>
                <c:pt idx="16">
                  <c:v>54.69776444444442</c:v>
                </c:pt>
                <c:pt idx="17">
                  <c:v>49.73499388888892</c:v>
                </c:pt>
                <c:pt idx="18">
                  <c:v>44.46001499999997</c:v>
                </c:pt>
                <c:pt idx="19">
                  <c:v>38.87290611111111</c:v>
                </c:pt>
                <c:pt idx="20">
                  <c:v>32.97664833333335</c:v>
                </c:pt>
                <c:pt idx="21">
                  <c:v>5.600963333333324</c:v>
                </c:pt>
                <c:pt idx="2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Profile_20'!$C$34:$Y$34</c:f>
              <c:numCache>
                <c:formatCode>0.000</c:formatCode>
                <c:ptCount val="23"/>
                <c:pt idx="0">
                  <c:v>91.45266962962965</c:v>
                </c:pt>
                <c:pt idx="1">
                  <c:v>91.3615127777778</c:v>
                </c:pt>
                <c:pt idx="2">
                  <c:v>91.08804222222224</c:v>
                </c:pt>
                <c:pt idx="3">
                  <c:v>90.53034777777782</c:v>
                </c:pt>
                <c:pt idx="4">
                  <c:v>89.65430888888895</c:v>
                </c:pt>
                <c:pt idx="5">
                  <c:v>88.4601661111111</c:v>
                </c:pt>
                <c:pt idx="6">
                  <c:v>86.94956666666668</c:v>
                </c:pt>
                <c:pt idx="7">
                  <c:v>85.1237916666667</c:v>
                </c:pt>
                <c:pt idx="8">
                  <c:v>82.98374944444447</c:v>
                </c:pt>
                <c:pt idx="9">
                  <c:v>80.53008611111112</c:v>
                </c:pt>
                <c:pt idx="10">
                  <c:v>77.76326555555556</c:v>
                </c:pt>
                <c:pt idx="11">
                  <c:v>74.68362888888893</c:v>
                </c:pt>
                <c:pt idx="12">
                  <c:v>71.29142722222222</c:v>
                </c:pt>
                <c:pt idx="13">
                  <c:v>67.58684777777781</c:v>
                </c:pt>
                <c:pt idx="14">
                  <c:v>63.5700277777778</c:v>
                </c:pt>
                <c:pt idx="15">
                  <c:v>59.24106888888894</c:v>
                </c:pt>
                <c:pt idx="16">
                  <c:v>54.60004333333334</c:v>
                </c:pt>
                <c:pt idx="17">
                  <c:v>49.64700166666666</c:v>
                </c:pt>
                <c:pt idx="18">
                  <c:v>44.38197500000001</c:v>
                </c:pt>
                <c:pt idx="19">
                  <c:v>38.80498166666668</c:v>
                </c:pt>
                <c:pt idx="20">
                  <c:v>32.9189388888889</c:v>
                </c:pt>
                <c:pt idx="21">
                  <c:v>5.590956666666658</c:v>
                </c:pt>
                <c:pt idx="2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62696"/>
        <c:axId val="2054868488"/>
      </c:scatterChart>
      <c:valAx>
        <c:axId val="20548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68488"/>
        <c:crossesAt val="0.0"/>
        <c:crossBetween val="midCat"/>
      </c:valAx>
      <c:valAx>
        <c:axId val="2054868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6269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Profile_20'!$AB$31:$AB$31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Profile_20'!$R$31:$AD$31</c:f>
              <c:numCache>
                <c:formatCode>0.000</c:formatCode>
                <c:ptCount val="13"/>
                <c:pt idx="0">
                  <c:v>59.28592559111627</c:v>
                </c:pt>
                <c:pt idx="1">
                  <c:v>54.6154690509533</c:v>
                </c:pt>
                <c:pt idx="2">
                  <c:v>49.6336487414459</c:v>
                </c:pt>
                <c:pt idx="3">
                  <c:v>44.3404646625937</c:v>
                </c:pt>
                <c:pt idx="4">
                  <c:v>38.73591681439815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  <c:pt idx="9">
                  <c:v>-3.963728480869044</c:v>
                </c:pt>
                <c:pt idx="10" formatCode="General">
                  <c:v>0.0</c:v>
                </c:pt>
                <c:pt idx="11" formatCode="0.00">
                  <c:v>-0.576345277557664</c:v>
                </c:pt>
                <c:pt idx="12" formatCode="0.00">
                  <c:v>-0.589697483369733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Profile_20'!$AB$32:$AB$32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Profile_20'!$C$30:$M$30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Profile_20'!$R$32:$AD$32</c:f>
              <c:numCache>
                <c:formatCode>0.000</c:formatCode>
                <c:ptCount val="13"/>
                <c:pt idx="0">
                  <c:v>59.25751666666662</c:v>
                </c:pt>
                <c:pt idx="1">
                  <c:v>54.61504166666663</c:v>
                </c:pt>
                <c:pt idx="2">
                  <c:v>49.66050611111105</c:v>
                </c:pt>
                <c:pt idx="3">
                  <c:v>44.39395222222218</c:v>
                </c:pt>
                <c:pt idx="4">
                  <c:v>38.81540611111107</c:v>
                </c:pt>
                <c:pt idx="5">
                  <c:v>32.92779611111106</c:v>
                </c:pt>
                <c:pt idx="6">
                  <c:v>5.59249222222219</c:v>
                </c:pt>
                <c:pt idx="7">
                  <c:v>0.0</c:v>
                </c:pt>
                <c:pt idx="9">
                  <c:v>-4.41120801905893</c:v>
                </c:pt>
                <c:pt idx="10" formatCode="General">
                  <c:v>0.0</c:v>
                </c:pt>
                <c:pt idx="11" formatCode="0.00">
                  <c:v>-0.422204907187279</c:v>
                </c:pt>
                <c:pt idx="12" formatCode="0.00">
                  <c:v>-0.435756927814154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00184"/>
        <c:axId val="2054903512"/>
      </c:scatterChart>
      <c:valAx>
        <c:axId val="205490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03512"/>
        <c:crossesAt val="0.0"/>
        <c:crossBetween val="midCat"/>
      </c:valAx>
      <c:valAx>
        <c:axId val="2054903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0018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Fuel_Centerline_Temperature!$L$8:$L$8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Fuel_Centerline_Temperature!$L$9:$L$11</c:f>
              <c:numCache>
                <c:formatCode>0.00%</c:formatCode>
                <c:ptCount val="3"/>
                <c:pt idx="0">
                  <c:v>0.0411776316495301</c:v>
                </c:pt>
                <c:pt idx="1">
                  <c:v>0.0171909774845522</c:v>
                </c:pt>
                <c:pt idx="2">
                  <c:v>0.00626074620611602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Fuel_Centerline_Temperature!$M$8:$M$8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Fuel_Centerline_Temperature!$M$9:$M$11</c:f>
              <c:numCache>
                <c:formatCode>0.00%</c:formatCode>
                <c:ptCount val="3"/>
                <c:pt idx="0">
                  <c:v>0.0392010032356409</c:v>
                </c:pt>
                <c:pt idx="1">
                  <c:v>0.0154368944527469</c:v>
                </c:pt>
                <c:pt idx="2">
                  <c:v>0.0065643344052555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Fuel_Centerline_Temperature!$N$9:$N$11</c:f>
              <c:numCache>
                <c:formatCode>0.00%</c:formatCode>
                <c:ptCount val="3"/>
                <c:pt idx="0">
                  <c:v>0.0415093948355309</c:v>
                </c:pt>
                <c:pt idx="1">
                  <c:v>0.0175021435200136</c:v>
                </c:pt>
                <c:pt idx="2">
                  <c:v>0.0065643344052555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35384"/>
        <c:axId val="2054938872"/>
      </c:scatterChart>
      <c:valAx>
        <c:axId val="20549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Radial Nodes in Fuel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38872"/>
        <c:crosses val="autoZero"/>
        <c:crossBetween val="midCat"/>
      </c:valAx>
      <c:valAx>
        <c:axId val="2054938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of</a:t>
                </a:r>
                <a:r>
                  <a:rPr lang="en-US" baseline="0"/>
                  <a:t> Temperature Difference</a:t>
                </a: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35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Profile_5'!$L$39:$L$39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Profile_5'!$M$39:$W$39</c:f>
              <c:numCache>
                <c:formatCode>0.000%</c:formatCode>
                <c:ptCount val="11"/>
                <c:pt idx="0">
                  <c:v>0.074449338498487</c:v>
                </c:pt>
                <c:pt idx="1">
                  <c:v>0.0740824127907316</c:v>
                </c:pt>
                <c:pt idx="2">
                  <c:v>0.0770957743759433</c:v>
                </c:pt>
                <c:pt idx="3">
                  <c:v>0.0828577258399045</c:v>
                </c:pt>
                <c:pt idx="4">
                  <c:v>0.0900955326194654</c:v>
                </c:pt>
                <c:pt idx="5">
                  <c:v>0.074449338498487</c:v>
                </c:pt>
                <c:pt idx="6">
                  <c:v>0.0740824127907316</c:v>
                </c:pt>
                <c:pt idx="7">
                  <c:v>0.0770957743759433</c:v>
                </c:pt>
                <c:pt idx="8">
                  <c:v>0.0828577258399045</c:v>
                </c:pt>
                <c:pt idx="9">
                  <c:v>0.0976334097977229</c:v>
                </c:pt>
                <c:pt idx="10">
                  <c:v>0.0976334097977229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Profile_5'!$L$41:$L$41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Profile_5'!$M$41:$W$41</c:f>
              <c:numCache>
                <c:formatCode>0.000%</c:formatCode>
                <c:ptCount val="11"/>
                <c:pt idx="0">
                  <c:v>0.0743379144722826</c:v>
                </c:pt>
                <c:pt idx="1">
                  <c:v>0.073972399424672</c:v>
                </c:pt>
                <c:pt idx="2">
                  <c:v>0.0769896508952214</c:v>
                </c:pt>
                <c:pt idx="3">
                  <c:v>0.0827594011919733</c:v>
                </c:pt>
                <c:pt idx="4">
                  <c:v>0.0900090838957847</c:v>
                </c:pt>
                <c:pt idx="5">
                  <c:v>0.0743379144722826</c:v>
                </c:pt>
                <c:pt idx="6">
                  <c:v>0.073972399424672</c:v>
                </c:pt>
                <c:pt idx="7">
                  <c:v>0.0769896508952214</c:v>
                </c:pt>
                <c:pt idx="8">
                  <c:v>0.0827594011919733</c:v>
                </c:pt>
                <c:pt idx="9">
                  <c:v>0.0975621664277977</c:v>
                </c:pt>
                <c:pt idx="10">
                  <c:v>0.0975621664277977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Profile_5'!$L$40:$L$40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Profile_5'!$M$40:$W$40</c:f>
              <c:numCache>
                <c:formatCode>0.000%</c:formatCode>
                <c:ptCount val="11"/>
                <c:pt idx="0">
                  <c:v>0.0751132788119498</c:v>
                </c:pt>
                <c:pt idx="1">
                  <c:v>0.0747379519111171</c:v>
                </c:pt>
                <c:pt idx="2">
                  <c:v>0.0777281486290024</c:v>
                </c:pt>
                <c:pt idx="3">
                  <c:v>0.0834436348706804</c:v>
                </c:pt>
                <c:pt idx="4">
                  <c:v>0.0906106862825233</c:v>
                </c:pt>
                <c:pt idx="5">
                  <c:v>0.0751132788119498</c:v>
                </c:pt>
                <c:pt idx="6">
                  <c:v>0.0747379519111171</c:v>
                </c:pt>
                <c:pt idx="7">
                  <c:v>0.0777281486290024</c:v>
                </c:pt>
                <c:pt idx="8">
                  <c:v>0.0834436348706804</c:v>
                </c:pt>
                <c:pt idx="9">
                  <c:v>0.0980579783137918</c:v>
                </c:pt>
                <c:pt idx="10">
                  <c:v>0.0980579783137918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76008"/>
        <c:axId val="2054379336"/>
      </c:scatterChart>
      <c:valAx>
        <c:axId val="20543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79336"/>
        <c:crossesAt val="0.0"/>
        <c:crossBetween val="midCat"/>
      </c:valAx>
      <c:valAx>
        <c:axId val="2054379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7600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Profile_5'!$C$38:$J$38</c:f>
              <c:numCache>
                <c:formatCode>0.000</c:formatCode>
                <c:ptCount val="8"/>
                <c:pt idx="0">
                  <c:v>386.9552427764049</c:v>
                </c:pt>
                <c:pt idx="1">
                  <c:v>385.4935628592056</c:v>
                </c:pt>
                <c:pt idx="2">
                  <c:v>379.6468431904087</c:v>
                </c:pt>
                <c:pt idx="3">
                  <c:v>367.953403852815</c:v>
                </c:pt>
                <c:pt idx="4">
                  <c:v>350.413244846424</c:v>
                </c:pt>
                <c:pt idx="5">
                  <c:v>327.7575945664855</c:v>
                </c:pt>
                <c:pt idx="6">
                  <c:v>300.3858901631995</c:v>
                </c:pt>
                <c:pt idx="7">
                  <c:v>294.8982804618102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Profile_5'!$C$39:$J$39</c:f>
              <c:numCache>
                <c:formatCode>0.000</c:formatCode>
                <c:ptCount val="8"/>
                <c:pt idx="0">
                  <c:v>415.7638046296296</c:v>
                </c:pt>
                <c:pt idx="1">
                  <c:v>414.0518561111111</c:v>
                </c:pt>
                <c:pt idx="2">
                  <c:v>408.9160105555556</c:v>
                </c:pt>
                <c:pt idx="3">
                  <c:v>398.4411861111112</c:v>
                </c:pt>
                <c:pt idx="4">
                  <c:v>381.9839127777778</c:v>
                </c:pt>
                <c:pt idx="5">
                  <c:v>359.7576861111111</c:v>
                </c:pt>
                <c:pt idx="6">
                  <c:v>332.9765800000001</c:v>
                </c:pt>
                <c:pt idx="7">
                  <c:v>327.49753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Profile_5'!$C$40:$J$40</c:f>
              <c:numCache>
                <c:formatCode>0.000</c:formatCode>
                <c:ptCount val="8"/>
                <c:pt idx="0">
                  <c:v>416.0207198148147</c:v>
                </c:pt>
                <c:pt idx="1">
                  <c:v>414.3045622222221</c:v>
                </c:pt>
                <c:pt idx="2">
                  <c:v>409.1560894444444</c:v>
                </c:pt>
                <c:pt idx="3">
                  <c:v>398.6567733333332</c:v>
                </c:pt>
                <c:pt idx="4">
                  <c:v>382.1644294444444</c:v>
                </c:pt>
                <c:pt idx="5">
                  <c:v>359.8968416666665</c:v>
                </c:pt>
                <c:pt idx="6">
                  <c:v>333.0626572222221</c:v>
                </c:pt>
                <c:pt idx="7">
                  <c:v>327.5724827777777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05640"/>
        <c:axId val="2019711384"/>
      </c:scatterChart>
      <c:valAx>
        <c:axId val="20197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9711384"/>
        <c:crossesAt val="0.0"/>
        <c:crossBetween val="midCat"/>
      </c:valAx>
      <c:valAx>
        <c:axId val="201971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970564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Profile_5'!$C$31:$J$31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90.59528239739544</c:v>
                </c:pt>
                <c:pt idx="2">
                  <c:v>84.74856272859854</c:v>
                </c:pt>
                <c:pt idx="3">
                  <c:v>73.05512339100478</c:v>
                </c:pt>
                <c:pt idx="4">
                  <c:v>55.51496438461386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Profile_5'!$C$32:$J$32</c:f>
              <c:numCache>
                <c:formatCode>0.000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81.41848055555556</c:v>
                </c:pt>
                <c:pt idx="3">
                  <c:v>70.9436561111111</c:v>
                </c:pt>
                <c:pt idx="4">
                  <c:v>54.48638277777775</c:v>
                </c:pt>
                <c:pt idx="5">
                  <c:v>32.26015611111108</c:v>
                </c:pt>
                <c:pt idx="6">
                  <c:v>5.479050000000016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Profile_5'!$C$33:$J$33</c:f>
              <c:numCache>
                <c:formatCode>0.000</c:formatCode>
                <c:ptCount val="8"/>
                <c:pt idx="0">
                  <c:v>88.44823703703696</c:v>
                </c:pt>
                <c:pt idx="1">
                  <c:v>86.73207944444439</c:v>
                </c:pt>
                <c:pt idx="2">
                  <c:v>81.58360666666663</c:v>
                </c:pt>
                <c:pt idx="3">
                  <c:v>71.0842905555555</c:v>
                </c:pt>
                <c:pt idx="4">
                  <c:v>54.59194666666665</c:v>
                </c:pt>
                <c:pt idx="5">
                  <c:v>32.32435888888883</c:v>
                </c:pt>
                <c:pt idx="6">
                  <c:v>5.490174444444418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Profile_5'!$C$34:$J$34</c:f>
              <c:numCache>
                <c:formatCode>0.000</c:formatCode>
                <c:ptCount val="8"/>
                <c:pt idx="0">
                  <c:v>88.23573351851856</c:v>
                </c:pt>
                <c:pt idx="1">
                  <c:v>86.52449166666669</c:v>
                </c:pt>
                <c:pt idx="2">
                  <c:v>81.39076611111111</c:v>
                </c:pt>
                <c:pt idx="3">
                  <c:v>70.9200522222222</c:v>
                </c:pt>
                <c:pt idx="4">
                  <c:v>54.46866499999999</c:v>
                </c:pt>
                <c:pt idx="5">
                  <c:v>32.24938055555558</c:v>
                </c:pt>
                <c:pt idx="6">
                  <c:v>5.477182777777772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0424"/>
        <c:axId val="2020366216"/>
      </c:scatterChart>
      <c:valAx>
        <c:axId val="202036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66216"/>
        <c:crossesAt val="0.0"/>
        <c:crossBetween val="midCat"/>
      </c:valAx>
      <c:valAx>
        <c:axId val="2020366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6042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Profile_5'!$L$31:$L$31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Profile_5'!$C$30:$I$30</c:f>
              <c:numCache>
                <c:formatCode>0.000</c:formatCode>
                <c:ptCount val="7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</c:numCache>
            </c:numRef>
          </c:xVal>
          <c:yVal>
            <c:numRef>
              <c:f>'SS Rod Radial Profile_5'!$M$31:$Y$31</c:f>
              <c:numCache>
                <c:formatCode>0.00</c:formatCode>
                <c:ptCount val="13"/>
                <c:pt idx="0">
                  <c:v>-3.79068768496505</c:v>
                </c:pt>
                <c:pt idx="1">
                  <c:v>-4.040956286284342</c:v>
                </c:pt>
                <c:pt idx="2">
                  <c:v>-3.330082173042982</c:v>
                </c:pt>
                <c:pt idx="3">
                  <c:v>-2.111467279893674</c:v>
                </c:pt>
                <c:pt idx="4">
                  <c:v>-1.028581606836113</c:v>
                </c:pt>
                <c:pt idx="5">
                  <c:v>-3.79068768496505</c:v>
                </c:pt>
                <c:pt idx="6">
                  <c:v>-4.040956286284342</c:v>
                </c:pt>
                <c:pt idx="7">
                  <c:v>-3.330082173042982</c:v>
                </c:pt>
                <c:pt idx="8">
                  <c:v>-2.111467279893674</c:v>
                </c:pt>
                <c:pt idx="9">
                  <c:v>-0.599157993564248</c:v>
                </c:pt>
                <c:pt idx="10">
                  <c:v>-0.599157993564248</c:v>
                </c:pt>
                <c:pt idx="11">
                  <c:v>-0.00855970138929152</c:v>
                </c:pt>
                <c:pt idx="1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Profile_5'!$L$32:$L$32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Profile_5'!$C$30:$I$30</c:f>
              <c:numCache>
                <c:formatCode>0.000</c:formatCode>
                <c:ptCount val="7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</c:numCache>
            </c:numRef>
          </c:xVal>
          <c:yVal>
            <c:numRef>
              <c:f>'SS Rod Radial Profile_5'!$M$32:$Y$32</c:f>
              <c:numCache>
                <c:formatCode>0.00</c:formatCode>
                <c:ptCount val="13"/>
                <c:pt idx="0">
                  <c:v>-3.608725277557695</c:v>
                </c:pt>
                <c:pt idx="1">
                  <c:v>-3.863202952951042</c:v>
                </c:pt>
                <c:pt idx="2">
                  <c:v>-3.164956061931917</c:v>
                </c:pt>
                <c:pt idx="3">
                  <c:v>-1.970832835449286</c:v>
                </c:pt>
                <c:pt idx="4">
                  <c:v>-0.923017717947211</c:v>
                </c:pt>
                <c:pt idx="5">
                  <c:v>-3.608725277557695</c:v>
                </c:pt>
                <c:pt idx="6">
                  <c:v>-3.863202952951042</c:v>
                </c:pt>
                <c:pt idx="7">
                  <c:v>-3.164956061931917</c:v>
                </c:pt>
                <c:pt idx="8">
                  <c:v>-1.970832835449286</c:v>
                </c:pt>
                <c:pt idx="9">
                  <c:v>-0.534955215786496</c:v>
                </c:pt>
                <c:pt idx="10">
                  <c:v>-0.534955215786496</c:v>
                </c:pt>
                <c:pt idx="11">
                  <c:v>0.00256474305510945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07320"/>
        <c:axId val="2054410648"/>
      </c:scatterChart>
      <c:valAx>
        <c:axId val="205440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10648"/>
        <c:crossesAt val="0.0"/>
        <c:crossBetween val="midCat"/>
      </c:valAx>
      <c:valAx>
        <c:axId val="2054410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073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Rod Relative Temperature Difference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238559503782"/>
          <c:y val="0.171878536160282"/>
          <c:w val="0.506880439418746"/>
          <c:h val="0.654588051659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Profile_10'!$C$31:$O$31</c:f>
              <c:numCache>
                <c:formatCode>0.000</c:formatCode>
                <c:ptCount val="13"/>
                <c:pt idx="0">
                  <c:v>92.05696231459466</c:v>
                </c:pt>
                <c:pt idx="1">
                  <c:v>91.72899535256381</c:v>
                </c:pt>
                <c:pt idx="2">
                  <c:v>90.4171275044404</c:v>
                </c:pt>
                <c:pt idx="3">
                  <c:v>87.79339180819362</c:v>
                </c:pt>
                <c:pt idx="4">
                  <c:v>83.85778826382342</c:v>
                </c:pt>
                <c:pt idx="5">
                  <c:v>78.6103168713298</c:v>
                </c:pt>
                <c:pt idx="6">
                  <c:v>72.05097763071284</c:v>
                </c:pt>
                <c:pt idx="7">
                  <c:v>64.17977054197243</c:v>
                </c:pt>
                <c:pt idx="8">
                  <c:v>54.9966956051087</c:v>
                </c:pt>
                <c:pt idx="9">
                  <c:v>44.5017528201217</c:v>
                </c:pt>
                <c:pt idx="10">
                  <c:v>32.85931410467533</c:v>
                </c:pt>
                <c:pt idx="11">
                  <c:v>5.487609701389308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Profile_10'!$C$32:$O$32</c:f>
              <c:numCache>
                <c:formatCode>0.000</c:formatCode>
                <c:ptCount val="13"/>
                <c:pt idx="0">
                  <c:v>90.47441314814818</c:v>
                </c:pt>
                <c:pt idx="1">
                  <c:v>90.09021888888893</c:v>
                </c:pt>
                <c:pt idx="2">
                  <c:v>88.93763611111113</c:v>
                </c:pt>
                <c:pt idx="3">
                  <c:v>86.58710500000003</c:v>
                </c:pt>
                <c:pt idx="4">
                  <c:v>82.89471888888892</c:v>
                </c:pt>
                <c:pt idx="5">
                  <c:v>77.86133388888888</c:v>
                </c:pt>
                <c:pt idx="6">
                  <c:v>71.4936927777778</c:v>
                </c:pt>
                <c:pt idx="7">
                  <c:v>63.79695722222222</c:v>
                </c:pt>
                <c:pt idx="8">
                  <c:v>54.77468722222221</c:v>
                </c:pt>
                <c:pt idx="9">
                  <c:v>44.42931444444444</c:v>
                </c:pt>
                <c:pt idx="10">
                  <c:v>32.78692555555558</c:v>
                </c:pt>
                <c:pt idx="11">
                  <c:v>5.56855333333336</c:v>
                </c:pt>
                <c:pt idx="1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Profile_10'!$C$33:$O$33</c:f>
              <c:numCache>
                <c:formatCode>0.000</c:formatCode>
                <c:ptCount val="13"/>
                <c:pt idx="0">
                  <c:v>90.63588870370376</c:v>
                </c:pt>
                <c:pt idx="1">
                  <c:v>90.25082277777781</c:v>
                </c:pt>
                <c:pt idx="2">
                  <c:v>89.09562500000005</c:v>
                </c:pt>
                <c:pt idx="3">
                  <c:v>86.73982277777781</c:v>
                </c:pt>
                <c:pt idx="4">
                  <c:v>83.0393244444445</c:v>
                </c:pt>
                <c:pt idx="5">
                  <c:v>77.99520277777781</c:v>
                </c:pt>
                <c:pt idx="6">
                  <c:v>71.61450000000002</c:v>
                </c:pt>
                <c:pt idx="7">
                  <c:v>63.90273000000004</c:v>
                </c:pt>
                <c:pt idx="8">
                  <c:v>54.86385277777781</c:v>
                </c:pt>
                <c:pt idx="9">
                  <c:v>44.50073222222222</c:v>
                </c:pt>
                <c:pt idx="10">
                  <c:v>32.83993555555558</c:v>
                </c:pt>
                <c:pt idx="11">
                  <c:v>5.577742777777783</c:v>
                </c:pt>
                <c:pt idx="1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Profile_10'!$B$34:$B$34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Profile_10'!$C$34:$O$34</c:f>
              <c:numCache>
                <c:formatCode>0.000</c:formatCode>
                <c:ptCount val="13"/>
                <c:pt idx="0">
                  <c:v>90.44576814814813</c:v>
                </c:pt>
                <c:pt idx="1">
                  <c:v>90.06172833333336</c:v>
                </c:pt>
                <c:pt idx="2">
                  <c:v>88.90960888888894</c:v>
                </c:pt>
                <c:pt idx="3">
                  <c:v>86.56001333333335</c:v>
                </c:pt>
                <c:pt idx="4">
                  <c:v>82.86906666666673</c:v>
                </c:pt>
                <c:pt idx="5">
                  <c:v>77.83758611111112</c:v>
                </c:pt>
                <c:pt idx="6">
                  <c:v>71.47226222222224</c:v>
                </c:pt>
                <c:pt idx="7">
                  <c:v>63.7781938888889</c:v>
                </c:pt>
                <c:pt idx="8">
                  <c:v>54.75887</c:v>
                </c:pt>
                <c:pt idx="9">
                  <c:v>44.41664555555558</c:v>
                </c:pt>
                <c:pt idx="10">
                  <c:v>32.77752222222224</c:v>
                </c:pt>
                <c:pt idx="11">
                  <c:v>5.56692333333337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89656"/>
        <c:axId val="2054495448"/>
      </c:scatterChart>
      <c:valAx>
        <c:axId val="205448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95448"/>
        <c:crossesAt val="0.0"/>
        <c:crossBetween val="midCat"/>
      </c:valAx>
      <c:valAx>
        <c:axId val="2054495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896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1852312077751"/>
          <c:y val="0.398945796607391"/>
          <c:w val="0.333761138064596"/>
          <c:h val="0.292822078647588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Profile_10'!$Q$39:$Q$39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diamond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Profile_10'!$R$39:$AB$39</c:f>
              <c:numCache>
                <c:formatCode>0.000%</c:formatCode>
                <c:ptCount val="11"/>
                <c:pt idx="0">
                  <c:v>-0.00299244675761914</c:v>
                </c:pt>
                <c:pt idx="1">
                  <c:v>-0.00314041542015091</c:v>
                </c:pt>
                <c:pt idx="2">
                  <c:v>-0.00273771867582616</c:v>
                </c:pt>
                <c:pt idx="3">
                  <c:v>-0.00204258587259134</c:v>
                </c:pt>
                <c:pt idx="4">
                  <c:v>-0.00142166215815289</c:v>
                </c:pt>
                <c:pt idx="5">
                  <c:v>-0.000868458664406823</c:v>
                </c:pt>
                <c:pt idx="6">
                  <c:v>-0.000361572193300553</c:v>
                </c:pt>
                <c:pt idx="7">
                  <c:v>0.000116389417257541</c:v>
                </c:pt>
                <c:pt idx="8">
                  <c:v>0.000579024666908246</c:v>
                </c:pt>
                <c:pt idx="9">
                  <c:v>0.00103761872317403</c:v>
                </c:pt>
                <c:pt idx="10">
                  <c:v>0.00107462851075234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Profile_10'!$Q$41:$Q$41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square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Profile_10'!$R$41:$AB$41</c:f>
              <c:numCache>
                <c:formatCode>0.000%</c:formatCode>
                <c:ptCount val="11"/>
                <c:pt idx="0">
                  <c:v>-0.00307053646640686</c:v>
                </c:pt>
                <c:pt idx="1">
                  <c:v>-0.00321817190464745</c:v>
                </c:pt>
                <c:pt idx="2">
                  <c:v>-0.00281453741660965</c:v>
                </c:pt>
                <c:pt idx="3">
                  <c:v>-0.00211748661113873</c:v>
                </c:pt>
                <c:pt idx="4">
                  <c:v>-0.00149354072774522</c:v>
                </c:pt>
                <c:pt idx="5">
                  <c:v>-0.000936248268664416</c:v>
                </c:pt>
                <c:pt idx="6">
                  <c:v>-0.000424258729028698</c:v>
                </c:pt>
                <c:pt idx="7">
                  <c:v>5.97567283512855E-5</c:v>
                </c:pt>
                <c:pt idx="8">
                  <c:v>0.00052932562681361</c:v>
                </c:pt>
                <c:pt idx="9">
                  <c:v>0.000995659059901729</c:v>
                </c:pt>
                <c:pt idx="10">
                  <c:v>0.0010411417030092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Profile_10'!$Q$40:$Q$40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triangle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Profile_10'!$R$40:$AB$40</c:f>
              <c:numCache>
                <c:formatCode>0.000%</c:formatCode>
                <c:ptCount val="11"/>
                <c:pt idx="0">
                  <c:v>-0.00255218768700106</c:v>
                </c:pt>
                <c:pt idx="1">
                  <c:v>-0.00270203742798301</c:v>
                </c:pt>
                <c:pt idx="2">
                  <c:v>-0.00230463480365598</c:v>
                </c:pt>
                <c:pt idx="3">
                  <c:v>-0.00162030655614021</c:v>
                </c:pt>
                <c:pt idx="4">
                  <c:v>-0.00101641305924872</c:v>
                </c:pt>
                <c:pt idx="5">
                  <c:v>-0.000486261601452604</c:v>
                </c:pt>
                <c:pt idx="6">
                  <c:v>-8.13852539691043E-6</c:v>
                </c:pt>
                <c:pt idx="7">
                  <c:v>0.000435700991599832</c:v>
                </c:pt>
                <c:pt idx="8">
                  <c:v>0.000859253199074484</c:v>
                </c:pt>
                <c:pt idx="9">
                  <c:v>0.0012742208737431</c:v>
                </c:pt>
                <c:pt idx="10">
                  <c:v>0.00126347234237082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34936"/>
        <c:axId val="2054538264"/>
      </c:scatterChart>
      <c:valAx>
        <c:axId val="20545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[cm]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38264"/>
        <c:crossesAt val="0.0"/>
        <c:crossBetween val="midCat"/>
      </c:valAx>
      <c:valAx>
        <c:axId val="205453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Relative</a:t>
                </a:r>
                <a:r>
                  <a:rPr lang="en-US" baseline="0"/>
                  <a:t> </a:t>
                </a: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3493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545566332855"/>
          <c:y val="0.0620504536711243"/>
          <c:w val="0.419570798984792"/>
          <c:h val="0.8169673225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Profile_10'!$C$38:$O$38</c:f>
              <c:numCache>
                <c:formatCode>0.000</c:formatCode>
                <c:ptCount val="13"/>
                <c:pt idx="0">
                  <c:v>386.9552427764049</c:v>
                </c:pt>
                <c:pt idx="1">
                  <c:v>386.627275814374</c:v>
                </c:pt>
                <c:pt idx="2">
                  <c:v>385.3154079662506</c:v>
                </c:pt>
                <c:pt idx="3">
                  <c:v>382.6916722700038</c:v>
                </c:pt>
                <c:pt idx="4">
                  <c:v>378.7560687256336</c:v>
                </c:pt>
                <c:pt idx="5">
                  <c:v>373.50859733314</c:v>
                </c:pt>
                <c:pt idx="6">
                  <c:v>366.9492580925231</c:v>
                </c:pt>
                <c:pt idx="7">
                  <c:v>359.0780510037826</c:v>
                </c:pt>
                <c:pt idx="8">
                  <c:v>349.894976066919</c:v>
                </c:pt>
                <c:pt idx="9">
                  <c:v>339.4000332819319</c:v>
                </c:pt>
                <c:pt idx="10">
                  <c:v>327.7575945664855</c:v>
                </c:pt>
                <c:pt idx="11">
                  <c:v>300.3858901631995</c:v>
                </c:pt>
                <c:pt idx="12">
                  <c:v>294.8982804618102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Profile_10'!$C$39:$O$39</c:f>
              <c:numCache>
                <c:formatCode>0.000</c:formatCode>
                <c:ptCount val="13"/>
                <c:pt idx="0">
                  <c:v>385.7972998148149</c:v>
                </c:pt>
                <c:pt idx="1">
                  <c:v>385.4131055555556</c:v>
                </c:pt>
                <c:pt idx="2">
                  <c:v>384.2605227777779</c:v>
                </c:pt>
                <c:pt idx="3">
                  <c:v>381.9099916666668</c:v>
                </c:pt>
                <c:pt idx="4">
                  <c:v>378.2176055555556</c:v>
                </c:pt>
                <c:pt idx="5">
                  <c:v>373.1842205555556</c:v>
                </c:pt>
                <c:pt idx="6">
                  <c:v>366.8165794444445</c:v>
                </c:pt>
                <c:pt idx="7">
                  <c:v>359.119843888889</c:v>
                </c:pt>
                <c:pt idx="8">
                  <c:v>350.0975738888889</c:v>
                </c:pt>
                <c:pt idx="9">
                  <c:v>339.7522011111111</c:v>
                </c:pt>
                <c:pt idx="10">
                  <c:v>328.1098122222223</c:v>
                </c:pt>
                <c:pt idx="11">
                  <c:v>300.89144</c:v>
                </c:pt>
                <c:pt idx="12">
                  <c:v>295.3228866666667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Profile_10'!$C$40:$O$40</c:f>
              <c:numCache>
                <c:formatCode>0.000</c:formatCode>
                <c:ptCount val="13"/>
                <c:pt idx="0">
                  <c:v>385.9676603703704</c:v>
                </c:pt>
                <c:pt idx="1">
                  <c:v>385.5825944444445</c:v>
                </c:pt>
                <c:pt idx="2">
                  <c:v>384.4273966666667</c:v>
                </c:pt>
                <c:pt idx="3">
                  <c:v>382.0715944444445</c:v>
                </c:pt>
                <c:pt idx="4">
                  <c:v>378.3710961111112</c:v>
                </c:pt>
                <c:pt idx="5">
                  <c:v>373.3269744444445</c:v>
                </c:pt>
                <c:pt idx="6">
                  <c:v>366.9462716666667</c:v>
                </c:pt>
                <c:pt idx="7">
                  <c:v>359.2345016666667</c:v>
                </c:pt>
                <c:pt idx="8">
                  <c:v>350.1956244444445</c:v>
                </c:pt>
                <c:pt idx="9">
                  <c:v>339.8325038888889</c:v>
                </c:pt>
                <c:pt idx="10">
                  <c:v>328.1717072222223</c:v>
                </c:pt>
                <c:pt idx="11">
                  <c:v>300.9095144444444</c:v>
                </c:pt>
                <c:pt idx="12">
                  <c:v>295.3317716666667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78856"/>
        <c:axId val="2054584600"/>
      </c:scatterChart>
      <c:valAx>
        <c:axId val="205457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84600"/>
        <c:crossesAt val="0.0"/>
        <c:crossBetween val="midCat"/>
      </c:valAx>
      <c:valAx>
        <c:axId val="2054584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788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Profile_10'!$Q$31:$Q$31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Profile_10'!$R$31:$AD$31</c:f>
              <c:numCache>
                <c:formatCode>0.00</c:formatCode>
                <c:ptCount val="13"/>
                <c:pt idx="0">
                  <c:v>-1.58254916644647</c:v>
                </c:pt>
                <c:pt idx="1">
                  <c:v>-1.638776463674887</c:v>
                </c:pt>
                <c:pt idx="2">
                  <c:v>-1.479491393329283</c:v>
                </c:pt>
                <c:pt idx="3">
                  <c:v>-1.206286808193582</c:v>
                </c:pt>
                <c:pt idx="4">
                  <c:v>-0.963069374934506</c:v>
                </c:pt>
                <c:pt idx="5">
                  <c:v>-0.748982982440921</c:v>
                </c:pt>
                <c:pt idx="6">
                  <c:v>-0.557284852935027</c:v>
                </c:pt>
                <c:pt idx="7">
                  <c:v>-0.382813319750213</c:v>
                </c:pt>
                <c:pt idx="8">
                  <c:v>-0.2220083828865</c:v>
                </c:pt>
                <c:pt idx="9">
                  <c:v>-0.0724383756772795</c:v>
                </c:pt>
                <c:pt idx="10">
                  <c:v>-0.0723885491197578</c:v>
                </c:pt>
                <c:pt idx="11">
                  <c:v>0.0809436319440522</c:v>
                </c:pt>
                <c:pt idx="1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Profile_10'!$Q$32:$Q$32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Profile_10'!$C$30:$M$30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Profile_10'!$R$32:$AD$32</c:f>
              <c:numCache>
                <c:formatCode>0.00</c:formatCode>
                <c:ptCount val="13"/>
                <c:pt idx="0">
                  <c:v>-1.4210736108909</c:v>
                </c:pt>
                <c:pt idx="1">
                  <c:v>-1.478172574786001</c:v>
                </c:pt>
                <c:pt idx="2">
                  <c:v>-1.32150250444036</c:v>
                </c:pt>
                <c:pt idx="3">
                  <c:v>-1.053569030415801</c:v>
                </c:pt>
                <c:pt idx="4">
                  <c:v>-0.81846381937892</c:v>
                </c:pt>
                <c:pt idx="5">
                  <c:v>-0.61511409355198</c:v>
                </c:pt>
                <c:pt idx="6">
                  <c:v>-0.436477630712815</c:v>
                </c:pt>
                <c:pt idx="7">
                  <c:v>-0.277040541972383</c:v>
                </c:pt>
                <c:pt idx="8">
                  <c:v>-0.132842827330897</c:v>
                </c:pt>
                <c:pt idx="9">
                  <c:v>-0.00102059789949749</c:v>
                </c:pt>
                <c:pt idx="10">
                  <c:v>-0.0193785491197573</c:v>
                </c:pt>
                <c:pt idx="11">
                  <c:v>0.0901330763884749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93832"/>
        <c:axId val="2020397080"/>
      </c:scatterChart>
      <c:valAx>
        <c:axId val="20203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97080"/>
        <c:crossesAt val="0.0"/>
        <c:crossBetween val="midCat"/>
      </c:valAx>
      <c:valAx>
        <c:axId val="2020397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938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674080</xdr:colOff>
      <xdr:row>64</xdr:row>
      <xdr:rowOff>141120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7</xdr:col>
      <xdr:colOff>226440</xdr:colOff>
      <xdr:row>96</xdr:row>
      <xdr:rowOff>11160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673879</xdr:colOff>
      <xdr:row>50</xdr:row>
      <xdr:rowOff>27365</xdr:rowOff>
    </xdr:from>
    <xdr:to>
      <xdr:col>8</xdr:col>
      <xdr:colOff>536222</xdr:colOff>
      <xdr:row>67</xdr:row>
      <xdr:rowOff>48605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389297</xdr:colOff>
      <xdr:row>2</xdr:row>
      <xdr:rowOff>42341</xdr:rowOff>
    </xdr:from>
    <xdr:to>
      <xdr:col>15</xdr:col>
      <xdr:colOff>620889</xdr:colOff>
      <xdr:row>20</xdr:row>
      <xdr:rowOff>42334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36919</xdr:colOff>
      <xdr:row>66</xdr:row>
      <xdr:rowOff>147381</xdr:rowOff>
    </xdr:from>
    <xdr:to>
      <xdr:col>23</xdr:col>
      <xdr:colOff>39079</xdr:colOff>
      <xdr:row>84</xdr:row>
      <xdr:rowOff>14119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79612</xdr:colOff>
      <xdr:row>50</xdr:row>
      <xdr:rowOff>2454</xdr:rowOff>
    </xdr:from>
    <xdr:to>
      <xdr:col>17</xdr:col>
      <xdr:colOff>621426</xdr:colOff>
      <xdr:row>67</xdr:row>
      <xdr:rowOff>12893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674080</xdr:colOff>
      <xdr:row>64</xdr:row>
      <xdr:rowOff>141120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9</xdr:col>
      <xdr:colOff>352778</xdr:colOff>
      <xdr:row>99</xdr:row>
      <xdr:rowOff>56444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36300</xdr:colOff>
      <xdr:row>7</xdr:row>
      <xdr:rowOff>131466</xdr:rowOff>
    </xdr:from>
    <xdr:to>
      <xdr:col>26</xdr:col>
      <xdr:colOff>225778</xdr:colOff>
      <xdr:row>24</xdr:row>
      <xdr:rowOff>70556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D10" sqref="D10"/>
    </sheetView>
  </sheetViews>
  <sheetFormatPr baseColWidth="10" defaultColWidth="8.83203125" defaultRowHeight="12" x14ac:dyDescent="0"/>
  <cols>
    <col min="3" max="5" width="8.83203125" style="3"/>
    <col min="7" max="7" width="8.83203125" style="3"/>
  </cols>
  <sheetData>
    <row r="1" spans="3:14">
      <c r="G1" s="26"/>
    </row>
    <row r="2" spans="3:14">
      <c r="G2" s="26"/>
    </row>
    <row r="3" spans="3:14">
      <c r="C3" s="4" t="s">
        <v>0</v>
      </c>
      <c r="G3" s="4" t="s">
        <v>1</v>
      </c>
      <c r="L3" s="5" t="s">
        <v>2</v>
      </c>
    </row>
    <row r="4" spans="3:14">
      <c r="C4" s="3" t="s">
        <v>3</v>
      </c>
      <c r="D4" s="3">
        <v>10</v>
      </c>
      <c r="G4" s="3" t="s">
        <v>4</v>
      </c>
      <c r="H4" s="6">
        <v>5.3770697959999998</v>
      </c>
      <c r="I4" t="s">
        <v>5</v>
      </c>
      <c r="L4" s="3" t="s">
        <v>6</v>
      </c>
      <c r="M4" s="3" t="s">
        <v>7</v>
      </c>
      <c r="N4" s="3" t="s">
        <v>8</v>
      </c>
    </row>
    <row r="5" spans="3:14">
      <c r="C5" s="3" t="s">
        <v>9</v>
      </c>
      <c r="D5" s="3">
        <v>20</v>
      </c>
      <c r="G5" s="3" t="s">
        <v>10</v>
      </c>
      <c r="H5" s="6">
        <v>14.83</v>
      </c>
      <c r="I5" t="s">
        <v>5</v>
      </c>
      <c r="L5" s="3" t="s">
        <v>11</v>
      </c>
      <c r="M5" s="3" t="s">
        <v>12</v>
      </c>
      <c r="N5" s="3">
        <v>1.0543499999999999</v>
      </c>
    </row>
    <row r="6" spans="3:14">
      <c r="C6" s="3" t="s">
        <v>13</v>
      </c>
      <c r="D6" s="3">
        <v>3.6579999999999999</v>
      </c>
      <c r="E6" s="3" t="s">
        <v>14</v>
      </c>
      <c r="G6" s="3" t="s">
        <v>15</v>
      </c>
      <c r="H6" s="7">
        <v>10970.404570000001</v>
      </c>
      <c r="I6" t="s">
        <v>16</v>
      </c>
      <c r="L6" s="3" t="s">
        <v>17</v>
      </c>
      <c r="M6" s="3" t="s">
        <v>14</v>
      </c>
      <c r="N6" s="3">
        <v>0.30480099999999999</v>
      </c>
    </row>
    <row r="7" spans="3:14">
      <c r="C7" s="3" t="s">
        <v>18</v>
      </c>
      <c r="D7" s="3">
        <f>Problem_Setup!D6/Problem_Setup!D5</f>
        <v>0.18290000000000001</v>
      </c>
      <c r="E7" s="3" t="s">
        <v>14</v>
      </c>
      <c r="G7" s="3" t="s">
        <v>19</v>
      </c>
      <c r="H7" s="3">
        <v>8470.57</v>
      </c>
      <c r="I7" t="s">
        <v>16</v>
      </c>
      <c r="L7" s="3" t="s">
        <v>20</v>
      </c>
      <c r="M7" s="3" t="s">
        <v>21</v>
      </c>
      <c r="N7" s="3">
        <f>5/9</f>
        <v>0.55555555555555558</v>
      </c>
    </row>
    <row r="8" spans="3:14">
      <c r="C8" s="3" t="s">
        <v>22</v>
      </c>
      <c r="D8" s="3">
        <f>0.95/2</f>
        <v>0.47499999999999998</v>
      </c>
      <c r="E8" s="3" t="s">
        <v>23</v>
      </c>
      <c r="G8" s="3" t="s">
        <v>24</v>
      </c>
      <c r="H8" s="8">
        <v>0.28894779599999998</v>
      </c>
      <c r="I8" t="s">
        <v>25</v>
      </c>
      <c r="L8" t="s">
        <v>26</v>
      </c>
      <c r="M8" t="s">
        <v>27</v>
      </c>
      <c r="N8">
        <f>1000*t_btu_kw/(t_R_K*t_ft_m^2)/3600</f>
        <v>5.674427240093328</v>
      </c>
    </row>
    <row r="9" spans="3:14">
      <c r="C9" s="3" t="s">
        <v>28</v>
      </c>
      <c r="D9" s="3">
        <f>0.8192/2</f>
        <v>0.40960000000000002</v>
      </c>
      <c r="E9" s="3" t="s">
        <v>23</v>
      </c>
      <c r="G9" s="3" t="s">
        <v>29</v>
      </c>
      <c r="H9" s="8">
        <v>0.43099999999999999</v>
      </c>
      <c r="I9" t="s">
        <v>25</v>
      </c>
    </row>
    <row r="10" spans="3:14">
      <c r="C10" s="3" t="s">
        <v>30</v>
      </c>
      <c r="D10" s="9">
        <f>0.057</f>
        <v>5.7000000000000002E-2</v>
      </c>
      <c r="E10" s="3" t="s">
        <v>23</v>
      </c>
      <c r="G10" s="3" t="s">
        <v>31</v>
      </c>
      <c r="H10" s="7">
        <v>5678.3</v>
      </c>
      <c r="I10" t="s">
        <v>27</v>
      </c>
      <c r="L10" s="10"/>
    </row>
    <row r="11" spans="3:14">
      <c r="C11" s="3" t="s">
        <v>32</v>
      </c>
      <c r="D11" s="3">
        <f>D10-(D8-D9)</f>
        <v>-8.3999999999999561E-3</v>
      </c>
      <c r="E11" s="3" t="s">
        <v>14</v>
      </c>
    </row>
    <row r="12" spans="3:14">
      <c r="C12" s="3" t="s">
        <v>33</v>
      </c>
      <c r="D12" s="3">
        <v>1.26</v>
      </c>
      <c r="E12" s="3" t="s">
        <v>23</v>
      </c>
    </row>
    <row r="13" spans="3:14">
      <c r="C13" s="3" t="s">
        <v>34</v>
      </c>
      <c r="D13" s="17">
        <f>(2*PI()*'SS Rod Radial Profile_10'!O30/100*Problem_Setup!D7)</f>
        <v>5.4586922242814001E-3</v>
      </c>
      <c r="E13" s="3" t="s">
        <v>35</v>
      </c>
      <c r="I13" s="7"/>
    </row>
    <row r="14" spans="3:14">
      <c r="C14" s="3" t="s">
        <v>36</v>
      </c>
      <c r="D14" s="17">
        <f>(D12^2-(PI()*D8^2))*10^-4</f>
        <v>8.7877815753380304E-5</v>
      </c>
      <c r="E14" s="3" t="s">
        <v>35</v>
      </c>
    </row>
    <row r="15" spans="3:14">
      <c r="C15" s="3" t="s">
        <v>37</v>
      </c>
      <c r="D15" s="17">
        <f>2*PI()*D8/100</f>
        <v>2.9845130209103034E-2</v>
      </c>
      <c r="E15" s="3" t="s">
        <v>14</v>
      </c>
      <c r="G15" s="4" t="s">
        <v>38</v>
      </c>
      <c r="M15" s="10"/>
    </row>
    <row r="16" spans="3:14">
      <c r="C16" s="3" t="s">
        <v>39</v>
      </c>
      <c r="E16" s="3" t="s">
        <v>40</v>
      </c>
      <c r="G16" s="3" t="s">
        <v>41</v>
      </c>
      <c r="H16" s="9">
        <v>0.31110354838709697</v>
      </c>
      <c r="I16" t="s">
        <v>42</v>
      </c>
    </row>
    <row r="17" spans="3:10">
      <c r="C17" s="3" t="s">
        <v>43</v>
      </c>
      <c r="D17" s="3">
        <f>A_surf*L_chan</f>
        <v>1.9967896156421361E-2</v>
      </c>
      <c r="E17" s="3" t="s">
        <v>44</v>
      </c>
      <c r="G17" s="3" t="s">
        <v>45</v>
      </c>
      <c r="H17" s="9">
        <v>3.8641217872042999E-2</v>
      </c>
      <c r="I17" t="s">
        <v>46</v>
      </c>
    </row>
    <row r="18" spans="3:10">
      <c r="C18" s="3" t="s">
        <v>47</v>
      </c>
      <c r="D18" s="3">
        <f>vol_fuel*Rho_fuel</f>
        <v>219.05589924769035</v>
      </c>
      <c r="E18" s="3" t="s">
        <v>48</v>
      </c>
      <c r="G18" s="3" t="s">
        <v>49</v>
      </c>
      <c r="H18" s="9">
        <f>Problem_Setup!D6/(2*'SS Rod Radial Profile_10'!O30/100)</f>
        <v>385.05136828705753</v>
      </c>
      <c r="J18" t="s">
        <v>50</v>
      </c>
    </row>
    <row r="19" spans="3:10">
      <c r="G19" s="3" t="s">
        <v>51</v>
      </c>
      <c r="H19" s="9">
        <v>738.52997840246906</v>
      </c>
    </row>
    <row r="20" spans="3:10">
      <c r="G20" s="3" t="s">
        <v>52</v>
      </c>
      <c r="H20" s="17">
        <v>449606.21216661902</v>
      </c>
      <c r="J20" t="s">
        <v>53</v>
      </c>
    </row>
    <row r="21" spans="3:10">
      <c r="G21" s="3" t="s">
        <v>54</v>
      </c>
      <c r="H21" s="9">
        <v>0.91397880732911596</v>
      </c>
      <c r="J21" t="s">
        <v>55</v>
      </c>
    </row>
    <row r="22" spans="3:10">
      <c r="C22" s="4" t="s">
        <v>56</v>
      </c>
      <c r="G22" s="3" t="s">
        <v>57</v>
      </c>
      <c r="H22" s="9">
        <v>1.65522355798267</v>
      </c>
      <c r="I22" t="s">
        <v>58</v>
      </c>
    </row>
    <row r="23" spans="3:10">
      <c r="C23" s="3" t="s">
        <v>59</v>
      </c>
      <c r="D23" s="3">
        <v>4</v>
      </c>
      <c r="E23" s="3" t="s">
        <v>60</v>
      </c>
      <c r="G23" s="3" t="s">
        <v>57</v>
      </c>
      <c r="H23" s="17">
        <f>Problem_Setup!H22*3600*t_htc</f>
        <v>33812.804325099816</v>
      </c>
      <c r="I23" t="s">
        <v>27</v>
      </c>
    </row>
    <row r="24" spans="3:10">
      <c r="C24" s="3" t="s">
        <v>61</v>
      </c>
      <c r="D24" s="8">
        <f>Problem_Setup!D23*Problem_Setup!D6</f>
        <v>14.632</v>
      </c>
      <c r="E24" s="3" t="s">
        <v>62</v>
      </c>
      <c r="G24" s="3" t="s">
        <v>63</v>
      </c>
      <c r="H24" s="9">
        <f>Problem_Setup!D24*1000/(Problem_Setup!H23*A_surf*Problem_Setup!D5)</f>
        <v>3.9637284808690443</v>
      </c>
      <c r="I24" t="s">
        <v>21</v>
      </c>
    </row>
    <row r="25" spans="3:10">
      <c r="C25" s="3" t="s">
        <v>64</v>
      </c>
      <c r="D25" s="3">
        <f>Problem_Setup!D23/(PI()*((Problem_Setup!D9/100)^2))</f>
        <v>75890.990777919462</v>
      </c>
      <c r="E25" s="3" t="s">
        <v>65</v>
      </c>
    </row>
    <row r="26" spans="3:10">
      <c r="C26" s="3" t="s">
        <v>66</v>
      </c>
      <c r="D26" s="3">
        <f>Problem_Setup!D24/A_surf</f>
        <v>2680.4955104290025</v>
      </c>
      <c r="E26" s="3" t="s">
        <v>67</v>
      </c>
    </row>
    <row r="27" spans="3:10">
      <c r="G27" s="4" t="s">
        <v>68</v>
      </c>
    </row>
    <row r="28" spans="3:10">
      <c r="G28" s="3" t="s">
        <v>69</v>
      </c>
      <c r="H28">
        <f>1/(hgap*2*PI()*R_fuel/100*dz)</f>
        <v>3.7413483328712444E-2</v>
      </c>
      <c r="I28" t="s">
        <v>70</v>
      </c>
    </row>
    <row r="29" spans="3:10">
      <c r="C29" s="4" t="s">
        <v>71</v>
      </c>
      <c r="G29" s="3" t="s">
        <v>72</v>
      </c>
      <c r="H29">
        <f>LN(R_rod/(R_rod-D10))/(2*PI()*dz*k_clad)</f>
        <v>7.5008333807945705E-3</v>
      </c>
      <c r="I29" t="s">
        <v>70</v>
      </c>
    </row>
    <row r="30" spans="3:10">
      <c r="C30" s="3" t="s">
        <v>73</v>
      </c>
      <c r="D30" s="3">
        <v>0.3</v>
      </c>
      <c r="E30" s="3" t="s">
        <v>74</v>
      </c>
      <c r="G30" s="3" t="s">
        <v>75</v>
      </c>
      <c r="H30">
        <f>1/(A_surf*H23)</f>
        <v>5.417890214419142E-3</v>
      </c>
      <c r="I30" t="s">
        <v>70</v>
      </c>
    </row>
    <row r="31" spans="3:10">
      <c r="C31" s="3" t="s">
        <v>76</v>
      </c>
      <c r="D31" s="3">
        <v>16.5</v>
      </c>
      <c r="E31" s="3" t="s">
        <v>77</v>
      </c>
    </row>
    <row r="32" spans="3:10">
      <c r="C32" s="3" t="s">
        <v>78</v>
      </c>
      <c r="D32" s="3">
        <v>290</v>
      </c>
      <c r="E32" s="3" t="s">
        <v>79</v>
      </c>
      <c r="G32" s="4" t="s">
        <v>80</v>
      </c>
    </row>
    <row r="33" spans="1:9">
      <c r="C33" s="3" t="s">
        <v>81</v>
      </c>
      <c r="D33" s="3">
        <v>1283.8</v>
      </c>
      <c r="E33" s="3" t="s">
        <v>82</v>
      </c>
      <c r="G33" s="3" t="s">
        <v>83</v>
      </c>
      <c r="H33">
        <f>q_lin*dz*1000*H28</f>
        <v>27.371704403286024</v>
      </c>
      <c r="I33" t="s">
        <v>21</v>
      </c>
    </row>
    <row r="34" spans="1:9">
      <c r="C34" s="3" t="s">
        <v>84</v>
      </c>
      <c r="D34" s="3">
        <v>5.2188999999999997</v>
      </c>
      <c r="E34" s="3" t="s">
        <v>85</v>
      </c>
      <c r="G34" s="3" t="s">
        <v>86</v>
      </c>
      <c r="H34">
        <f>q_lin*dz*1000*H29</f>
        <v>5.4876097013893084</v>
      </c>
      <c r="I34" t="s">
        <v>21</v>
      </c>
    </row>
    <row r="35" spans="1:9">
      <c r="C35" s="3" t="s">
        <v>87</v>
      </c>
      <c r="D35" s="3">
        <v>0.58213000000000004</v>
      </c>
      <c r="E35" s="3" t="s">
        <v>88</v>
      </c>
      <c r="G35" s="3" t="s">
        <v>89</v>
      </c>
      <c r="H35">
        <f>q_lin*dz*1000*H30</f>
        <v>3.9637284808690443</v>
      </c>
      <c r="I35" t="s">
        <v>21</v>
      </c>
    </row>
    <row r="36" spans="1:9">
      <c r="C36" s="3" t="s">
        <v>90</v>
      </c>
      <c r="D36" s="11">
        <v>9.2744999999999994E-5</v>
      </c>
      <c r="E36" s="3" t="s">
        <v>91</v>
      </c>
    </row>
    <row r="37" spans="1:9">
      <c r="A37" s="3" t="s">
        <v>92</v>
      </c>
      <c r="B37" s="3">
        <f>(D34+D38)/2</f>
        <v>5.3213499999999998</v>
      </c>
      <c r="C37" s="3" t="s">
        <v>93</v>
      </c>
      <c r="D37" s="3">
        <f>D32+D24/(B37*M_dot)</f>
        <v>299.1655939438927</v>
      </c>
      <c r="E37" s="3" t="s">
        <v>79</v>
      </c>
    </row>
    <row r="38" spans="1:9">
      <c r="A38" s="3" t="s">
        <v>85</v>
      </c>
      <c r="C38" s="3" t="s">
        <v>94</v>
      </c>
      <c r="D38" s="3">
        <v>5.4238</v>
      </c>
      <c r="E38" s="3" t="s">
        <v>85</v>
      </c>
    </row>
    <row r="39" spans="1:9">
      <c r="C39" s="3" t="s">
        <v>95</v>
      </c>
      <c r="D39" s="3">
        <v>0.58213000000000004</v>
      </c>
      <c r="E39" s="3" t="s">
        <v>88</v>
      </c>
    </row>
    <row r="40" spans="1:9">
      <c r="C40" s="3" t="s">
        <v>96</v>
      </c>
      <c r="E40" s="3" t="s">
        <v>91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19" zoomScale="90" zoomScaleNormal="90" zoomScalePageLayoutView="90" workbookViewId="0">
      <selection activeCell="D45" sqref="D45"/>
    </sheetView>
  </sheetViews>
  <sheetFormatPr baseColWidth="10" defaultColWidth="8.83203125" defaultRowHeight="12" x14ac:dyDescent="0"/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5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8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8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5" t="s">
        <v>108</v>
      </c>
    </row>
    <row r="17" spans="1:25">
      <c r="B17" s="3"/>
      <c r="C17" s="3" t="s">
        <v>109</v>
      </c>
      <c r="D17" s="3" t="s">
        <v>110</v>
      </c>
      <c r="E17" s="3" t="s">
        <v>111</v>
      </c>
    </row>
    <row r="18" spans="1:25">
      <c r="B18" s="3"/>
      <c r="C18" s="3" t="s">
        <v>82</v>
      </c>
      <c r="D18" s="3" t="s">
        <v>62</v>
      </c>
      <c r="E18" s="3" t="s">
        <v>60</v>
      </c>
    </row>
    <row r="19" spans="1:25">
      <c r="B19" s="3" t="s">
        <v>112</v>
      </c>
      <c r="C19" s="3">
        <f>q_lin*L_chan/(M_dot)</f>
        <v>48.773333333333333</v>
      </c>
      <c r="D19" s="12">
        <f>M_dot*C19</f>
        <v>14.632</v>
      </c>
      <c r="E19" s="6">
        <f>q_lin</f>
        <v>4</v>
      </c>
      <c r="F19" t="s">
        <v>113</v>
      </c>
    </row>
    <row r="20" spans="1:25">
      <c r="B20" s="3" t="s">
        <v>105</v>
      </c>
      <c r="C20" s="6">
        <f>E10-$E$9</f>
        <v>49.509889551534116</v>
      </c>
      <c r="D20" s="12">
        <f>M_dot*C20</f>
        <v>14.852966865460234</v>
      </c>
      <c r="E20" s="6">
        <f>D20/L_chan</f>
        <v>4.060406469507992</v>
      </c>
      <c r="F20" s="13">
        <f>(E20-$E$19)/$E$19</f>
        <v>1.5101617376998E-2</v>
      </c>
    </row>
    <row r="21" spans="1:25">
      <c r="B21" s="3" t="s">
        <v>106</v>
      </c>
      <c r="C21" s="6">
        <f>E11-$E$9</f>
        <v>49.574486707103915</v>
      </c>
      <c r="D21" s="12">
        <f>M_dot*C21</f>
        <v>14.872346012131175</v>
      </c>
      <c r="E21" s="6">
        <f>D21/L_chan</f>
        <v>4.0657042132671339</v>
      </c>
      <c r="F21" s="13">
        <f>(E21-$E$19)/$E$19</f>
        <v>1.6426053316783484E-2</v>
      </c>
    </row>
    <row r="22" spans="1:25">
      <c r="B22" s="3" t="s">
        <v>107</v>
      </c>
      <c r="C22" s="6">
        <f>E12-$E$9</f>
        <v>49.493180482254502</v>
      </c>
      <c r="D22" s="12">
        <f>M_dot*C22</f>
        <v>14.847954144676351</v>
      </c>
      <c r="E22" s="6">
        <f>D22/L_chan</f>
        <v>4.0590361248431792</v>
      </c>
      <c r="F22" s="13">
        <f>(E22-$E$19)/$E$19</f>
        <v>1.4759031210794804E-2</v>
      </c>
    </row>
    <row r="23" spans="1:25">
      <c r="C23" s="5" t="s">
        <v>99</v>
      </c>
      <c r="K23" s="3" t="s">
        <v>114</v>
      </c>
    </row>
    <row r="24" spans="1:25">
      <c r="B24" t="s">
        <v>115</v>
      </c>
      <c r="D24" s="10">
        <f>D25</f>
        <v>2.11162829960637E-3</v>
      </c>
      <c r="E24" s="10">
        <f>E25</f>
        <v>4.7217444211321404E-3</v>
      </c>
      <c r="F24">
        <f>F25-E25</f>
        <v>2.89183968781947E-3</v>
      </c>
      <c r="G24">
        <f>G25-F25</f>
        <v>2.9445573890802901E-3</v>
      </c>
      <c r="H24">
        <f>H25-G25</f>
        <v>2.8801787119419001E-3</v>
      </c>
      <c r="I24">
        <f>I25-H25</f>
        <v>2.7559055118109993E-4</v>
      </c>
      <c r="J24">
        <f>J25-I25</f>
        <v>1.8700787401573996E-3</v>
      </c>
      <c r="K24" s="14">
        <f>(t_in+q_lin*dz*2/(M_dot*cp_in))*9/5+32</f>
        <v>555.68219356569398</v>
      </c>
    </row>
    <row r="25" spans="1:25">
      <c r="B25" t="s">
        <v>116</v>
      </c>
      <c r="C25" s="10">
        <v>0</v>
      </c>
      <c r="D25" s="10">
        <v>2.11162829960637E-3</v>
      </c>
      <c r="E25" s="10">
        <v>4.7217444211321404E-3</v>
      </c>
      <c r="F25" s="10">
        <v>7.6135841089516104E-3</v>
      </c>
      <c r="G25" s="10">
        <v>1.05581414980319E-2</v>
      </c>
      <c r="H25" s="10">
        <v>1.3438320209973801E-2</v>
      </c>
      <c r="I25" s="10">
        <v>1.3713910761154901E-2</v>
      </c>
      <c r="J25" s="10">
        <v>1.55839895013123E-2</v>
      </c>
      <c r="K25" s="10">
        <f>K24</f>
        <v>555.68219356569398</v>
      </c>
    </row>
    <row r="26" spans="1:25">
      <c r="A26" t="s">
        <v>117</v>
      </c>
      <c r="B26" s="3" t="s">
        <v>105</v>
      </c>
      <c r="C26" s="6">
        <f>1/3*(4*D26-E26)</f>
        <v>722.30656733333331</v>
      </c>
      <c r="D26" s="24">
        <v>719.22505999999998</v>
      </c>
      <c r="E26" s="6">
        <v>709.98053800000002</v>
      </c>
      <c r="F26" s="6">
        <v>691.125854</v>
      </c>
      <c r="G26" s="6">
        <v>661.50276199999996</v>
      </c>
      <c r="H26" s="6">
        <v>621.49555399999997</v>
      </c>
      <c r="I26" s="6">
        <v>573.28956300000004</v>
      </c>
      <c r="J26" s="6">
        <v>563.42727300000001</v>
      </c>
      <c r="K26" s="6">
        <v>563.42727300000001</v>
      </c>
    </row>
    <row r="27" spans="1:25">
      <c r="A27" t="s">
        <v>117</v>
      </c>
      <c r="B27" s="3" t="s">
        <v>106</v>
      </c>
      <c r="C27" s="6">
        <f>1/3*(4*D27-E27)</f>
        <v>722.65344966666657</v>
      </c>
      <c r="D27" s="25">
        <v>719.56436599999995</v>
      </c>
      <c r="E27">
        <v>710.29711499999996</v>
      </c>
      <c r="F27">
        <v>691.39834599999995</v>
      </c>
      <c r="G27">
        <v>661.71212700000001</v>
      </c>
      <c r="H27">
        <v>621.63046899999995</v>
      </c>
      <c r="I27">
        <v>573.328937</v>
      </c>
      <c r="J27">
        <v>563.44662300000005</v>
      </c>
      <c r="K27">
        <v>563.44662300000005</v>
      </c>
    </row>
    <row r="28" spans="1:25">
      <c r="A28" t="s">
        <v>117</v>
      </c>
      <c r="B28" s="3" t="s">
        <v>107</v>
      </c>
      <c r="C28" s="6">
        <f>1/3*(4*D28-E28)</f>
        <v>722.2483543333334</v>
      </c>
      <c r="D28" s="25">
        <v>719.16811900000005</v>
      </c>
      <c r="E28">
        <v>709.927413</v>
      </c>
      <c r="F28" s="10">
        <v>691.08012799999995</v>
      </c>
      <c r="G28" s="10">
        <v>661.46763099999998</v>
      </c>
      <c r="H28" s="10">
        <v>621.47291900000005</v>
      </c>
      <c r="I28" s="10">
        <v>573.282963</v>
      </c>
      <c r="J28" s="10">
        <v>563.42403400000001</v>
      </c>
      <c r="K28" s="10">
        <v>563.42403400000001</v>
      </c>
      <c r="M28" s="10"/>
    </row>
    <row r="29" spans="1:25">
      <c r="C29" s="5" t="s">
        <v>118</v>
      </c>
      <c r="K29" t="e">
        <f>D24/D5*I29</f>
        <v>#DIV/0!</v>
      </c>
    </row>
    <row r="30" spans="1:25">
      <c r="B30" s="3" t="s">
        <v>119</v>
      </c>
      <c r="C30" s="6">
        <f t="shared" ref="C30:J30" si="0">(C25)*t_ft_m*100</f>
        <v>0</v>
      </c>
      <c r="D30" s="6">
        <f t="shared" si="0"/>
        <v>6.436264173483211E-2</v>
      </c>
      <c r="E30" s="6">
        <f t="shared" si="0"/>
        <v>0.14391924213054974</v>
      </c>
      <c r="F30" s="6">
        <f t="shared" si="0"/>
        <v>0.23206280499925594</v>
      </c>
      <c r="G30" s="6">
        <f t="shared" si="0"/>
        <v>0.32181320867416213</v>
      </c>
      <c r="H30" s="6">
        <f t="shared" si="0"/>
        <v>0.40960134383202246</v>
      </c>
      <c r="I30" s="6">
        <f t="shared" si="0"/>
        <v>0.41800137139107751</v>
      </c>
      <c r="J30" s="6">
        <f t="shared" si="0"/>
        <v>0.47500155839894903</v>
      </c>
      <c r="L30" s="6"/>
      <c r="M30" s="4" t="s">
        <v>120</v>
      </c>
      <c r="N30" s="8"/>
      <c r="O30" s="3"/>
      <c r="P30" s="3"/>
      <c r="Q30" s="3"/>
      <c r="R30" s="3"/>
      <c r="S30" s="3"/>
      <c r="T30" s="3"/>
      <c r="U30" s="3"/>
    </row>
    <row r="31" spans="1:25">
      <c r="A31" t="s">
        <v>121</v>
      </c>
      <c r="B31" s="3" t="s">
        <v>112</v>
      </c>
      <c r="C31" s="6">
        <f>q_dot*1000/(4*k_fuel)*((R_fuel/100)^2)*(1-(C30/R_fuel)^2)+delta_gap+delta_clad</f>
        <v>92.056962314594657</v>
      </c>
      <c r="D31" s="6">
        <f>q_dot*1000/(4*k_fuel)*((R_fuel/100)^2)*(1-(D30/R_fuel)^2)+delta_gap+delta_clad</f>
        <v>90.595282397395437</v>
      </c>
      <c r="E31" s="6">
        <f>q_dot*1000/(4*k_fuel)*((R_fuel/100)^2)*(1-(E30/R_fuel)^2)+delta_gap+delta_clad</f>
        <v>84.748562728598543</v>
      </c>
      <c r="F31" s="6">
        <f>q_dot*1000/(4*k_fuel)*((R_fuel/100)^2)*(1-(F30/R_fuel)^2)+delta_gap+delta_clad</f>
        <v>73.055123391004784</v>
      </c>
      <c r="G31" s="6">
        <f>q_dot*1000/(4*k_fuel)*((R_fuel/100)^2)*(1-(G30/R_fuel)^2)+delta_gap+delta_clad</f>
        <v>55.514964384613862</v>
      </c>
      <c r="H31" s="6">
        <f>delta_gap+delta_clad</f>
        <v>32.859314104675335</v>
      </c>
      <c r="I31" s="6">
        <f>delta_clad</f>
        <v>5.4876097013893084</v>
      </c>
      <c r="J31" s="6">
        <v>0</v>
      </c>
      <c r="K31" s="6">
        <f>-delta_fluid</f>
        <v>-3.9637284808690443</v>
      </c>
      <c r="L31" s="3" t="s">
        <v>105</v>
      </c>
      <c r="M31" s="7">
        <f t="shared" ref="M31:Q33" si="1">C32-C$31</f>
        <v>-3.7906876849650502</v>
      </c>
      <c r="N31" s="7">
        <f t="shared" si="1"/>
        <v>-4.0409562862843416</v>
      </c>
      <c r="O31" s="7">
        <f t="shared" si="1"/>
        <v>-3.3300821730429817</v>
      </c>
      <c r="P31" s="7">
        <f t="shared" si="1"/>
        <v>-2.1114672798936738</v>
      </c>
      <c r="Q31" s="7">
        <f t="shared" si="1"/>
        <v>-1.0285816068361129</v>
      </c>
      <c r="R31" s="7">
        <f t="shared" ref="R31:U33" si="2">C32-C$31</f>
        <v>-3.7906876849650502</v>
      </c>
      <c r="S31" s="7">
        <f t="shared" si="2"/>
        <v>-4.0409562862843416</v>
      </c>
      <c r="T31" s="7">
        <f t="shared" si="2"/>
        <v>-3.3300821730429817</v>
      </c>
      <c r="U31" s="7">
        <f t="shared" si="2"/>
        <v>-2.1114672798936738</v>
      </c>
      <c r="V31" s="7">
        <f>H32-H$31</f>
        <v>-0.5991579935642477</v>
      </c>
      <c r="W31" s="7">
        <f t="shared" ref="W31:Y33" si="3">H32-H$31</f>
        <v>-0.5991579935642477</v>
      </c>
      <c r="X31" s="7">
        <f t="shared" si="3"/>
        <v>-8.5597013892915186E-3</v>
      </c>
      <c r="Y31" s="7">
        <f t="shared" si="3"/>
        <v>0</v>
      </c>
    </row>
    <row r="32" spans="1:25">
      <c r="A32" t="s">
        <v>121</v>
      </c>
      <c r="B32" s="3" t="s">
        <v>105</v>
      </c>
      <c r="C32" s="6">
        <f t="shared" ref="C32:J34" si="4">(C26-$J26)*t_R_K</f>
        <v>88.266274629629606</v>
      </c>
      <c r="D32" s="6">
        <f t="shared" si="4"/>
        <v>86.554326111111095</v>
      </c>
      <c r="E32" s="6">
        <f t="shared" si="4"/>
        <v>81.418480555555561</v>
      </c>
      <c r="F32" s="6">
        <f t="shared" si="4"/>
        <v>70.94365611111111</v>
      </c>
      <c r="G32" s="6">
        <f t="shared" si="4"/>
        <v>54.486382777777749</v>
      </c>
      <c r="H32" s="6">
        <f t="shared" si="4"/>
        <v>32.260156111111087</v>
      </c>
      <c r="I32" s="6">
        <f t="shared" si="4"/>
        <v>5.4790500000000169</v>
      </c>
      <c r="J32" s="6">
        <f t="shared" si="4"/>
        <v>0</v>
      </c>
      <c r="K32" s="6">
        <f>(K25-$H26)*t_R_K</f>
        <v>-36.562978019058889</v>
      </c>
      <c r="L32" s="3" t="s">
        <v>106</v>
      </c>
      <c r="M32" s="7">
        <f t="shared" si="1"/>
        <v>-3.6087252775576957</v>
      </c>
      <c r="N32" s="7">
        <f t="shared" si="1"/>
        <v>-3.8632029529510419</v>
      </c>
      <c r="O32" s="7">
        <f t="shared" si="1"/>
        <v>-3.1649560619319175</v>
      </c>
      <c r="P32" s="7">
        <f t="shared" si="1"/>
        <v>-1.9708328354492863</v>
      </c>
      <c r="Q32" s="7">
        <f t="shared" si="1"/>
        <v>-0.92301771794721077</v>
      </c>
      <c r="R32" s="7">
        <f t="shared" si="2"/>
        <v>-3.6087252775576957</v>
      </c>
      <c r="S32" s="7">
        <f t="shared" si="2"/>
        <v>-3.8632029529510419</v>
      </c>
      <c r="T32" s="7">
        <f t="shared" si="2"/>
        <v>-3.1649560619319175</v>
      </c>
      <c r="U32" s="7">
        <f t="shared" si="2"/>
        <v>-1.9708328354492863</v>
      </c>
      <c r="V32" s="7">
        <f>H33-H$31</f>
        <v>-0.5349552157864963</v>
      </c>
      <c r="W32" s="7">
        <f t="shared" si="3"/>
        <v>-0.5349552157864963</v>
      </c>
      <c r="X32" s="7">
        <f t="shared" si="3"/>
        <v>2.564743055109453E-3</v>
      </c>
      <c r="Y32" s="7">
        <f t="shared" si="3"/>
        <v>0</v>
      </c>
    </row>
    <row r="33" spans="1:30">
      <c r="A33" t="s">
        <v>121</v>
      </c>
      <c r="B33" s="3" t="s">
        <v>106</v>
      </c>
      <c r="C33" s="6">
        <f t="shared" si="4"/>
        <v>88.448237037036961</v>
      </c>
      <c r="D33" s="6">
        <f t="shared" si="4"/>
        <v>86.732079444444395</v>
      </c>
      <c r="E33" s="6">
        <f t="shared" si="4"/>
        <v>81.583606666666626</v>
      </c>
      <c r="F33" s="6">
        <f t="shared" si="4"/>
        <v>71.084290555555498</v>
      </c>
      <c r="G33" s="6">
        <f t="shared" si="4"/>
        <v>54.591946666666651</v>
      </c>
      <c r="H33" s="6">
        <f t="shared" si="4"/>
        <v>32.324358888888838</v>
      </c>
      <c r="I33" s="6">
        <f t="shared" si="4"/>
        <v>5.4901744444444178</v>
      </c>
      <c r="J33" s="6">
        <f t="shared" si="4"/>
        <v>0</v>
      </c>
      <c r="K33" s="6">
        <f>(K26-$H27)*t_R_K</f>
        <v>-32.335108888888854</v>
      </c>
      <c r="L33" s="3" t="s">
        <v>107</v>
      </c>
      <c r="M33" s="7">
        <f t="shared" si="1"/>
        <v>-3.8212287960760989</v>
      </c>
      <c r="N33" s="7">
        <f t="shared" si="1"/>
        <v>-4.0707907307287456</v>
      </c>
      <c r="O33" s="7">
        <f t="shared" si="1"/>
        <v>-3.3577966174874376</v>
      </c>
      <c r="P33" s="7">
        <f t="shared" si="1"/>
        <v>-2.1350711687825878</v>
      </c>
      <c r="Q33" s="7">
        <f t="shared" si="1"/>
        <v>-1.0462993846138744</v>
      </c>
      <c r="R33" s="7">
        <f t="shared" si="2"/>
        <v>-3.8212287960760989</v>
      </c>
      <c r="S33" s="7">
        <f t="shared" si="2"/>
        <v>-4.0707907307287456</v>
      </c>
      <c r="T33" s="7">
        <f t="shared" si="2"/>
        <v>-3.3577966174874376</v>
      </c>
      <c r="U33" s="7">
        <f t="shared" si="2"/>
        <v>-2.1350711687825878</v>
      </c>
      <c r="V33" s="7">
        <f>H34-H$31</f>
        <v>-0.60993354911975217</v>
      </c>
      <c r="W33" s="7">
        <f t="shared" si="3"/>
        <v>-0.60993354911975217</v>
      </c>
      <c r="X33" s="7">
        <f t="shared" si="3"/>
        <v>-1.0426923611536409E-2</v>
      </c>
      <c r="Y33" s="7">
        <f t="shared" si="3"/>
        <v>0</v>
      </c>
    </row>
    <row r="34" spans="1:30">
      <c r="A34" t="s">
        <v>121</v>
      </c>
      <c r="B34" s="3" t="s">
        <v>107</v>
      </c>
      <c r="C34" s="6">
        <f t="shared" si="4"/>
        <v>88.235733518518558</v>
      </c>
      <c r="D34" s="6">
        <f t="shared" si="4"/>
        <v>86.524491666666691</v>
      </c>
      <c r="E34" s="6">
        <f t="shared" si="4"/>
        <v>81.390766111111105</v>
      </c>
      <c r="F34" s="6">
        <f t="shared" si="4"/>
        <v>70.920052222222196</v>
      </c>
      <c r="G34" s="6">
        <f t="shared" si="4"/>
        <v>54.468664999999987</v>
      </c>
      <c r="H34" s="6">
        <f t="shared" si="4"/>
        <v>32.249380555555582</v>
      </c>
      <c r="I34" s="6">
        <f t="shared" si="4"/>
        <v>5.477182777777772</v>
      </c>
      <c r="J34" s="6">
        <f t="shared" si="4"/>
        <v>0</v>
      </c>
      <c r="K34" s="6">
        <f>(K27-$H28)*t_R_K</f>
        <v>-32.236831111111115</v>
      </c>
    </row>
    <row r="35" spans="1:30">
      <c r="B35" s="3"/>
      <c r="C35" s="6"/>
      <c r="D35" s="6"/>
      <c r="E35" s="6"/>
      <c r="F35" s="6"/>
      <c r="G35" s="6"/>
      <c r="H35" s="6"/>
      <c r="I35" s="6"/>
      <c r="J35" s="6"/>
      <c r="K35" s="6"/>
    </row>
    <row r="36" spans="1:30">
      <c r="C36" s="5" t="s">
        <v>122</v>
      </c>
    </row>
    <row r="37" spans="1:30">
      <c r="B37" s="3" t="s">
        <v>119</v>
      </c>
      <c r="C37" s="8">
        <f t="shared" ref="C37:J37" si="5">(C25)*t_ft_m*100</f>
        <v>0</v>
      </c>
      <c r="D37" s="8">
        <f t="shared" si="5"/>
        <v>6.436264173483211E-2</v>
      </c>
      <c r="E37" s="8">
        <f t="shared" si="5"/>
        <v>0.14391924213054974</v>
      </c>
      <c r="F37" s="8">
        <f t="shared" si="5"/>
        <v>0.23206280499925594</v>
      </c>
      <c r="G37" s="8">
        <f t="shared" si="5"/>
        <v>0.32181320867416213</v>
      </c>
      <c r="H37" s="8">
        <f t="shared" si="5"/>
        <v>0.40960134383202246</v>
      </c>
      <c r="I37" s="8">
        <f t="shared" si="5"/>
        <v>0.41800137139107751</v>
      </c>
      <c r="J37" s="8">
        <f t="shared" si="5"/>
        <v>0.47500155839894903</v>
      </c>
      <c r="K37" s="8"/>
    </row>
    <row r="38" spans="1:30">
      <c r="A38" t="s">
        <v>121</v>
      </c>
      <c r="B38" s="3" t="s">
        <v>112</v>
      </c>
      <c r="C38" s="6">
        <f t="shared" ref="C38:J41" si="6">C31+$K38-$K31</f>
        <v>386.95524277640487</v>
      </c>
      <c r="D38" s="6">
        <f t="shared" si="6"/>
        <v>385.49356285920561</v>
      </c>
      <c r="E38" s="6">
        <f t="shared" si="6"/>
        <v>379.64684319040873</v>
      </c>
      <c r="F38" s="6">
        <f t="shared" si="6"/>
        <v>367.95340385281497</v>
      </c>
      <c r="G38" s="6">
        <f t="shared" si="6"/>
        <v>350.41324484642405</v>
      </c>
      <c r="H38" s="6">
        <f t="shared" si="6"/>
        <v>327.75759456648552</v>
      </c>
      <c r="I38" s="6">
        <f t="shared" si="6"/>
        <v>300.38589016319952</v>
      </c>
      <c r="J38" s="6">
        <f t="shared" si="6"/>
        <v>294.8982804618102</v>
      </c>
      <c r="K38" s="6">
        <f>5/9*(K24-32)</f>
        <v>290.93455198094114</v>
      </c>
      <c r="L38" s="6"/>
      <c r="M38" s="4" t="s">
        <v>123</v>
      </c>
      <c r="N38" s="8"/>
      <c r="O38" s="3"/>
      <c r="P38" s="3"/>
      <c r="Q38" s="3"/>
      <c r="R38" s="3"/>
      <c r="S38" s="3"/>
      <c r="T38" s="3"/>
      <c r="U38" s="3"/>
    </row>
    <row r="39" spans="1:30">
      <c r="A39" t="s">
        <v>121</v>
      </c>
      <c r="B39" s="3" t="s">
        <v>105</v>
      </c>
      <c r="C39" s="6">
        <f t="shared" si="6"/>
        <v>415.76380462962965</v>
      </c>
      <c r="D39" s="6">
        <f t="shared" si="6"/>
        <v>414.05185611111114</v>
      </c>
      <c r="E39" s="6">
        <f t="shared" si="6"/>
        <v>408.9160105555556</v>
      </c>
      <c r="F39" s="6">
        <f t="shared" si="6"/>
        <v>398.44118611111116</v>
      </c>
      <c r="G39" s="6">
        <f t="shared" si="6"/>
        <v>381.98391277777779</v>
      </c>
      <c r="H39" s="6">
        <f t="shared" si="6"/>
        <v>359.75768611111113</v>
      </c>
      <c r="I39" s="6">
        <f t="shared" si="6"/>
        <v>332.97658000000007</v>
      </c>
      <c r="J39" s="6">
        <f t="shared" si="6"/>
        <v>327.49753000000004</v>
      </c>
      <c r="K39" s="6">
        <f>5/9*(K25-32)</f>
        <v>290.93455198094114</v>
      </c>
      <c r="L39" s="3" t="s">
        <v>105</v>
      </c>
      <c r="M39" s="15">
        <f t="shared" ref="M39:Q41" si="7">(C39-C$38)/C$38</f>
        <v>7.4449338498486978E-2</v>
      </c>
      <c r="N39" s="15">
        <f t="shared" si="7"/>
        <v>7.4082412790731633E-2</v>
      </c>
      <c r="O39" s="15">
        <f t="shared" si="7"/>
        <v>7.7095774375943282E-2</v>
      </c>
      <c r="P39" s="15">
        <f t="shared" si="7"/>
        <v>8.2857725839904472E-2</v>
      </c>
      <c r="Q39" s="15">
        <f t="shared" si="7"/>
        <v>9.0095532619465471E-2</v>
      </c>
      <c r="R39" s="15">
        <f t="shared" ref="R39:U41" si="8">(C39-C$38)/C$38</f>
        <v>7.4449338498486978E-2</v>
      </c>
      <c r="S39" s="15">
        <f t="shared" si="8"/>
        <v>7.4082412790731633E-2</v>
      </c>
      <c r="T39" s="15">
        <f t="shared" si="8"/>
        <v>7.7095774375943282E-2</v>
      </c>
      <c r="U39" s="15">
        <f t="shared" si="8"/>
        <v>8.2857725839904472E-2</v>
      </c>
      <c r="V39" s="15">
        <f>(H39-H$38)/H$38</f>
        <v>9.763340979772292E-2</v>
      </c>
      <c r="W39" s="15">
        <f t="shared" ref="W39:Y41" si="9">(H39-H$38)/H$38</f>
        <v>9.763340979772292E-2</v>
      </c>
      <c r="X39" s="15">
        <f t="shared" si="9"/>
        <v>0.10849607423003138</v>
      </c>
      <c r="Y39" s="15">
        <f t="shared" si="9"/>
        <v>0.11054404755137762</v>
      </c>
    </row>
    <row r="40" spans="1:30">
      <c r="A40" t="s">
        <v>121</v>
      </c>
      <c r="B40" s="3" t="s">
        <v>106</v>
      </c>
      <c r="C40" s="6">
        <f t="shared" si="6"/>
        <v>416.0207198148147</v>
      </c>
      <c r="D40" s="6">
        <f t="shared" si="6"/>
        <v>414.3045622222221</v>
      </c>
      <c r="E40" s="6">
        <f t="shared" si="6"/>
        <v>409.15608944444438</v>
      </c>
      <c r="F40" s="6">
        <f t="shared" si="6"/>
        <v>398.65677333333326</v>
      </c>
      <c r="G40" s="6">
        <f t="shared" si="6"/>
        <v>382.16442944444441</v>
      </c>
      <c r="H40" s="6">
        <f t="shared" si="6"/>
        <v>359.89684166666655</v>
      </c>
      <c r="I40" s="6">
        <f t="shared" si="6"/>
        <v>333.06265722222213</v>
      </c>
      <c r="J40" s="6">
        <f t="shared" si="6"/>
        <v>327.57248277777774</v>
      </c>
      <c r="K40" s="6">
        <f>5/9*(K26-32)</f>
        <v>295.2373738888889</v>
      </c>
      <c r="L40" s="3" t="s">
        <v>106</v>
      </c>
      <c r="M40" s="15">
        <f t="shared" si="7"/>
        <v>7.5113278811949805E-2</v>
      </c>
      <c r="N40" s="15">
        <f t="shared" si="7"/>
        <v>7.4737951911117068E-2</v>
      </c>
      <c r="O40" s="15">
        <f t="shared" si="7"/>
        <v>7.7728148629002361E-2</v>
      </c>
      <c r="P40" s="15">
        <f t="shared" si="7"/>
        <v>8.3443634870680378E-2</v>
      </c>
      <c r="Q40" s="15">
        <f t="shared" si="7"/>
        <v>9.061068628252332E-2</v>
      </c>
      <c r="R40" s="15">
        <f t="shared" si="8"/>
        <v>7.5113278811949805E-2</v>
      </c>
      <c r="S40" s="15">
        <f t="shared" si="8"/>
        <v>7.4737951911117068E-2</v>
      </c>
      <c r="T40" s="15">
        <f t="shared" si="8"/>
        <v>7.7728148629002361E-2</v>
      </c>
      <c r="U40" s="15">
        <f t="shared" si="8"/>
        <v>8.3443634870680378E-2</v>
      </c>
      <c r="V40" s="15">
        <f>(H40-H$38)/H$38</f>
        <v>9.8057978313791858E-2</v>
      </c>
      <c r="W40" s="15">
        <f t="shared" si="9"/>
        <v>9.8057978313791858E-2</v>
      </c>
      <c r="X40" s="15">
        <f t="shared" si="9"/>
        <v>0.10878262970763819</v>
      </c>
      <c r="Y40" s="15">
        <f t="shared" si="9"/>
        <v>0.11079821240327271</v>
      </c>
    </row>
    <row r="41" spans="1:30">
      <c r="A41" t="s">
        <v>121</v>
      </c>
      <c r="B41" s="3" t="s">
        <v>107</v>
      </c>
      <c r="C41" s="6">
        <f t="shared" si="6"/>
        <v>415.72068851851861</v>
      </c>
      <c r="D41" s="6">
        <f t="shared" si="6"/>
        <v>414.00944666666669</v>
      </c>
      <c r="E41" s="6">
        <f t="shared" si="6"/>
        <v>408.87572111111115</v>
      </c>
      <c r="F41" s="6">
        <f t="shared" si="6"/>
        <v>398.40500722222225</v>
      </c>
      <c r="G41" s="6">
        <f t="shared" si="6"/>
        <v>381.95362</v>
      </c>
      <c r="H41" s="6">
        <f t="shared" si="6"/>
        <v>359.73433555555562</v>
      </c>
      <c r="I41" s="6">
        <f t="shared" si="6"/>
        <v>332.9621377777778</v>
      </c>
      <c r="J41" s="6">
        <f t="shared" si="6"/>
        <v>327.48495500000001</v>
      </c>
      <c r="K41" s="6">
        <f>5/9*(K27-32)</f>
        <v>295.24812388888893</v>
      </c>
      <c r="L41" s="3" t="s">
        <v>107</v>
      </c>
      <c r="M41" s="15">
        <f t="shared" si="7"/>
        <v>7.4337914472282621E-2</v>
      </c>
      <c r="N41" s="15">
        <f t="shared" si="7"/>
        <v>7.3972399424672056E-2</v>
      </c>
      <c r="O41" s="15">
        <f t="shared" si="7"/>
        <v>7.6989650895221362E-2</v>
      </c>
      <c r="P41" s="15">
        <f t="shared" si="7"/>
        <v>8.2759401191973281E-2</v>
      </c>
      <c r="Q41" s="15">
        <f t="shared" si="7"/>
        <v>9.0009083895784769E-2</v>
      </c>
      <c r="R41" s="15">
        <f t="shared" si="8"/>
        <v>7.4337914472282621E-2</v>
      </c>
      <c r="S41" s="15">
        <f t="shared" si="8"/>
        <v>7.3972399424672056E-2</v>
      </c>
      <c r="T41" s="15">
        <f t="shared" si="8"/>
        <v>7.6989650895221362E-2</v>
      </c>
      <c r="U41" s="15">
        <f t="shared" si="8"/>
        <v>8.2759401191973281E-2</v>
      </c>
      <c r="V41" s="15">
        <f>(H41-H$38)/H$38</f>
        <v>9.7562166427797678E-2</v>
      </c>
      <c r="W41" s="15">
        <f t="shared" si="9"/>
        <v>9.7562166427797678E-2</v>
      </c>
      <c r="X41" s="15">
        <f t="shared" si="9"/>
        <v>0.10844799533320162</v>
      </c>
      <c r="Y41" s="15">
        <f t="shared" si="9"/>
        <v>0.11050140572932177</v>
      </c>
    </row>
    <row r="42" spans="1:30"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5" spans="1:30">
      <c r="C45" s="3"/>
      <c r="D45" s="3" t="s">
        <v>124</v>
      </c>
    </row>
    <row r="46" spans="1:30">
      <c r="B46" s="6"/>
      <c r="C46" s="6"/>
      <c r="D46" s="6">
        <v>671.19229099999995</v>
      </c>
      <c r="E46" s="6">
        <v>661.93386899999996</v>
      </c>
      <c r="F46" s="6">
        <v>643.05172400000004</v>
      </c>
      <c r="G46" s="6">
        <v>613.38797799999998</v>
      </c>
      <c r="H46" s="6">
        <v>573.33054200000004</v>
      </c>
      <c r="I46" s="6">
        <v>573.31713300000001</v>
      </c>
      <c r="J46" s="6">
        <v>563.44080399999996</v>
      </c>
      <c r="K46" s="6"/>
      <c r="L46" s="6"/>
      <c r="M46" s="6"/>
      <c r="N46" s="6"/>
      <c r="O46" s="6"/>
      <c r="P46" s="6"/>
    </row>
    <row r="47" spans="1:30">
      <c r="A47" s="6"/>
      <c r="D47" s="10">
        <v>2.11162829960637E-3</v>
      </c>
      <c r="E47" s="10">
        <v>4.7217444211321404E-3</v>
      </c>
      <c r="F47" s="10">
        <v>7.6135841089516104E-3</v>
      </c>
      <c r="G47" s="10">
        <v>1.05581414980319E-2</v>
      </c>
      <c r="H47" s="10">
        <v>1.3438320209973801E-2</v>
      </c>
      <c r="I47" s="10">
        <v>1.3713910761154901E-2</v>
      </c>
      <c r="J47" s="10">
        <v>1.55839895013123E-2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topLeftCell="A28" zoomScale="90" zoomScaleNormal="90" zoomScalePageLayoutView="90" workbookViewId="0">
      <selection activeCell="G48" sqref="G48"/>
    </sheetView>
  </sheetViews>
  <sheetFormatPr baseColWidth="10" defaultColWidth="8.83203125" defaultRowHeight="12" x14ac:dyDescent="0"/>
  <cols>
    <col min="4" max="4" width="11.1640625" bestFit="1" customWidth="1"/>
  </cols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5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8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8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5" t="s">
        <v>108</v>
      </c>
    </row>
    <row r="17" spans="1:30">
      <c r="B17" s="3"/>
      <c r="C17" s="3" t="s">
        <v>109</v>
      </c>
      <c r="D17" s="3" t="s">
        <v>110</v>
      </c>
      <c r="E17" s="3" t="s">
        <v>111</v>
      </c>
    </row>
    <row r="18" spans="1:30">
      <c r="B18" s="3"/>
      <c r="C18" s="3" t="s">
        <v>82</v>
      </c>
      <c r="D18" s="3" t="s">
        <v>62</v>
      </c>
      <c r="E18" s="3" t="s">
        <v>60</v>
      </c>
    </row>
    <row r="19" spans="1:30">
      <c r="B19" s="3" t="s">
        <v>112</v>
      </c>
      <c r="C19" s="3">
        <f>q_lin*L_chan/(M_dot)</f>
        <v>48.773333333333333</v>
      </c>
      <c r="D19" s="12">
        <f>M_dot*C19</f>
        <v>14.632</v>
      </c>
      <c r="E19" s="6">
        <f>q_lin</f>
        <v>4</v>
      </c>
      <c r="F19" t="s">
        <v>113</v>
      </c>
    </row>
    <row r="20" spans="1:30">
      <c r="B20" s="3" t="s">
        <v>105</v>
      </c>
      <c r="C20" s="6">
        <f>E10-$E$9</f>
        <v>49.509889551534116</v>
      </c>
      <c r="D20" s="12">
        <f>M_dot*C20</f>
        <v>14.852966865460234</v>
      </c>
      <c r="E20" s="6">
        <f>D20/L_chan</f>
        <v>4.060406469507992</v>
      </c>
      <c r="F20" s="13">
        <f>(E20-$E$19)/$E$19</f>
        <v>1.5101617376998E-2</v>
      </c>
    </row>
    <row r="21" spans="1:30">
      <c r="B21" s="3" t="s">
        <v>106</v>
      </c>
      <c r="C21" s="6">
        <f>E11-$E$9</f>
        <v>49.574486707103915</v>
      </c>
      <c r="D21" s="12">
        <f>M_dot*C21</f>
        <v>14.872346012131175</v>
      </c>
      <c r="E21" s="6">
        <f>D21/L_chan</f>
        <v>4.0657042132671339</v>
      </c>
      <c r="F21" s="13">
        <f>(E21-$E$19)/$E$19</f>
        <v>1.6426053316783484E-2</v>
      </c>
    </row>
    <row r="22" spans="1:30">
      <c r="B22" s="3" t="s">
        <v>107</v>
      </c>
      <c r="C22" s="6">
        <f>E12-$E$9</f>
        <v>49.493180482254502</v>
      </c>
      <c r="D22" s="12">
        <f>M_dot*C22</f>
        <v>14.847954144676351</v>
      </c>
      <c r="E22" s="6">
        <f>D22/L_chan</f>
        <v>4.0590361248431792</v>
      </c>
      <c r="F22" s="13">
        <f>(E22-$E$19)/$E$19</f>
        <v>1.4759031210794804E-2</v>
      </c>
    </row>
    <row r="23" spans="1:30">
      <c r="C23" s="5" t="s">
        <v>99</v>
      </c>
      <c r="P23" s="3" t="s">
        <v>114</v>
      </c>
    </row>
    <row r="24" spans="1:30">
      <c r="B24" t="s">
        <v>115</v>
      </c>
      <c r="D24" s="10">
        <f>D25</f>
        <v>1.0002449840240701E-3</v>
      </c>
      <c r="E24" s="10">
        <f>E25</f>
        <v>2.2366157784310101E-3</v>
      </c>
      <c r="F24">
        <f t="shared" ref="F24:O24" si="0">F25-E25</f>
        <v>1.3698187994934299E-3</v>
      </c>
      <c r="G24">
        <f t="shared" si="0"/>
        <v>1.39479034219591E-3</v>
      </c>
      <c r="H24">
        <f t="shared" si="0"/>
        <v>1.4034679804548096E-3</v>
      </c>
      <c r="I24">
        <f t="shared" si="0"/>
        <v>1.4074701617260901E-3</v>
      </c>
      <c r="J24">
        <f t="shared" si="0"/>
        <v>1.4096400360928806E-3</v>
      </c>
      <c r="K24">
        <f t="shared" si="0"/>
        <v>1.4109469302381692E-3</v>
      </c>
      <c r="L24">
        <f t="shared" si="0"/>
        <v>1.4117945484561009E-3</v>
      </c>
      <c r="M24">
        <f t="shared" si="0"/>
        <v>1.3937756328854002E-3</v>
      </c>
      <c r="N24">
        <f t="shared" si="0"/>
        <v>2.7559055118109993E-4</v>
      </c>
      <c r="O24">
        <f t="shared" si="0"/>
        <v>1.8700787401573996E-3</v>
      </c>
      <c r="P24" s="14">
        <f>(t_in+q_lin*dz*2/(M_dot*cp_in))*9/5+32</f>
        <v>555.68219356569398</v>
      </c>
    </row>
    <row r="25" spans="1:30">
      <c r="B25" t="s">
        <v>116</v>
      </c>
      <c r="C25" s="10">
        <v>0</v>
      </c>
      <c r="D25" s="10">
        <v>1.0002449840240701E-3</v>
      </c>
      <c r="E25" s="10">
        <v>2.2366157784310101E-3</v>
      </c>
      <c r="F25" s="10">
        <v>3.60643457792444E-3</v>
      </c>
      <c r="G25" s="10">
        <v>5.00122492012035E-3</v>
      </c>
      <c r="H25" s="10">
        <v>6.4046929005751596E-3</v>
      </c>
      <c r="I25" s="10">
        <v>7.8121630623012497E-3</v>
      </c>
      <c r="J25" s="10">
        <v>9.2218030983941303E-3</v>
      </c>
      <c r="K25" s="10">
        <v>1.0632750028632299E-2</v>
      </c>
      <c r="L25" s="10">
        <v>1.20445445770884E-2</v>
      </c>
      <c r="M25" s="10">
        <v>1.3438320209973801E-2</v>
      </c>
      <c r="N25" s="10">
        <v>1.3713910761154901E-2</v>
      </c>
      <c r="O25" s="10">
        <v>1.55839895013123E-2</v>
      </c>
      <c r="P25" s="10">
        <f>P24</f>
        <v>555.68219356569398</v>
      </c>
    </row>
    <row r="26" spans="1:30">
      <c r="A26" t="s">
        <v>117</v>
      </c>
      <c r="B26" s="3" t="s">
        <v>105</v>
      </c>
      <c r="C26" s="6">
        <f>1/3*(4*D26-E26)</f>
        <v>726.43513966666671</v>
      </c>
      <c r="D26" s="6">
        <v>725.74359000000004</v>
      </c>
      <c r="E26" s="6">
        <v>723.66894100000002</v>
      </c>
      <c r="F26" s="6">
        <v>719.43798500000003</v>
      </c>
      <c r="G26" s="6">
        <v>712.79169000000002</v>
      </c>
      <c r="H26" s="6">
        <v>703.73159699999997</v>
      </c>
      <c r="I26" s="6">
        <v>692.26984300000004</v>
      </c>
      <c r="J26" s="6">
        <v>678.41571899999997</v>
      </c>
      <c r="K26" s="6">
        <v>662.17563299999995</v>
      </c>
      <c r="L26" s="6">
        <v>643.55396199999996</v>
      </c>
      <c r="M26" s="6">
        <v>622.59766200000001</v>
      </c>
      <c r="N26" s="6">
        <v>573.60459200000003</v>
      </c>
      <c r="O26" s="6">
        <v>563.58119599999998</v>
      </c>
      <c r="P26" s="10">
        <f>P25</f>
        <v>555.68219356569398</v>
      </c>
    </row>
    <row r="27" spans="1:30">
      <c r="A27" t="s">
        <v>117</v>
      </c>
      <c r="B27" s="3" t="s">
        <v>106</v>
      </c>
      <c r="C27" s="6">
        <f>1/3*(4*D27-E27)</f>
        <v>726.74178866666671</v>
      </c>
      <c r="D27" s="3">
        <v>726.04867000000002</v>
      </c>
      <c r="E27" s="3">
        <v>723.96931400000005</v>
      </c>
      <c r="F27" s="3">
        <v>719.72887000000003</v>
      </c>
      <c r="G27" s="3">
        <v>713.06797300000005</v>
      </c>
      <c r="H27" s="3">
        <v>703.98855400000002</v>
      </c>
      <c r="I27" s="3">
        <v>692.503289</v>
      </c>
      <c r="J27" s="3">
        <v>678.62210300000004</v>
      </c>
      <c r="K27" s="3">
        <v>662.352124</v>
      </c>
      <c r="L27" s="3">
        <v>643.69850699999995</v>
      </c>
      <c r="M27" s="3">
        <v>622.70907299999999</v>
      </c>
      <c r="N27" s="3">
        <v>573.63712599999997</v>
      </c>
      <c r="O27" s="3">
        <v>563.59718899999996</v>
      </c>
      <c r="P27" s="10">
        <f>P26</f>
        <v>555.68219356569398</v>
      </c>
    </row>
    <row r="28" spans="1:30">
      <c r="A28" t="s">
        <v>117</v>
      </c>
      <c r="B28" s="3" t="s">
        <v>107</v>
      </c>
      <c r="C28" s="6">
        <f>1/3*(4*D28-E28)</f>
        <v>726.38074866666659</v>
      </c>
      <c r="D28" s="3">
        <v>725.68947700000001</v>
      </c>
      <c r="E28" s="3">
        <v>723.61566200000004</v>
      </c>
      <c r="F28" s="3">
        <v>719.38639000000001</v>
      </c>
      <c r="G28" s="3">
        <v>712.74268600000005</v>
      </c>
      <c r="H28" s="3">
        <v>703.68602099999998</v>
      </c>
      <c r="I28" s="3">
        <v>692.22843799999998</v>
      </c>
      <c r="J28" s="3">
        <v>678.37911499999996</v>
      </c>
      <c r="K28" s="3">
        <v>662.14433199999996</v>
      </c>
      <c r="L28" s="3">
        <v>643.52832799999999</v>
      </c>
      <c r="M28" s="3">
        <v>622.57790599999998</v>
      </c>
      <c r="N28" s="3">
        <v>573.59882800000003</v>
      </c>
      <c r="O28" s="3">
        <v>563.57836599999996</v>
      </c>
      <c r="P28" s="10"/>
      <c r="R28" s="10"/>
    </row>
    <row r="29" spans="1:30">
      <c r="C29" s="5" t="s">
        <v>118</v>
      </c>
      <c r="P29" t="e">
        <f>D24/D5*N29</f>
        <v>#DIV/0!</v>
      </c>
    </row>
    <row r="30" spans="1:30">
      <c r="B30" s="3" t="s">
        <v>119</v>
      </c>
      <c r="C30" s="6">
        <f t="shared" ref="C30:O30" si="1">(C25)*t_ft_m*100</f>
        <v>0</v>
      </c>
      <c r="D30" s="6">
        <f t="shared" si="1"/>
        <v>3.0487567137552057E-2</v>
      </c>
      <c r="E30" s="6">
        <f t="shared" si="1"/>
        <v>6.8172272588155031E-2</v>
      </c>
      <c r="F30" s="6">
        <f t="shared" si="1"/>
        <v>0.10992448657859472</v>
      </c>
      <c r="G30" s="6">
        <f t="shared" si="1"/>
        <v>0.15243783568776029</v>
      </c>
      <c r="H30" s="6">
        <f t="shared" si="1"/>
        <v>0.19521568007882092</v>
      </c>
      <c r="I30" s="6">
        <f t="shared" si="1"/>
        <v>0.23811551135524833</v>
      </c>
      <c r="J30" s="6">
        <f t="shared" si="1"/>
        <v>0.28108148061936294</v>
      </c>
      <c r="K30" s="6">
        <f t="shared" si="1"/>
        <v>0.32408728414771532</v>
      </c>
      <c r="L30" s="6">
        <f t="shared" si="1"/>
        <v>0.3671189231641121</v>
      </c>
      <c r="M30" s="6">
        <f t="shared" si="1"/>
        <v>0.40960134383202246</v>
      </c>
      <c r="N30" s="6">
        <f t="shared" si="1"/>
        <v>0.41800137139107751</v>
      </c>
      <c r="O30" s="6">
        <f t="shared" si="1"/>
        <v>0.47500155839894903</v>
      </c>
      <c r="Q30" s="6"/>
      <c r="R30" s="4" t="s">
        <v>120</v>
      </c>
      <c r="S30" s="8"/>
      <c r="T30" s="3"/>
      <c r="U30" s="3"/>
      <c r="V30" s="3"/>
      <c r="W30" s="3"/>
      <c r="X30" s="3"/>
      <c r="Y30" s="3"/>
      <c r="Z30" s="3"/>
    </row>
    <row r="31" spans="1:30">
      <c r="A31" t="s">
        <v>121</v>
      </c>
      <c r="B31" s="3" t="s">
        <v>112</v>
      </c>
      <c r="C31" s="6">
        <f t="shared" ref="C31:L31" si="2">q_dot*1000/(4*k_fuel)*((R_fuel/100)^2)*(1-(C30/R_fuel)^2)+delta_gap+delta_clad</f>
        <v>92.056962314594657</v>
      </c>
      <c r="D31" s="6">
        <f t="shared" si="2"/>
        <v>91.728995352563814</v>
      </c>
      <c r="E31" s="6">
        <f t="shared" si="2"/>
        <v>90.417127504440415</v>
      </c>
      <c r="F31" s="6">
        <f t="shared" si="2"/>
        <v>87.793391808193618</v>
      </c>
      <c r="G31" s="6">
        <f t="shared" si="2"/>
        <v>83.857788263823423</v>
      </c>
      <c r="H31" s="6">
        <f t="shared" si="2"/>
        <v>78.6103168713298</v>
      </c>
      <c r="I31" s="6">
        <f t="shared" si="2"/>
        <v>72.050977630712836</v>
      </c>
      <c r="J31" s="6">
        <f t="shared" si="2"/>
        <v>64.179770541972431</v>
      </c>
      <c r="K31" s="6">
        <f t="shared" si="2"/>
        <v>54.996695605108705</v>
      </c>
      <c r="L31" s="6">
        <f t="shared" si="2"/>
        <v>44.501752820121716</v>
      </c>
      <c r="M31" s="6">
        <f>delta_gap+delta_clad</f>
        <v>32.859314104675335</v>
      </c>
      <c r="N31" s="6">
        <f>delta_clad</f>
        <v>5.4876097013893084</v>
      </c>
      <c r="O31" s="6">
        <v>0</v>
      </c>
      <c r="P31" s="6">
        <f>-delta_fluid</f>
        <v>-3.9637284808690443</v>
      </c>
      <c r="Q31" s="3" t="s">
        <v>105</v>
      </c>
      <c r="R31" s="7">
        <f t="shared" ref="R31:AD33" si="3">C32-C$31</f>
        <v>-1.5825491664464693</v>
      </c>
      <c r="S31" s="7">
        <f t="shared" si="3"/>
        <v>-1.6387764636748869</v>
      </c>
      <c r="T31" s="7">
        <f t="shared" si="3"/>
        <v>-1.4794913933292833</v>
      </c>
      <c r="U31" s="7">
        <f t="shared" si="3"/>
        <v>-1.2062868081935818</v>
      </c>
      <c r="V31" s="7">
        <f t="shared" si="3"/>
        <v>-0.96306937493450562</v>
      </c>
      <c r="W31" s="7">
        <f t="shared" si="3"/>
        <v>-0.74898298244092132</v>
      </c>
      <c r="X31" s="7">
        <f t="shared" si="3"/>
        <v>-0.55728485293502672</v>
      </c>
      <c r="Y31" s="7">
        <f t="shared" si="3"/>
        <v>-0.3828133197502126</v>
      </c>
      <c r="Z31" s="7">
        <f t="shared" si="3"/>
        <v>-0.22200838288650004</v>
      </c>
      <c r="AA31" s="7">
        <f t="shared" si="3"/>
        <v>-7.243837567727951E-2</v>
      </c>
      <c r="AB31" s="7">
        <f t="shared" si="3"/>
        <v>-7.2388549119757784E-2</v>
      </c>
      <c r="AC31" s="7">
        <f t="shared" si="3"/>
        <v>8.0943631944052186E-2</v>
      </c>
      <c r="AD31" s="7">
        <f t="shared" si="3"/>
        <v>0</v>
      </c>
    </row>
    <row r="32" spans="1:30">
      <c r="A32" t="s">
        <v>121</v>
      </c>
      <c r="B32" s="3" t="s">
        <v>105</v>
      </c>
      <c r="C32" s="6">
        <f t="shared" ref="C32:O32" si="4">(C26-$O26)*t_R_K</f>
        <v>90.474413148148187</v>
      </c>
      <c r="D32" s="6">
        <f t="shared" si="4"/>
        <v>90.090218888888927</v>
      </c>
      <c r="E32" s="6">
        <f t="shared" si="4"/>
        <v>88.937636111111132</v>
      </c>
      <c r="F32" s="6">
        <f t="shared" si="4"/>
        <v>86.587105000000037</v>
      </c>
      <c r="G32" s="6">
        <f t="shared" si="4"/>
        <v>82.894718888888917</v>
      </c>
      <c r="H32" s="6">
        <f t="shared" si="4"/>
        <v>77.861333888888879</v>
      </c>
      <c r="I32" s="6">
        <f t="shared" si="4"/>
        <v>71.49369277777781</v>
      </c>
      <c r="J32" s="6">
        <f t="shared" si="4"/>
        <v>63.796957222222218</v>
      </c>
      <c r="K32" s="6">
        <f t="shared" si="4"/>
        <v>54.774687222222205</v>
      </c>
      <c r="L32" s="6">
        <f t="shared" si="4"/>
        <v>44.429314444444437</v>
      </c>
      <c r="M32" s="6">
        <f t="shared" si="4"/>
        <v>32.786925555555577</v>
      </c>
      <c r="N32" s="6">
        <f t="shared" si="4"/>
        <v>5.5685533333333606</v>
      </c>
      <c r="O32" s="6">
        <f t="shared" si="4"/>
        <v>0</v>
      </c>
      <c r="P32" s="6">
        <f>(P25-$O26)*t_R_K</f>
        <v>-4.388334685725555</v>
      </c>
      <c r="Q32" s="3" t="s">
        <v>106</v>
      </c>
      <c r="R32" s="7">
        <f t="shared" si="3"/>
        <v>-1.4210736108909003</v>
      </c>
      <c r="S32" s="7">
        <f t="shared" si="3"/>
        <v>-1.4781725747860008</v>
      </c>
      <c r="T32" s="7">
        <f t="shared" si="3"/>
        <v>-1.3215025044403603</v>
      </c>
      <c r="U32" s="7">
        <f t="shared" si="3"/>
        <v>-1.053569030415801</v>
      </c>
      <c r="V32" s="7">
        <f t="shared" si="3"/>
        <v>-0.81846381937891977</v>
      </c>
      <c r="W32" s="7">
        <f t="shared" si="3"/>
        <v>-0.61511409355198055</v>
      </c>
      <c r="X32" s="7">
        <f t="shared" si="3"/>
        <v>-0.43647763071281531</v>
      </c>
      <c r="Y32" s="7">
        <f t="shared" si="3"/>
        <v>-0.27704054197238293</v>
      </c>
      <c r="Z32" s="7">
        <f t="shared" si="3"/>
        <v>-0.13284282733089725</v>
      </c>
      <c r="AA32" s="7">
        <f t="shared" si="3"/>
        <v>-1.0205978994974885E-3</v>
      </c>
      <c r="AB32" s="7">
        <f t="shared" si="3"/>
        <v>-1.9378549119757338E-2</v>
      </c>
      <c r="AC32" s="7">
        <f t="shared" si="3"/>
        <v>9.0133076388474898E-2</v>
      </c>
      <c r="AD32" s="7">
        <f t="shared" si="3"/>
        <v>0</v>
      </c>
    </row>
    <row r="33" spans="1:30">
      <c r="A33" t="s">
        <v>121</v>
      </c>
      <c r="B33" s="3" t="s">
        <v>106</v>
      </c>
      <c r="C33" s="6">
        <f t="shared" ref="C33:O33" si="5">(C27-$O27)*t_R_K</f>
        <v>90.635888703703756</v>
      </c>
      <c r="D33" s="6">
        <f t="shared" si="5"/>
        <v>90.250822777777813</v>
      </c>
      <c r="E33" s="6">
        <f t="shared" si="5"/>
        <v>89.095625000000055</v>
      </c>
      <c r="F33" s="6">
        <f t="shared" si="5"/>
        <v>86.739822777777817</v>
      </c>
      <c r="G33" s="6">
        <f t="shared" si="5"/>
        <v>83.039324444444503</v>
      </c>
      <c r="H33" s="6">
        <f t="shared" si="5"/>
        <v>77.99520277777782</v>
      </c>
      <c r="I33" s="6">
        <f t="shared" si="5"/>
        <v>71.614500000000021</v>
      </c>
      <c r="J33" s="6">
        <f t="shared" si="5"/>
        <v>63.902730000000048</v>
      </c>
      <c r="K33" s="6">
        <f t="shared" si="5"/>
        <v>54.863852777777808</v>
      </c>
      <c r="L33" s="6">
        <f t="shared" si="5"/>
        <v>44.500732222222219</v>
      </c>
      <c r="M33" s="6">
        <f t="shared" si="5"/>
        <v>32.839935555555577</v>
      </c>
      <c r="N33" s="6">
        <f t="shared" si="5"/>
        <v>5.5777427777777833</v>
      </c>
      <c r="O33" s="6">
        <f t="shared" si="5"/>
        <v>0</v>
      </c>
      <c r="P33" s="6">
        <f>(P26-$O27)*t_R_K</f>
        <v>-4.3972196857255437</v>
      </c>
      <c r="Q33" s="3" t="s">
        <v>107</v>
      </c>
      <c r="R33" s="7">
        <f t="shared" si="3"/>
        <v>-1.6111941664465235</v>
      </c>
      <c r="S33" s="7">
        <f t="shared" si="3"/>
        <v>-1.6672670192304508</v>
      </c>
      <c r="T33" s="7">
        <f t="shared" si="3"/>
        <v>-1.5075186155514757</v>
      </c>
      <c r="U33" s="7">
        <f t="shared" si="3"/>
        <v>-1.2333784748602596</v>
      </c>
      <c r="V33" s="7">
        <f t="shared" si="3"/>
        <v>-0.98872159715669738</v>
      </c>
      <c r="W33" s="7">
        <f t="shared" si="3"/>
        <v>-0.77273076021867837</v>
      </c>
      <c r="X33" s="7">
        <f t="shared" si="3"/>
        <v>-0.578715408490595</v>
      </c>
      <c r="Y33" s="7">
        <f t="shared" si="3"/>
        <v>-0.40157665308353785</v>
      </c>
      <c r="Z33" s="7">
        <f t="shared" si="3"/>
        <v>-0.23782560510870354</v>
      </c>
      <c r="AA33" s="7">
        <f t="shared" si="3"/>
        <v>-8.5107264566140373E-2</v>
      </c>
      <c r="AB33" s="7">
        <f t="shared" si="3"/>
        <v>-8.1791882453096321E-2</v>
      </c>
      <c r="AC33" s="7">
        <f t="shared" si="3"/>
        <v>7.9313631944061491E-2</v>
      </c>
      <c r="AD33" s="7">
        <f t="shared" si="3"/>
        <v>0</v>
      </c>
    </row>
    <row r="34" spans="1:30">
      <c r="A34" t="s">
        <v>121</v>
      </c>
      <c r="B34" s="3" t="s">
        <v>107</v>
      </c>
      <c r="C34" s="6">
        <f t="shared" ref="C34:O34" si="6">(C28-$O28)*t_R_K</f>
        <v>90.445768148148133</v>
      </c>
      <c r="D34" s="6">
        <f t="shared" si="6"/>
        <v>90.061728333333363</v>
      </c>
      <c r="E34" s="6">
        <f t="shared" si="6"/>
        <v>88.90960888888894</v>
      </c>
      <c r="F34" s="6">
        <f t="shared" si="6"/>
        <v>86.560013333333359</v>
      </c>
      <c r="G34" s="6">
        <f t="shared" si="6"/>
        <v>82.869066666666725</v>
      </c>
      <c r="H34" s="6">
        <f t="shared" si="6"/>
        <v>77.837586111111122</v>
      </c>
      <c r="I34" s="6">
        <f t="shared" si="6"/>
        <v>71.472262222222241</v>
      </c>
      <c r="J34" s="6">
        <f t="shared" si="6"/>
        <v>63.778193888888893</v>
      </c>
      <c r="K34" s="6">
        <f t="shared" si="6"/>
        <v>54.758870000000002</v>
      </c>
      <c r="L34" s="6">
        <f t="shared" si="6"/>
        <v>44.416645555555576</v>
      </c>
      <c r="M34" s="6">
        <f t="shared" si="6"/>
        <v>32.777522222222238</v>
      </c>
      <c r="N34" s="6">
        <f t="shared" si="6"/>
        <v>5.5669233333333699</v>
      </c>
      <c r="O34" s="6">
        <f t="shared" si="6"/>
        <v>0</v>
      </c>
      <c r="P34" s="6">
        <f>(P27-$O28)*t_R_K</f>
        <v>-4.3867624635033229</v>
      </c>
    </row>
    <row r="35" spans="1:30"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30">
      <c r="C36" s="5" t="s">
        <v>122</v>
      </c>
    </row>
    <row r="37" spans="1:30">
      <c r="B37" s="3" t="s">
        <v>119</v>
      </c>
      <c r="C37" s="8">
        <f t="shared" ref="C37:O37" si="7">(C25)*t_ft_m*100</f>
        <v>0</v>
      </c>
      <c r="D37" s="8">
        <f t="shared" si="7"/>
        <v>3.0487567137552057E-2</v>
      </c>
      <c r="E37" s="8">
        <f t="shared" si="7"/>
        <v>6.8172272588155031E-2</v>
      </c>
      <c r="F37" s="8">
        <f t="shared" si="7"/>
        <v>0.10992448657859472</v>
      </c>
      <c r="G37" s="8">
        <f t="shared" si="7"/>
        <v>0.15243783568776029</v>
      </c>
      <c r="H37" s="8">
        <f t="shared" si="7"/>
        <v>0.19521568007882092</v>
      </c>
      <c r="I37" s="8">
        <f t="shared" si="7"/>
        <v>0.23811551135524833</v>
      </c>
      <c r="J37" s="8">
        <f t="shared" si="7"/>
        <v>0.28108148061936294</v>
      </c>
      <c r="K37" s="8">
        <f t="shared" si="7"/>
        <v>0.32408728414771532</v>
      </c>
      <c r="L37" s="8">
        <f t="shared" si="7"/>
        <v>0.3671189231641121</v>
      </c>
      <c r="M37" s="8">
        <f t="shared" si="7"/>
        <v>0.40960134383202246</v>
      </c>
      <c r="N37" s="8">
        <f t="shared" si="7"/>
        <v>0.41800137139107751</v>
      </c>
      <c r="O37" s="8">
        <f t="shared" si="7"/>
        <v>0.47500155839894903</v>
      </c>
      <c r="P37" s="8"/>
    </row>
    <row r="38" spans="1:30">
      <c r="A38" t="s">
        <v>121</v>
      </c>
      <c r="B38" s="3" t="s">
        <v>112</v>
      </c>
      <c r="C38" s="6">
        <f t="shared" ref="C38:O38" si="8">C31+$P38-$P31</f>
        <v>386.95524277640487</v>
      </c>
      <c r="D38" s="6">
        <f t="shared" si="8"/>
        <v>386.627275814374</v>
      </c>
      <c r="E38" s="6">
        <f t="shared" si="8"/>
        <v>385.31540796625063</v>
      </c>
      <c r="F38" s="6">
        <f t="shared" si="8"/>
        <v>382.69167227000383</v>
      </c>
      <c r="G38" s="6">
        <f t="shared" si="8"/>
        <v>378.75606872563361</v>
      </c>
      <c r="H38" s="6">
        <f t="shared" si="8"/>
        <v>373.50859733314002</v>
      </c>
      <c r="I38" s="6">
        <f t="shared" si="8"/>
        <v>366.94925809252305</v>
      </c>
      <c r="J38" s="6">
        <f t="shared" si="8"/>
        <v>359.0780510037826</v>
      </c>
      <c r="K38" s="6">
        <f t="shared" si="8"/>
        <v>349.8949760669189</v>
      </c>
      <c r="L38" s="6">
        <f t="shared" si="8"/>
        <v>339.40003328193194</v>
      </c>
      <c r="M38" s="6">
        <f t="shared" si="8"/>
        <v>327.75759456648552</v>
      </c>
      <c r="N38" s="6">
        <f t="shared" si="8"/>
        <v>300.38589016319952</v>
      </c>
      <c r="O38" s="6">
        <f t="shared" si="8"/>
        <v>294.8982804618102</v>
      </c>
      <c r="P38" s="6">
        <f>5/9*(P24-32)</f>
        <v>290.93455198094114</v>
      </c>
      <c r="Q38" s="6"/>
      <c r="R38" s="4" t="s">
        <v>123</v>
      </c>
      <c r="S38" s="8"/>
      <c r="T38" s="3"/>
      <c r="U38" s="3"/>
      <c r="V38" s="3"/>
      <c r="W38" s="3"/>
      <c r="X38" s="3"/>
      <c r="Y38" s="3"/>
      <c r="Z38" s="3"/>
    </row>
    <row r="39" spans="1:30">
      <c r="A39" t="s">
        <v>121</v>
      </c>
      <c r="B39" s="3" t="s">
        <v>105</v>
      </c>
      <c r="C39" s="6">
        <f t="shared" ref="C39:O39" si="9">C32+$P39-$P32</f>
        <v>385.79729981481489</v>
      </c>
      <c r="D39" s="6">
        <f t="shared" si="9"/>
        <v>385.4131055555556</v>
      </c>
      <c r="E39" s="6">
        <f t="shared" si="9"/>
        <v>384.26052277777785</v>
      </c>
      <c r="F39" s="6">
        <f t="shared" si="9"/>
        <v>381.90999166666677</v>
      </c>
      <c r="G39" s="6">
        <f t="shared" si="9"/>
        <v>378.21760555555562</v>
      </c>
      <c r="H39" s="6">
        <f t="shared" si="9"/>
        <v>373.18422055555561</v>
      </c>
      <c r="I39" s="6">
        <f t="shared" si="9"/>
        <v>366.81657944444453</v>
      </c>
      <c r="J39" s="6">
        <f t="shared" si="9"/>
        <v>359.11984388888891</v>
      </c>
      <c r="K39" s="6">
        <f t="shared" si="9"/>
        <v>350.09757388888892</v>
      </c>
      <c r="L39" s="6">
        <f t="shared" si="9"/>
        <v>339.75220111111116</v>
      </c>
      <c r="M39" s="6">
        <f t="shared" si="9"/>
        <v>328.10981222222227</v>
      </c>
      <c r="N39" s="6">
        <f t="shared" si="9"/>
        <v>300.89144000000005</v>
      </c>
      <c r="O39" s="6">
        <f t="shared" si="9"/>
        <v>295.3228866666667</v>
      </c>
      <c r="P39" s="6">
        <f>5/9*(P25-32)</f>
        <v>290.93455198094114</v>
      </c>
      <c r="Q39" s="3" t="s">
        <v>105</v>
      </c>
      <c r="R39" s="15">
        <f t="shared" ref="R39:AD41" si="10">(C39-C$38)/C$38</f>
        <v>-2.9924467576191434E-3</v>
      </c>
      <c r="S39" s="15">
        <f t="shared" si="10"/>
        <v>-3.1404154201509094E-3</v>
      </c>
      <c r="T39" s="15">
        <f t="shared" si="10"/>
        <v>-2.7377186758261616E-3</v>
      </c>
      <c r="U39" s="15">
        <f t="shared" si="10"/>
        <v>-2.0425858725913412E-3</v>
      </c>
      <c r="V39" s="15">
        <f t="shared" si="10"/>
        <v>-1.4216621581528916E-3</v>
      </c>
      <c r="W39" s="15">
        <f t="shared" si="10"/>
        <v>-8.6845866440682362E-4</v>
      </c>
      <c r="X39" s="15">
        <f t="shared" si="10"/>
        <v>-3.6157219330055357E-4</v>
      </c>
      <c r="Y39" s="15">
        <f t="shared" si="10"/>
        <v>1.1638941725754103E-4</v>
      </c>
      <c r="Z39" s="15">
        <f t="shared" si="10"/>
        <v>5.79024666908246E-4</v>
      </c>
      <c r="AA39" s="15">
        <f t="shared" si="10"/>
        <v>1.0376187231740336E-3</v>
      </c>
      <c r="AB39" s="15">
        <f t="shared" si="10"/>
        <v>1.0746285107523399E-3</v>
      </c>
      <c r="AC39" s="15">
        <f t="shared" si="10"/>
        <v>1.6830012772099949E-3</v>
      </c>
      <c r="AD39" s="15">
        <f t="shared" si="10"/>
        <v>1.4398395412532404E-3</v>
      </c>
    </row>
    <row r="40" spans="1:30">
      <c r="A40" t="s">
        <v>121</v>
      </c>
      <c r="B40" s="3" t="s">
        <v>106</v>
      </c>
      <c r="C40" s="6">
        <f t="shared" ref="C40:O40" si="11">C33+$P40-$P33</f>
        <v>385.96766037037042</v>
      </c>
      <c r="D40" s="6">
        <f t="shared" si="11"/>
        <v>385.58259444444445</v>
      </c>
      <c r="E40" s="6">
        <f t="shared" si="11"/>
        <v>384.42739666666671</v>
      </c>
      <c r="F40" s="6">
        <f t="shared" si="11"/>
        <v>382.07159444444449</v>
      </c>
      <c r="G40" s="6">
        <f t="shared" si="11"/>
        <v>378.37109611111117</v>
      </c>
      <c r="H40" s="6">
        <f t="shared" si="11"/>
        <v>373.32697444444449</v>
      </c>
      <c r="I40" s="6">
        <f t="shared" si="11"/>
        <v>366.94627166666669</v>
      </c>
      <c r="J40" s="6">
        <f t="shared" si="11"/>
        <v>359.23450166666669</v>
      </c>
      <c r="K40" s="6">
        <f t="shared" si="11"/>
        <v>350.19562444444449</v>
      </c>
      <c r="L40" s="6">
        <f t="shared" si="11"/>
        <v>339.83250388888888</v>
      </c>
      <c r="M40" s="6">
        <f t="shared" si="11"/>
        <v>328.17170722222227</v>
      </c>
      <c r="N40" s="6">
        <f t="shared" si="11"/>
        <v>300.90951444444443</v>
      </c>
      <c r="O40" s="6">
        <f t="shared" si="11"/>
        <v>295.33177166666667</v>
      </c>
      <c r="P40" s="6">
        <f>5/9*(P26-32)</f>
        <v>290.93455198094114</v>
      </c>
      <c r="Q40" s="3" t="s">
        <v>106</v>
      </c>
      <c r="R40" s="15">
        <f t="shared" si="10"/>
        <v>-2.5521876870010654E-3</v>
      </c>
      <c r="S40" s="15">
        <f t="shared" si="10"/>
        <v>-2.7020374279830102E-3</v>
      </c>
      <c r="T40" s="15">
        <f t="shared" si="10"/>
        <v>-2.3046348036559771E-3</v>
      </c>
      <c r="U40" s="15">
        <f t="shared" si="10"/>
        <v>-1.6203065561402133E-3</v>
      </c>
      <c r="V40" s="15">
        <f t="shared" si="10"/>
        <v>-1.0164130592487193E-3</v>
      </c>
      <c r="W40" s="15">
        <f t="shared" si="10"/>
        <v>-4.862616014526045E-4</v>
      </c>
      <c r="X40" s="15">
        <f t="shared" si="10"/>
        <v>-8.1385253969104303E-6</v>
      </c>
      <c r="Y40" s="15">
        <f t="shared" si="10"/>
        <v>4.3570099159983205E-4</v>
      </c>
      <c r="Z40" s="15">
        <f t="shared" si="10"/>
        <v>8.5925319907448415E-4</v>
      </c>
      <c r="AA40" s="15">
        <f t="shared" si="10"/>
        <v>1.2742208737430989E-3</v>
      </c>
      <c r="AB40" s="15">
        <f t="shared" si="10"/>
        <v>1.2634723423708238E-3</v>
      </c>
      <c r="AC40" s="15">
        <f t="shared" si="10"/>
        <v>1.7431720276888554E-3</v>
      </c>
      <c r="AD40" s="15">
        <f t="shared" si="10"/>
        <v>1.4699685741728287E-3</v>
      </c>
    </row>
    <row r="41" spans="1:30">
      <c r="A41" t="s">
        <v>121</v>
      </c>
      <c r="B41" s="3" t="s">
        <v>107</v>
      </c>
      <c r="C41" s="6">
        <f t="shared" ref="C41:O41" si="12">C34+$P41-$P34</f>
        <v>385.7670825925926</v>
      </c>
      <c r="D41" s="6">
        <f t="shared" si="12"/>
        <v>385.3830427777778</v>
      </c>
      <c r="E41" s="6">
        <f t="shared" si="12"/>
        <v>384.23092333333341</v>
      </c>
      <c r="F41" s="6">
        <f t="shared" si="12"/>
        <v>381.88132777777781</v>
      </c>
      <c r="G41" s="6">
        <f t="shared" si="12"/>
        <v>378.19038111111121</v>
      </c>
      <c r="H41" s="6">
        <f t="shared" si="12"/>
        <v>373.15890055555559</v>
      </c>
      <c r="I41" s="6">
        <f t="shared" si="12"/>
        <v>366.7935766666667</v>
      </c>
      <c r="J41" s="6">
        <f t="shared" si="12"/>
        <v>359.09950833333335</v>
      </c>
      <c r="K41" s="6">
        <f t="shared" si="12"/>
        <v>350.08018444444446</v>
      </c>
      <c r="L41" s="6">
        <f t="shared" si="12"/>
        <v>339.73796000000004</v>
      </c>
      <c r="M41" s="6">
        <f t="shared" si="12"/>
        <v>328.09883666666667</v>
      </c>
      <c r="N41" s="6">
        <f t="shared" si="12"/>
        <v>300.88823777777782</v>
      </c>
      <c r="O41" s="6">
        <f t="shared" si="12"/>
        <v>295.32131444444445</v>
      </c>
      <c r="P41" s="6">
        <f>5/9*(P27-32)</f>
        <v>290.93455198094114</v>
      </c>
      <c r="Q41" s="3" t="s">
        <v>107</v>
      </c>
      <c r="R41" s="15">
        <f t="shared" si="10"/>
        <v>-3.0705364664068628E-3</v>
      </c>
      <c r="S41" s="15">
        <f t="shared" si="10"/>
        <v>-3.2181719046474508E-3</v>
      </c>
      <c r="T41" s="15">
        <f t="shared" si="10"/>
        <v>-2.8145374166096493E-3</v>
      </c>
      <c r="U41" s="15">
        <f t="shared" si="10"/>
        <v>-2.117486611138726E-3</v>
      </c>
      <c r="V41" s="15">
        <f t="shared" si="10"/>
        <v>-1.493540727745225E-3</v>
      </c>
      <c r="W41" s="15">
        <f t="shared" si="10"/>
        <v>-9.36248268664416E-4</v>
      </c>
      <c r="X41" s="15">
        <f t="shared" si="10"/>
        <v>-4.2425872902869852E-4</v>
      </c>
      <c r="Y41" s="15">
        <f t="shared" si="10"/>
        <v>5.9756728351285529E-5</v>
      </c>
      <c r="Z41" s="15">
        <f t="shared" si="10"/>
        <v>5.2932562681361043E-4</v>
      </c>
      <c r="AA41" s="15">
        <f t="shared" si="10"/>
        <v>9.9565905990172949E-4</v>
      </c>
      <c r="AB41" s="15">
        <f t="shared" si="10"/>
        <v>1.0411417030091953E-3</v>
      </c>
      <c r="AC41" s="15">
        <f t="shared" si="10"/>
        <v>1.6723409155648846E-3</v>
      </c>
      <c r="AD41" s="15">
        <f t="shared" si="10"/>
        <v>1.4345081360657005E-3</v>
      </c>
    </row>
    <row r="42" spans="1:30"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5" spans="1:30">
      <c r="C45" s="3"/>
      <c r="D45" s="3" t="s">
        <v>124</v>
      </c>
    </row>
    <row r="46" spans="1:30">
      <c r="B46" s="6"/>
      <c r="C46" s="6"/>
      <c r="D46" s="6">
        <v>676.86939600000005</v>
      </c>
      <c r="E46" s="6">
        <v>674.79287999999997</v>
      </c>
      <c r="F46" s="6">
        <v>670.55812600000002</v>
      </c>
      <c r="G46" s="6">
        <v>663.905891</v>
      </c>
      <c r="H46" s="6">
        <v>654.83775500000002</v>
      </c>
      <c r="I46" s="6">
        <v>643.36592700000006</v>
      </c>
      <c r="J46" s="6">
        <v>629.49978899999996</v>
      </c>
      <c r="K46" s="6">
        <v>613.24586999999997</v>
      </c>
      <c r="L46" s="6">
        <v>594.6087</v>
      </c>
      <c r="M46" s="6">
        <v>573.63546199999996</v>
      </c>
      <c r="N46" s="6">
        <v>573.62184100000002</v>
      </c>
      <c r="O46" s="6">
        <v>563.589654</v>
      </c>
      <c r="P46" s="6"/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A5" zoomScale="90" zoomScaleNormal="90" zoomScalePageLayoutView="90" workbookViewId="0">
      <selection activeCell="F70" sqref="F70"/>
    </sheetView>
  </sheetViews>
  <sheetFormatPr baseColWidth="10" defaultColWidth="8.83203125" defaultRowHeight="12" x14ac:dyDescent="0"/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5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8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8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5" t="s">
        <v>108</v>
      </c>
    </row>
    <row r="17" spans="1:40">
      <c r="B17" s="3"/>
      <c r="C17" s="3" t="s">
        <v>109</v>
      </c>
      <c r="D17" s="3" t="s">
        <v>110</v>
      </c>
      <c r="E17" s="3" t="s">
        <v>111</v>
      </c>
    </row>
    <row r="18" spans="1:40">
      <c r="B18" s="3"/>
      <c r="C18" s="3" t="s">
        <v>82</v>
      </c>
      <c r="D18" s="3" t="s">
        <v>62</v>
      </c>
      <c r="E18" s="3" t="s">
        <v>60</v>
      </c>
    </row>
    <row r="19" spans="1:40">
      <c r="B19" s="3" t="s">
        <v>112</v>
      </c>
      <c r="C19" s="3">
        <f>q_lin*L_chan/(M_dot)</f>
        <v>48.773333333333333</v>
      </c>
      <c r="D19" s="12">
        <f>M_dot*C19</f>
        <v>14.632</v>
      </c>
      <c r="E19" s="6">
        <f>q_lin</f>
        <v>4</v>
      </c>
      <c r="F19" t="s">
        <v>113</v>
      </c>
    </row>
    <row r="20" spans="1:40">
      <c r="B20" s="3" t="s">
        <v>105</v>
      </c>
      <c r="C20" s="6">
        <f>E10-$E$9</f>
        <v>49.509889551534116</v>
      </c>
      <c r="D20" s="12">
        <f>M_dot*C20</f>
        <v>14.852966865460234</v>
      </c>
      <c r="E20" s="6">
        <f>D20/L_chan</f>
        <v>4.060406469507992</v>
      </c>
      <c r="F20" s="13">
        <f>(E20-$E$19)/$E$19</f>
        <v>1.5101617376998E-2</v>
      </c>
    </row>
    <row r="21" spans="1:40">
      <c r="B21" s="3" t="s">
        <v>106</v>
      </c>
      <c r="C21" s="6">
        <f>E11-$E$9</f>
        <v>49.574486707103915</v>
      </c>
      <c r="D21" s="12">
        <f>M_dot*C21</f>
        <v>14.872346012131175</v>
      </c>
      <c r="E21" s="6">
        <f>D21/L_chan</f>
        <v>4.0657042132671339</v>
      </c>
      <c r="F21" s="13">
        <f>(E21-$E$19)/$E$19</f>
        <v>1.6426053316783484E-2</v>
      </c>
    </row>
    <row r="22" spans="1:40">
      <c r="B22" s="3" t="s">
        <v>107</v>
      </c>
      <c r="C22" s="6">
        <f>E12-$E$9</f>
        <v>49.493180482254502</v>
      </c>
      <c r="D22" s="12">
        <f>M_dot*C22</f>
        <v>14.847954144676351</v>
      </c>
      <c r="E22" s="6">
        <f>D22/L_chan</f>
        <v>4.0590361248431792</v>
      </c>
      <c r="F22" s="13">
        <f>(E22-$E$19)/$E$19</f>
        <v>1.4759031210794804E-2</v>
      </c>
    </row>
    <row r="23" spans="1:40">
      <c r="C23" s="5" t="s">
        <v>99</v>
      </c>
    </row>
    <row r="24" spans="1:40">
      <c r="B24" t="s">
        <v>115</v>
      </c>
      <c r="D24" s="10">
        <f>D25</f>
        <v>4.8729883837070098E-4</v>
      </c>
      <c r="E24" s="10">
        <f>E25</f>
        <v>1.0896333279535699E-3</v>
      </c>
      <c r="F24">
        <f t="shared" ref="F24:Y24" si="0">F25-E25</f>
        <v>6.6734762026603015E-4</v>
      </c>
      <c r="G24">
        <f t="shared" si="0"/>
        <v>6.7951324363390003E-4</v>
      </c>
      <c r="H24">
        <f t="shared" si="0"/>
        <v>6.8374081099081005E-4</v>
      </c>
      <c r="I24">
        <f t="shared" si="0"/>
        <v>6.8569059161014984E-4</v>
      </c>
      <c r="J24">
        <f t="shared" si="0"/>
        <v>6.8674770989140014E-4</v>
      </c>
      <c r="K24">
        <f t="shared" si="0"/>
        <v>6.8738440191091002E-4</v>
      </c>
      <c r="L24">
        <f t="shared" si="0"/>
        <v>6.8779734411964985E-4</v>
      </c>
      <c r="M24">
        <f t="shared" si="0"/>
        <v>6.8808031963873018E-4</v>
      </c>
      <c r="N24">
        <f t="shared" si="0"/>
        <v>6.8828266169213958E-4</v>
      </c>
      <c r="O24">
        <f t="shared" si="0"/>
        <v>6.8843233481714027E-4</v>
      </c>
      <c r="P24">
        <f t="shared" si="0"/>
        <v>6.8854615226789963E-4</v>
      </c>
      <c r="Q24">
        <f t="shared" si="0"/>
        <v>6.8863471626577979E-4</v>
      </c>
      <c r="R24">
        <f t="shared" si="0"/>
        <v>6.887049811287408E-4</v>
      </c>
      <c r="S24">
        <f t="shared" si="0"/>
        <v>6.8876166209115054E-4</v>
      </c>
      <c r="T24">
        <f t="shared" si="0"/>
        <v>6.8880804788149994E-4</v>
      </c>
      <c r="U24">
        <f t="shared" si="0"/>
        <v>6.8884648895049978E-4</v>
      </c>
      <c r="V24">
        <f t="shared" si="0"/>
        <v>6.8887870130529896E-4</v>
      </c>
      <c r="W24">
        <f t="shared" si="0"/>
        <v>6.8448909355850115E-4</v>
      </c>
      <c r="X24">
        <f t="shared" si="0"/>
        <v>2.7559055118109993E-4</v>
      </c>
      <c r="Y24">
        <f t="shared" si="0"/>
        <v>1.8700787401573996E-3</v>
      </c>
      <c r="Z24" s="3" t="s">
        <v>114</v>
      </c>
    </row>
    <row r="25" spans="1:40">
      <c r="B25" t="s">
        <v>116</v>
      </c>
      <c r="C25">
        <v>0</v>
      </c>
      <c r="D25" s="10">
        <v>4.8729883837070098E-4</v>
      </c>
      <c r="E25" s="10">
        <v>1.0896333279535699E-3</v>
      </c>
      <c r="F25" s="10">
        <v>1.7569809482196001E-3</v>
      </c>
      <c r="G25" s="10">
        <v>2.4364941918535001E-3</v>
      </c>
      <c r="H25" s="10">
        <v>3.1202350028443101E-3</v>
      </c>
      <c r="I25" s="10">
        <v>3.80592559445446E-3</v>
      </c>
      <c r="J25" s="10">
        <v>4.4926733043458601E-3</v>
      </c>
      <c r="K25" s="10">
        <v>5.1800577062567701E-3</v>
      </c>
      <c r="L25" s="10">
        <v>5.86785505037642E-3</v>
      </c>
      <c r="M25" s="10">
        <v>6.5559353700151502E-3</v>
      </c>
      <c r="N25" s="10">
        <v>7.2442180317072898E-3</v>
      </c>
      <c r="O25" s="10">
        <v>7.93265036652443E-3</v>
      </c>
      <c r="P25" s="10">
        <v>8.6211965187923296E-3</v>
      </c>
      <c r="Q25" s="10">
        <v>9.3098312350581094E-3</v>
      </c>
      <c r="R25" s="10">
        <v>9.9985362161868502E-3</v>
      </c>
      <c r="S25" s="10">
        <v>1.0687297878278001E-2</v>
      </c>
      <c r="T25" s="10">
        <v>1.1376105926159501E-2</v>
      </c>
      <c r="U25" s="10">
        <v>1.2064952415110001E-2</v>
      </c>
      <c r="V25" s="10">
        <v>1.2753831116415299E-2</v>
      </c>
      <c r="W25" s="10">
        <v>1.3438320209973801E-2</v>
      </c>
      <c r="X25" s="10">
        <v>1.3713910761154901E-2</v>
      </c>
      <c r="Y25" s="10">
        <v>1.55839895013123E-2</v>
      </c>
      <c r="Z25" s="14">
        <f>(t_in+q_lin*dz*2/(M_dot*cp_in))*9/5+32</f>
        <v>555.68219356569398</v>
      </c>
    </row>
    <row r="26" spans="1:40">
      <c r="A26" t="s">
        <v>117</v>
      </c>
      <c r="B26" s="3" t="s">
        <v>105</v>
      </c>
      <c r="C26" s="6">
        <f>1/3*(4*D26-E26)</f>
        <v>728.28747866666663</v>
      </c>
      <c r="D26" s="25">
        <v>728.12333100000001</v>
      </c>
      <c r="E26" s="6">
        <v>727.63088800000003</v>
      </c>
      <c r="F26" s="6">
        <v>726.62663999999995</v>
      </c>
      <c r="G26" s="6">
        <v>725.04914799999995</v>
      </c>
      <c r="H26" s="6">
        <v>722.89884900000004</v>
      </c>
      <c r="I26" s="6">
        <v>720.17871300000002</v>
      </c>
      <c r="J26" s="6">
        <v>716.89105700000005</v>
      </c>
      <c r="K26" s="6">
        <v>713.03752299999996</v>
      </c>
      <c r="L26" s="6">
        <v>708.619282</v>
      </c>
      <c r="M26" s="6">
        <v>703.63718200000005</v>
      </c>
      <c r="N26" s="6">
        <v>698.09184700000003</v>
      </c>
      <c r="O26" s="6">
        <v>691.983743</v>
      </c>
      <c r="P26" s="6">
        <v>685.31322</v>
      </c>
      <c r="Q26" s="6">
        <v>678.08053900000004</v>
      </c>
      <c r="R26" s="6">
        <v>670.28589799999997</v>
      </c>
      <c r="S26" s="6">
        <v>661.92944299999999</v>
      </c>
      <c r="T26">
        <v>653.01127899999994</v>
      </c>
      <c r="U26">
        <v>643.53148199999998</v>
      </c>
      <c r="V26">
        <v>633.49009899999999</v>
      </c>
      <c r="W26">
        <v>622.89240099999995</v>
      </c>
      <c r="X26">
        <v>573.68885399999999</v>
      </c>
      <c r="Y26">
        <v>563.62236800000005</v>
      </c>
      <c r="Z26" s="10">
        <f>Z25</f>
        <v>555.68219356569398</v>
      </c>
    </row>
    <row r="27" spans="1:40">
      <c r="A27" t="s">
        <v>117</v>
      </c>
      <c r="B27" s="3" t="s">
        <v>106</v>
      </c>
      <c r="C27" s="6">
        <f>1/3*(4*D27-E27)</f>
        <v>728.57967633333328</v>
      </c>
      <c r="D27" s="24">
        <v>728.41516899999999</v>
      </c>
      <c r="E27">
        <v>727.92164700000001</v>
      </c>
      <c r="F27">
        <v>726.91520400000002</v>
      </c>
      <c r="G27">
        <v>725.33428100000003</v>
      </c>
      <c r="H27">
        <v>723.17933700000003</v>
      </c>
      <c r="I27">
        <v>720.45337900000004</v>
      </c>
      <c r="J27">
        <v>717.15876500000002</v>
      </c>
      <c r="K27">
        <v>713.29718600000001</v>
      </c>
      <c r="L27">
        <v>708.869865</v>
      </c>
      <c r="M27">
        <v>703.87770899999998</v>
      </c>
      <c r="N27">
        <v>698.32140700000002</v>
      </c>
      <c r="O27">
        <v>692.20149400000003</v>
      </c>
      <c r="P27">
        <v>685.51839299999995</v>
      </c>
      <c r="Q27">
        <v>678.27244700000006</v>
      </c>
      <c r="R27">
        <v>670.46393499999999</v>
      </c>
      <c r="S27">
        <v>662.09308899999996</v>
      </c>
      <c r="T27">
        <v>653.16010200000005</v>
      </c>
      <c r="U27">
        <v>643.66513999999995</v>
      </c>
      <c r="V27">
        <v>633.60834399999999</v>
      </c>
      <c r="W27">
        <v>622.99508000000003</v>
      </c>
      <c r="X27">
        <v>573.71884699999998</v>
      </c>
      <c r="Y27">
        <v>563.637113</v>
      </c>
      <c r="Z27" s="10">
        <f>Z26</f>
        <v>555.68219356569398</v>
      </c>
    </row>
    <row r="28" spans="1:40">
      <c r="A28" t="s">
        <v>117</v>
      </c>
      <c r="B28" s="3" t="s">
        <v>107</v>
      </c>
      <c r="C28" s="6">
        <f>1/3*(4*D28-E28)</f>
        <v>728.23450633333334</v>
      </c>
      <c r="D28" s="25">
        <v>728.070424</v>
      </c>
      <c r="E28">
        <v>727.57817699999998</v>
      </c>
      <c r="F28">
        <v>726.57432700000004</v>
      </c>
      <c r="G28">
        <v>724.99745700000005</v>
      </c>
      <c r="H28">
        <v>722.84799999999996</v>
      </c>
      <c r="I28">
        <v>720.12892099999999</v>
      </c>
      <c r="J28">
        <v>716.84252600000002</v>
      </c>
      <c r="K28">
        <v>712.99045000000001</v>
      </c>
      <c r="L28">
        <v>708.57385599999998</v>
      </c>
      <c r="M28">
        <v>703.59357899999998</v>
      </c>
      <c r="N28">
        <v>698.05023300000005</v>
      </c>
      <c r="O28">
        <v>691.94426999999996</v>
      </c>
      <c r="P28">
        <v>685.276027</v>
      </c>
      <c r="Q28">
        <v>678.045751</v>
      </c>
      <c r="R28">
        <v>670.25362500000006</v>
      </c>
      <c r="S28">
        <v>661.89977899999997</v>
      </c>
      <c r="T28">
        <v>652.98430399999995</v>
      </c>
      <c r="U28">
        <v>643.50725599999998</v>
      </c>
      <c r="V28">
        <v>633.46866799999998</v>
      </c>
      <c r="W28">
        <v>622.87379099999998</v>
      </c>
      <c r="X28">
        <v>573.68342299999995</v>
      </c>
      <c r="Y28">
        <v>563.61970099999996</v>
      </c>
      <c r="Z28" s="10">
        <f>Z27</f>
        <v>555.68219356569398</v>
      </c>
    </row>
    <row r="29" spans="1:40">
      <c r="C29" s="5" t="s">
        <v>118</v>
      </c>
    </row>
    <row r="30" spans="1:40">
      <c r="B30" s="3" t="s">
        <v>119</v>
      </c>
      <c r="C30" s="6">
        <f t="shared" ref="C30:Y30" si="1">(C25)*t_ft_m*100</f>
        <v>0</v>
      </c>
      <c r="D30" s="6">
        <f t="shared" si="1"/>
        <v>1.4852917323422801E-2</v>
      </c>
      <c r="E30" s="6">
        <f t="shared" si="1"/>
        <v>3.3212132799357606E-2</v>
      </c>
      <c r="F30" s="6">
        <f t="shared" si="1"/>
        <v>5.3552954999828234E-2</v>
      </c>
      <c r="G30" s="6">
        <f t="shared" si="1"/>
        <v>7.4264586617113867E-2</v>
      </c>
      <c r="H30" s="6">
        <f t="shared" si="1"/>
        <v>9.5105074910194848E-2</v>
      </c>
      <c r="I30" s="6">
        <f t="shared" si="1"/>
        <v>0.11600499271153138</v>
      </c>
      <c r="J30" s="6">
        <f t="shared" si="1"/>
        <v>0.13693713158379225</v>
      </c>
      <c r="K30" s="6">
        <f t="shared" si="1"/>
        <v>0.15788867689247699</v>
      </c>
      <c r="L30" s="6">
        <f t="shared" si="1"/>
        <v>0.17885280872097831</v>
      </c>
      <c r="M30" s="6">
        <f t="shared" si="1"/>
        <v>0.19982556567159876</v>
      </c>
      <c r="N30" s="6">
        <f t="shared" si="1"/>
        <v>0.22080449002824135</v>
      </c>
      <c r="O30" s="6">
        <f t="shared" si="1"/>
        <v>0.24178797643670127</v>
      </c>
      <c r="P30" s="6">
        <f t="shared" si="1"/>
        <v>0.26277493201244206</v>
      </c>
      <c r="Q30" s="6">
        <f t="shared" si="1"/>
        <v>0.28376458702769464</v>
      </c>
      <c r="R30" s="6">
        <f t="shared" si="1"/>
        <v>0.30475638372299679</v>
      </c>
      <c r="S30" s="6">
        <f t="shared" si="1"/>
        <v>0.32574990805970128</v>
      </c>
      <c r="T30" s="6">
        <f t="shared" si="1"/>
        <v>0.34674484623993418</v>
      </c>
      <c r="U30" s="6">
        <f t="shared" si="1"/>
        <v>0.36774095610779434</v>
      </c>
      <c r="V30" s="6">
        <f t="shared" si="1"/>
        <v>0.38873804781144994</v>
      </c>
      <c r="W30" s="6">
        <f t="shared" si="1"/>
        <v>0.40960134383202246</v>
      </c>
      <c r="X30" s="6">
        <f t="shared" si="1"/>
        <v>0.41800137139107751</v>
      </c>
      <c r="Y30" s="6">
        <f t="shared" si="1"/>
        <v>0.47500155839894903</v>
      </c>
      <c r="AB30" s="6"/>
      <c r="AC30" s="4" t="s">
        <v>120</v>
      </c>
      <c r="AD30" s="8"/>
      <c r="AE30" s="3"/>
      <c r="AF30" s="3"/>
      <c r="AG30" s="3"/>
      <c r="AH30" s="3"/>
      <c r="AI30" s="3"/>
      <c r="AJ30" s="3"/>
      <c r="AK30" s="3"/>
    </row>
    <row r="31" spans="1:40">
      <c r="A31" t="s">
        <v>121</v>
      </c>
      <c r="B31" s="3" t="s">
        <v>112</v>
      </c>
      <c r="C31" s="6">
        <f t="shared" ref="C31:V31" si="2">q_dot*1000/(4*k_fuel)*((R_fuel/100)^2)*(1-(C30/R_fuel)^2)+delta_gap+delta_clad</f>
        <v>92.056962314594657</v>
      </c>
      <c r="D31" s="6">
        <f t="shared" si="2"/>
        <v>91.979121372258604</v>
      </c>
      <c r="E31" s="6">
        <f t="shared" si="2"/>
        <v>91.667757602914392</v>
      </c>
      <c r="F31" s="6">
        <f t="shared" si="2"/>
        <v>91.045030064225969</v>
      </c>
      <c r="G31" s="6">
        <f t="shared" si="2"/>
        <v>90.110938756193335</v>
      </c>
      <c r="H31" s="6">
        <f t="shared" si="2"/>
        <v>88.865483678816474</v>
      </c>
      <c r="I31" s="6">
        <f t="shared" si="2"/>
        <v>87.308664832095403</v>
      </c>
      <c r="J31" s="6">
        <f t="shared" si="2"/>
        <v>85.440482216030134</v>
      </c>
      <c r="K31" s="6">
        <f t="shared" si="2"/>
        <v>83.260935830620639</v>
      </c>
      <c r="L31" s="6">
        <f t="shared" si="2"/>
        <v>80.770025675866933</v>
      </c>
      <c r="M31" s="6">
        <f t="shared" si="2"/>
        <v>77.967751751769029</v>
      </c>
      <c r="N31" s="6">
        <f t="shared" si="2"/>
        <v>74.854114058326928</v>
      </c>
      <c r="O31" s="6">
        <f t="shared" si="2"/>
        <v>71.429112595540573</v>
      </c>
      <c r="P31" s="6">
        <f t="shared" si="2"/>
        <v>67.692747363410049</v>
      </c>
      <c r="Q31" s="6">
        <f t="shared" si="2"/>
        <v>63.645018361935293</v>
      </c>
      <c r="R31" s="6">
        <f t="shared" si="2"/>
        <v>59.285925591116275</v>
      </c>
      <c r="S31" s="6">
        <f t="shared" si="2"/>
        <v>54.615469050953301</v>
      </c>
      <c r="T31" s="6">
        <f t="shared" si="2"/>
        <v>49.633648741445903</v>
      </c>
      <c r="U31" s="6">
        <f t="shared" si="2"/>
        <v>44.340464662593696</v>
      </c>
      <c r="V31" s="6">
        <f t="shared" si="2"/>
        <v>38.735916814398152</v>
      </c>
      <c r="W31" s="6">
        <f>delta_gap+delta_clad</f>
        <v>32.859314104675335</v>
      </c>
      <c r="X31" s="6">
        <f>delta_clad</f>
        <v>5.4876097013893084</v>
      </c>
      <c r="Y31" s="6">
        <v>0</v>
      </c>
      <c r="AA31" s="6">
        <f>-delta_fluid</f>
        <v>-3.9637284808690443</v>
      </c>
      <c r="AB31" s="3" t="s">
        <v>105</v>
      </c>
      <c r="AC31" s="7">
        <f t="shared" ref="AC31:AN33" si="3">C32-C$31</f>
        <v>-0.57634527755766385</v>
      </c>
      <c r="AD31" s="7">
        <f t="shared" si="3"/>
        <v>-0.58969748336973282</v>
      </c>
      <c r="AE31" s="7">
        <f t="shared" si="3"/>
        <v>-0.55191315846995792</v>
      </c>
      <c r="AF31" s="7">
        <f t="shared" si="3"/>
        <v>-0.4871011753371306</v>
      </c>
      <c r="AG31" s="7">
        <f t="shared" si="3"/>
        <v>-0.42939431174895049</v>
      </c>
      <c r="AH31" s="7">
        <f t="shared" si="3"/>
        <v>-0.37854978992758959</v>
      </c>
      <c r="AI31" s="7">
        <f t="shared" si="3"/>
        <v>-0.33291760987319208</v>
      </c>
      <c r="AJ31" s="7">
        <f t="shared" si="3"/>
        <v>-0.2912105493634698</v>
      </c>
      <c r="AK31" s="7">
        <f t="shared" si="3"/>
        <v>-0.25251638617623939</v>
      </c>
      <c r="AL31" s="7">
        <f t="shared" si="3"/>
        <v>-0.21618456475584935</v>
      </c>
      <c r="AM31" s="7">
        <f t="shared" si="3"/>
        <v>-0.18174397399124587</v>
      </c>
      <c r="AN31" s="7">
        <f t="shared" si="3"/>
        <v>-0.1488479472158275</v>
      </c>
    </row>
    <row r="32" spans="1:40">
      <c r="A32" t="s">
        <v>121</v>
      </c>
      <c r="B32" s="3" t="s">
        <v>105</v>
      </c>
      <c r="C32" s="6">
        <f t="shared" ref="C32:Y32" si="4">(C26-$Y26)*t_R_K</f>
        <v>91.480617037036993</v>
      </c>
      <c r="D32" s="6">
        <f t="shared" si="4"/>
        <v>91.389423888888871</v>
      </c>
      <c r="E32" s="6">
        <f t="shared" si="4"/>
        <v>91.115844444444434</v>
      </c>
      <c r="F32" s="6">
        <f t="shared" si="4"/>
        <v>90.557928888888839</v>
      </c>
      <c r="G32" s="6">
        <f t="shared" si="4"/>
        <v>89.681544444444384</v>
      </c>
      <c r="H32" s="6">
        <f t="shared" si="4"/>
        <v>88.486933888888885</v>
      </c>
      <c r="I32" s="6">
        <f t="shared" si="4"/>
        <v>86.975747222222211</v>
      </c>
      <c r="J32" s="6">
        <f t="shared" si="4"/>
        <v>85.149271666666664</v>
      </c>
      <c r="K32" s="6">
        <f t="shared" si="4"/>
        <v>83.008419444444399</v>
      </c>
      <c r="L32" s="6">
        <f t="shared" si="4"/>
        <v>80.553841111111083</v>
      </c>
      <c r="M32" s="6">
        <f t="shared" si="4"/>
        <v>77.786007777777783</v>
      </c>
      <c r="N32" s="6">
        <f t="shared" si="4"/>
        <v>74.705266111111101</v>
      </c>
      <c r="O32" s="6">
        <f t="shared" si="4"/>
        <v>71.311874999999972</v>
      </c>
      <c r="P32" s="6">
        <f t="shared" si="4"/>
        <v>67.606028888888858</v>
      </c>
      <c r="Q32" s="6">
        <f t="shared" si="4"/>
        <v>63.587872777777775</v>
      </c>
      <c r="R32" s="6">
        <f t="shared" si="4"/>
        <v>59.257516666666625</v>
      </c>
      <c r="S32" s="6">
        <f t="shared" si="4"/>
        <v>54.615041666666635</v>
      </c>
      <c r="T32" s="6">
        <f t="shared" si="4"/>
        <v>49.660506111111054</v>
      </c>
      <c r="U32" s="6">
        <f t="shared" si="4"/>
        <v>44.393952222222183</v>
      </c>
      <c r="V32" s="6">
        <f t="shared" si="4"/>
        <v>38.815406111111074</v>
      </c>
      <c r="W32" s="6">
        <f t="shared" si="4"/>
        <v>32.927796111111057</v>
      </c>
      <c r="X32" s="6">
        <f t="shared" si="4"/>
        <v>5.59249222222219</v>
      </c>
      <c r="Y32" s="6">
        <f t="shared" si="4"/>
        <v>0</v>
      </c>
      <c r="AA32" s="6">
        <f>(Z26-$Y26)*t_R_K</f>
        <v>-4.4112080190589298</v>
      </c>
      <c r="AB32" s="3" t="s">
        <v>106</v>
      </c>
      <c r="AC32" s="7">
        <f t="shared" si="3"/>
        <v>-0.42220490718727888</v>
      </c>
      <c r="AD32" s="7">
        <f t="shared" si="3"/>
        <v>-0.43575692781415398</v>
      </c>
      <c r="AE32" s="7">
        <f t="shared" si="3"/>
        <v>-0.3985720473588259</v>
      </c>
      <c r="AF32" s="7">
        <f t="shared" si="3"/>
        <v>-0.33497950867040061</v>
      </c>
      <c r="AG32" s="7">
        <f t="shared" si="3"/>
        <v>-0.27917875619331767</v>
      </c>
      <c r="AH32" s="7">
        <f t="shared" si="3"/>
        <v>-0.2309147899275672</v>
      </c>
      <c r="AI32" s="7">
        <f t="shared" si="3"/>
        <v>-0.18851705431760024</v>
      </c>
      <c r="AJ32" s="7">
        <f t="shared" si="3"/>
        <v>-0.15067554936345573</v>
      </c>
      <c r="AK32" s="7">
        <f t="shared" si="3"/>
        <v>-0.11645083062063577</v>
      </c>
      <c r="AL32" s="7">
        <f t="shared" si="3"/>
        <v>-8.5163453644710785E-2</v>
      </c>
      <c r="AM32" s="7">
        <f t="shared" si="3"/>
        <v>-5.630952954680879E-2</v>
      </c>
      <c r="AN32" s="7">
        <f t="shared" si="3"/>
        <v>-2.9506280549128405E-2</v>
      </c>
    </row>
    <row r="33" spans="1:41">
      <c r="A33" t="s">
        <v>121</v>
      </c>
      <c r="B33" s="3" t="s">
        <v>106</v>
      </c>
      <c r="C33" s="6">
        <f t="shared" ref="C33:Y33" si="5">(C27-$Y27)*t_R_K</f>
        <v>91.634757407407378</v>
      </c>
      <c r="D33" s="6">
        <f t="shared" si="5"/>
        <v>91.54336444444445</v>
      </c>
      <c r="E33" s="6">
        <f t="shared" si="5"/>
        <v>91.269185555555566</v>
      </c>
      <c r="F33" s="6">
        <f t="shared" si="5"/>
        <v>90.710050555555569</v>
      </c>
      <c r="G33" s="6">
        <f t="shared" si="5"/>
        <v>89.831760000000017</v>
      </c>
      <c r="H33" s="6">
        <f t="shared" si="5"/>
        <v>88.634568888888907</v>
      </c>
      <c r="I33" s="6">
        <f t="shared" si="5"/>
        <v>87.120147777777802</v>
      </c>
      <c r="J33" s="6">
        <f t="shared" si="5"/>
        <v>85.289806666666678</v>
      </c>
      <c r="K33" s="6">
        <f t="shared" si="5"/>
        <v>83.144485000000003</v>
      </c>
      <c r="L33" s="6">
        <f t="shared" si="5"/>
        <v>80.684862222222222</v>
      </c>
      <c r="M33" s="6">
        <f t="shared" si="5"/>
        <v>77.91144222222222</v>
      </c>
      <c r="N33" s="6">
        <f t="shared" si="5"/>
        <v>74.8246077777778</v>
      </c>
      <c r="O33" s="6">
        <f t="shared" si="5"/>
        <v>71.424656111111133</v>
      </c>
      <c r="P33" s="6">
        <f t="shared" si="5"/>
        <v>67.711822222222196</v>
      </c>
      <c r="Q33" s="6">
        <f t="shared" si="5"/>
        <v>63.686296666666699</v>
      </c>
      <c r="R33" s="6">
        <f t="shared" si="5"/>
        <v>59.348234444444444</v>
      </c>
      <c r="S33" s="6">
        <f t="shared" si="5"/>
        <v>54.697764444444424</v>
      </c>
      <c r="T33" s="6">
        <f t="shared" si="5"/>
        <v>49.734993888888923</v>
      </c>
      <c r="U33" s="6">
        <f t="shared" si="5"/>
        <v>44.460014999999977</v>
      </c>
      <c r="V33" s="6">
        <f t="shared" si="5"/>
        <v>38.872906111111106</v>
      </c>
      <c r="W33" s="6">
        <f t="shared" si="5"/>
        <v>32.976648333333351</v>
      </c>
      <c r="X33" s="6">
        <f t="shared" si="5"/>
        <v>5.6009633333333246</v>
      </c>
      <c r="Y33" s="6">
        <f t="shared" si="5"/>
        <v>0</v>
      </c>
      <c r="AA33" s="6">
        <f>(Z27-$Y27)*t_R_K</f>
        <v>-4.4193996857255673</v>
      </c>
      <c r="AB33" s="3" t="s">
        <v>107</v>
      </c>
      <c r="AC33" s="7">
        <f t="shared" si="3"/>
        <v>-0.60429268496500299</v>
      </c>
      <c r="AD33" s="7">
        <f t="shared" si="3"/>
        <v>-0.61760859448079941</v>
      </c>
      <c r="AE33" s="7">
        <f t="shared" si="3"/>
        <v>-0.57971538069215001</v>
      </c>
      <c r="AF33" s="7">
        <f t="shared" si="3"/>
        <v>-0.51468228644814928</v>
      </c>
      <c r="AG33" s="7">
        <f t="shared" si="3"/>
        <v>-0.45662986730438604</v>
      </c>
      <c r="AH33" s="7">
        <f t="shared" si="3"/>
        <v>-0.40531756770536731</v>
      </c>
      <c r="AI33" s="7">
        <f t="shared" si="3"/>
        <v>-0.35909816542871908</v>
      </c>
      <c r="AJ33" s="7">
        <f t="shared" si="3"/>
        <v>-0.31669054936342889</v>
      </c>
      <c r="AK33" s="7">
        <f t="shared" si="3"/>
        <v>-0.27718638617616875</v>
      </c>
      <c r="AL33" s="7">
        <f t="shared" si="3"/>
        <v>-0.23993956475581513</v>
      </c>
      <c r="AM33" s="7">
        <f t="shared" si="3"/>
        <v>-0.20448619621346609</v>
      </c>
      <c r="AN33" s="7">
        <f t="shared" si="3"/>
        <v>-0.17048516943799541</v>
      </c>
    </row>
    <row r="34" spans="1:41">
      <c r="A34" t="s">
        <v>121</v>
      </c>
      <c r="B34" s="3" t="s">
        <v>107</v>
      </c>
      <c r="C34" s="6">
        <f t="shared" ref="C34:Y34" si="6">(C28-$Y28)*t_R_K</f>
        <v>91.452669629629654</v>
      </c>
      <c r="D34" s="6">
        <f t="shared" si="6"/>
        <v>91.361512777777804</v>
      </c>
      <c r="E34" s="6">
        <f t="shared" si="6"/>
        <v>91.088042222222242</v>
      </c>
      <c r="F34" s="6">
        <f t="shared" si="6"/>
        <v>90.53034777777782</v>
      </c>
      <c r="G34" s="6">
        <f t="shared" si="6"/>
        <v>89.654308888888949</v>
      </c>
      <c r="H34" s="6">
        <f t="shared" si="6"/>
        <v>88.460166111111107</v>
      </c>
      <c r="I34" s="6">
        <f t="shared" si="6"/>
        <v>86.949566666666684</v>
      </c>
      <c r="J34" s="6">
        <f t="shared" si="6"/>
        <v>85.123791666666705</v>
      </c>
      <c r="K34" s="6">
        <f t="shared" si="6"/>
        <v>82.98374944444447</v>
      </c>
      <c r="L34" s="6">
        <f t="shared" si="6"/>
        <v>80.530086111111117</v>
      </c>
      <c r="M34" s="6">
        <f t="shared" si="6"/>
        <v>77.763265555555563</v>
      </c>
      <c r="N34" s="6">
        <f t="shared" si="6"/>
        <v>74.683628888888933</v>
      </c>
      <c r="O34" s="6">
        <f t="shared" si="6"/>
        <v>71.291427222222225</v>
      </c>
      <c r="P34" s="6">
        <f t="shared" si="6"/>
        <v>67.586847777777805</v>
      </c>
      <c r="Q34" s="6">
        <f t="shared" si="6"/>
        <v>63.570027777777796</v>
      </c>
      <c r="R34" s="6">
        <f t="shared" si="6"/>
        <v>59.24106888888894</v>
      </c>
      <c r="S34" s="6">
        <f t="shared" si="6"/>
        <v>54.600043333333339</v>
      </c>
      <c r="T34" s="6">
        <f t="shared" si="6"/>
        <v>49.647001666666661</v>
      </c>
      <c r="U34" s="6">
        <f t="shared" si="6"/>
        <v>44.381975000000011</v>
      </c>
      <c r="V34" s="6">
        <f t="shared" si="6"/>
        <v>38.804981666666677</v>
      </c>
      <c r="W34" s="6">
        <f t="shared" si="6"/>
        <v>32.918938888888903</v>
      </c>
      <c r="X34" s="6">
        <f t="shared" si="6"/>
        <v>5.5909566666666581</v>
      </c>
      <c r="Y34" s="6">
        <f t="shared" si="6"/>
        <v>0</v>
      </c>
      <c r="AA34" s="6">
        <f>(Z28-$Y28)*t_R_K</f>
        <v>-4.4097263523922141</v>
      </c>
    </row>
    <row r="35" spans="1:41"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41">
      <c r="C36" s="5" t="s">
        <v>122</v>
      </c>
    </row>
    <row r="37" spans="1:41">
      <c r="B37" s="3" t="s">
        <v>119</v>
      </c>
      <c r="C37" s="8">
        <f t="shared" ref="C37:O37" si="7">(C25)*t_ft_m*100</f>
        <v>0</v>
      </c>
      <c r="D37" s="8">
        <f t="shared" si="7"/>
        <v>1.4852917323422801E-2</v>
      </c>
      <c r="E37" s="8">
        <f t="shared" si="7"/>
        <v>3.3212132799357606E-2</v>
      </c>
      <c r="F37" s="8">
        <f t="shared" si="7"/>
        <v>5.3552954999828234E-2</v>
      </c>
      <c r="G37" s="8">
        <f t="shared" si="7"/>
        <v>7.4264586617113867E-2</v>
      </c>
      <c r="H37" s="8">
        <f t="shared" si="7"/>
        <v>9.5105074910194848E-2</v>
      </c>
      <c r="I37" s="8">
        <f t="shared" si="7"/>
        <v>0.11600499271153138</v>
      </c>
      <c r="J37" s="8">
        <f t="shared" si="7"/>
        <v>0.13693713158379225</v>
      </c>
      <c r="K37" s="8">
        <f t="shared" si="7"/>
        <v>0.15788867689247699</v>
      </c>
      <c r="L37" s="8">
        <f t="shared" si="7"/>
        <v>0.17885280872097831</v>
      </c>
      <c r="M37" s="8">
        <f t="shared" si="7"/>
        <v>0.19982556567159876</v>
      </c>
      <c r="N37" s="8">
        <f t="shared" si="7"/>
        <v>0.22080449002824135</v>
      </c>
      <c r="O37" s="8">
        <f t="shared" si="7"/>
        <v>0.24178797643670127</v>
      </c>
      <c r="P37" s="8"/>
    </row>
    <row r="38" spans="1:41">
      <c r="A38" t="s">
        <v>121</v>
      </c>
      <c r="B38" s="3" t="s">
        <v>112</v>
      </c>
      <c r="C38" s="6">
        <f t="shared" ref="C38:Y38" si="8">C31+$AA38-$AA31</f>
        <v>386.95524277640487</v>
      </c>
      <c r="D38" s="6">
        <f t="shared" si="8"/>
        <v>386.87740183406879</v>
      </c>
      <c r="E38" s="6">
        <f t="shared" si="8"/>
        <v>386.56603806472458</v>
      </c>
      <c r="F38" s="6">
        <f t="shared" si="8"/>
        <v>385.94331052603616</v>
      </c>
      <c r="G38" s="6">
        <f t="shared" si="8"/>
        <v>385.00921921800352</v>
      </c>
      <c r="H38" s="6">
        <f t="shared" si="8"/>
        <v>383.76376414062668</v>
      </c>
      <c r="I38" s="6">
        <f t="shared" si="8"/>
        <v>382.20694529390562</v>
      </c>
      <c r="J38" s="6">
        <f t="shared" si="8"/>
        <v>380.33876267784035</v>
      </c>
      <c r="K38" s="6">
        <f t="shared" si="8"/>
        <v>378.15921629243081</v>
      </c>
      <c r="L38" s="6">
        <f t="shared" si="8"/>
        <v>375.66830613767712</v>
      </c>
      <c r="M38" s="6">
        <f t="shared" si="8"/>
        <v>372.86603221357922</v>
      </c>
      <c r="N38" s="6">
        <f t="shared" si="8"/>
        <v>369.7523945201371</v>
      </c>
      <c r="O38" s="6">
        <f t="shared" si="8"/>
        <v>366.32739305735078</v>
      </c>
      <c r="P38" s="6">
        <f t="shared" si="8"/>
        <v>362.59102782522024</v>
      </c>
      <c r="Q38" s="6">
        <f t="shared" si="8"/>
        <v>358.54329882374549</v>
      </c>
      <c r="R38" s="6">
        <f t="shared" si="8"/>
        <v>354.18420605292647</v>
      </c>
      <c r="S38" s="6">
        <f t="shared" si="8"/>
        <v>349.51374951276352</v>
      </c>
      <c r="T38" s="6">
        <f t="shared" si="8"/>
        <v>344.53192920325608</v>
      </c>
      <c r="U38" s="6">
        <f t="shared" si="8"/>
        <v>339.23874512440392</v>
      </c>
      <c r="V38" s="6">
        <f t="shared" si="8"/>
        <v>333.63419727620834</v>
      </c>
      <c r="W38" s="6">
        <f t="shared" si="8"/>
        <v>327.75759456648552</v>
      </c>
      <c r="X38" s="6">
        <f t="shared" si="8"/>
        <v>300.38589016319952</v>
      </c>
      <c r="Y38" s="6">
        <f t="shared" si="8"/>
        <v>294.8982804618102</v>
      </c>
      <c r="AA38" s="6">
        <f>5/9*(Z25-32)</f>
        <v>290.93455198094114</v>
      </c>
      <c r="AB38" s="6"/>
      <c r="AC38" s="4" t="s">
        <v>123</v>
      </c>
      <c r="AD38" s="8"/>
      <c r="AE38" s="3"/>
      <c r="AF38" s="3"/>
      <c r="AG38" s="3"/>
      <c r="AH38" s="3"/>
      <c r="AI38" s="3"/>
      <c r="AJ38" s="3"/>
      <c r="AK38" s="3"/>
    </row>
    <row r="39" spans="1:41">
      <c r="A39" t="s">
        <v>121</v>
      </c>
      <c r="B39" s="3" t="s">
        <v>105</v>
      </c>
      <c r="C39" s="6">
        <f t="shared" ref="C39:Y39" si="9">C32+$AA39-$AA32</f>
        <v>386.82637703703705</v>
      </c>
      <c r="D39" s="6">
        <f t="shared" si="9"/>
        <v>386.73518388888891</v>
      </c>
      <c r="E39" s="6">
        <f t="shared" si="9"/>
        <v>386.46160444444445</v>
      </c>
      <c r="F39" s="6">
        <f t="shared" si="9"/>
        <v>385.90368888888889</v>
      </c>
      <c r="G39" s="6">
        <f t="shared" si="9"/>
        <v>385.02730444444444</v>
      </c>
      <c r="H39" s="6">
        <f t="shared" si="9"/>
        <v>383.83269388888891</v>
      </c>
      <c r="I39" s="6">
        <f t="shared" si="9"/>
        <v>382.32150722222224</v>
      </c>
      <c r="J39" s="6">
        <f t="shared" si="9"/>
        <v>380.4950316666667</v>
      </c>
      <c r="K39" s="6">
        <f t="shared" si="9"/>
        <v>378.35417944444441</v>
      </c>
      <c r="L39" s="6">
        <f t="shared" si="9"/>
        <v>375.89960111111111</v>
      </c>
      <c r="M39" s="6">
        <f t="shared" si="9"/>
        <v>373.13176777777784</v>
      </c>
      <c r="N39" s="6">
        <f t="shared" si="9"/>
        <v>370.05102611111113</v>
      </c>
      <c r="O39" s="6">
        <f t="shared" si="9"/>
        <v>366.65763500000003</v>
      </c>
      <c r="P39" s="6">
        <f t="shared" si="9"/>
        <v>362.95178888888893</v>
      </c>
      <c r="Q39" s="6">
        <f t="shared" si="9"/>
        <v>358.9336327777778</v>
      </c>
      <c r="R39" s="6">
        <f t="shared" si="9"/>
        <v>354.60327666666666</v>
      </c>
      <c r="S39" s="6">
        <f t="shared" si="9"/>
        <v>349.96080166666667</v>
      </c>
      <c r="T39" s="6">
        <f t="shared" si="9"/>
        <v>345.00626611111107</v>
      </c>
      <c r="U39" s="6">
        <f t="shared" si="9"/>
        <v>339.73971222222224</v>
      </c>
      <c r="V39" s="6">
        <f t="shared" si="9"/>
        <v>334.16116611111113</v>
      </c>
      <c r="W39" s="6">
        <f t="shared" si="9"/>
        <v>328.27355611111108</v>
      </c>
      <c r="X39" s="6">
        <f t="shared" si="9"/>
        <v>300.93825222222222</v>
      </c>
      <c r="Y39" s="6">
        <f t="shared" si="9"/>
        <v>295.34576000000004</v>
      </c>
      <c r="AA39" s="6">
        <f>5/9*(Z26-32)</f>
        <v>290.93455198094114</v>
      </c>
      <c r="AB39" s="3" t="s">
        <v>105</v>
      </c>
      <c r="AC39" s="15">
        <f t="shared" ref="AC39:AO41" si="10">(C39-C$38)/C$38</f>
        <v>-3.3302492154703206E-4</v>
      </c>
      <c r="AD39" s="15">
        <f t="shared" si="10"/>
        <v>-3.6760468434100173E-4</v>
      </c>
      <c r="AE39" s="15">
        <f t="shared" si="10"/>
        <v>-2.7015725644953694E-4</v>
      </c>
      <c r="AF39" s="15">
        <f t="shared" si="10"/>
        <v>-1.0266180567622608E-4</v>
      </c>
      <c r="AG39" s="15">
        <f t="shared" si="10"/>
        <v>4.6973489304100085E-5</v>
      </c>
      <c r="AH39" s="15">
        <f t="shared" si="10"/>
        <v>1.7961505150594783E-4</v>
      </c>
      <c r="AI39" s="15">
        <f t="shared" si="10"/>
        <v>2.9973795538572361E-4</v>
      </c>
      <c r="AJ39" s="15">
        <f t="shared" si="10"/>
        <v>4.108679003058122E-4</v>
      </c>
      <c r="AK39" s="15">
        <f t="shared" si="10"/>
        <v>5.1555837756664467E-4</v>
      </c>
      <c r="AL39" s="15">
        <f t="shared" si="10"/>
        <v>6.1568934524176551E-4</v>
      </c>
      <c r="AM39" s="15">
        <f t="shared" si="10"/>
        <v>7.1268375566698708E-4</v>
      </c>
      <c r="AN39" s="15">
        <f t="shared" si="10"/>
        <v>8.0765289258393641E-4</v>
      </c>
      <c r="AO39" s="15">
        <f t="shared" si="10"/>
        <v>9.0149398845952697E-4</v>
      </c>
    </row>
    <row r="40" spans="1:41">
      <c r="A40" t="s">
        <v>121</v>
      </c>
      <c r="B40" s="3" t="s">
        <v>106</v>
      </c>
      <c r="C40" s="6">
        <f t="shared" ref="C40:Y40" si="11">C33+$AA40-$AA33</f>
        <v>386.98870907407411</v>
      </c>
      <c r="D40" s="6">
        <f t="shared" si="11"/>
        <v>386.89731611111119</v>
      </c>
      <c r="E40" s="6">
        <f t="shared" si="11"/>
        <v>386.62313722222228</v>
      </c>
      <c r="F40" s="6">
        <f t="shared" si="11"/>
        <v>386.06400222222226</v>
      </c>
      <c r="G40" s="6">
        <f t="shared" si="11"/>
        <v>385.18571166666675</v>
      </c>
      <c r="H40" s="6">
        <f t="shared" si="11"/>
        <v>383.98852055555562</v>
      </c>
      <c r="I40" s="6">
        <f t="shared" si="11"/>
        <v>382.47409944444451</v>
      </c>
      <c r="J40" s="6">
        <f t="shared" si="11"/>
        <v>380.64375833333338</v>
      </c>
      <c r="K40" s="6">
        <f t="shared" si="11"/>
        <v>378.49843666666675</v>
      </c>
      <c r="L40" s="6">
        <f t="shared" si="11"/>
        <v>376.03881388888897</v>
      </c>
      <c r="M40" s="6">
        <f t="shared" si="11"/>
        <v>373.26539388888892</v>
      </c>
      <c r="N40" s="6">
        <f t="shared" si="11"/>
        <v>370.17855944444455</v>
      </c>
      <c r="O40" s="6">
        <f t="shared" si="11"/>
        <v>366.77860777777784</v>
      </c>
      <c r="P40" s="6">
        <f t="shared" si="11"/>
        <v>363.06577388888888</v>
      </c>
      <c r="Q40" s="6">
        <f t="shared" si="11"/>
        <v>359.04024833333341</v>
      </c>
      <c r="R40" s="6">
        <f t="shared" si="11"/>
        <v>354.70218611111113</v>
      </c>
      <c r="S40" s="6">
        <f t="shared" si="11"/>
        <v>350.05171611111115</v>
      </c>
      <c r="T40" s="6">
        <f t="shared" si="11"/>
        <v>345.08894555555565</v>
      </c>
      <c r="U40" s="6">
        <f t="shared" si="11"/>
        <v>339.81396666666672</v>
      </c>
      <c r="V40" s="6">
        <f t="shared" si="11"/>
        <v>334.22685777777781</v>
      </c>
      <c r="W40" s="6">
        <f t="shared" si="11"/>
        <v>328.33060000000006</v>
      </c>
      <c r="X40" s="6">
        <f t="shared" si="11"/>
        <v>300.95491500000003</v>
      </c>
      <c r="Y40" s="6">
        <f t="shared" si="11"/>
        <v>295.35395166666672</v>
      </c>
      <c r="AA40" s="6">
        <f>5/9*(Z27-32)</f>
        <v>290.93455198094114</v>
      </c>
      <c r="AB40" s="3" t="s">
        <v>106</v>
      </c>
      <c r="AC40" s="15">
        <f t="shared" si="10"/>
        <v>8.6486223649833325E-5</v>
      </c>
      <c r="AD40" s="15">
        <f t="shared" si="10"/>
        <v>5.1474386841918554E-5</v>
      </c>
      <c r="AE40" s="15">
        <f t="shared" si="10"/>
        <v>1.4770867555660052E-4</v>
      </c>
      <c r="AF40" s="15">
        <f t="shared" si="10"/>
        <v>3.1271871514393764E-4</v>
      </c>
      <c r="AG40" s="15">
        <f t="shared" si="10"/>
        <v>4.5841096746124959E-4</v>
      </c>
      <c r="AH40" s="15">
        <f t="shared" si="10"/>
        <v>5.8566346260505067E-4</v>
      </c>
      <c r="AI40" s="15">
        <f t="shared" si="10"/>
        <v>6.9897774969382735E-4</v>
      </c>
      <c r="AJ40" s="15">
        <f t="shared" si="10"/>
        <v>8.0190526294416102E-4</v>
      </c>
      <c r="AK40" s="15">
        <f t="shared" si="10"/>
        <v>8.9703056178754156E-4</v>
      </c>
      <c r="AL40" s="15">
        <f t="shared" si="10"/>
        <v>9.8626300158539482E-4</v>
      </c>
      <c r="AM40" s="15">
        <f t="shared" si="10"/>
        <v>1.0710594176112822E-3</v>
      </c>
      <c r="AN40" s="15">
        <f t="shared" si="10"/>
        <v>1.1525683961033379E-3</v>
      </c>
      <c r="AO40" s="15">
        <f t="shared" si="10"/>
        <v>1.2317253063202404E-3</v>
      </c>
    </row>
    <row r="41" spans="1:41">
      <c r="A41" t="s">
        <v>121</v>
      </c>
      <c r="B41" s="3" t="s">
        <v>107</v>
      </c>
      <c r="C41" s="6">
        <f t="shared" ref="C41:Y41" si="12">C34+$AA41-$AA34</f>
        <v>386.79694796296303</v>
      </c>
      <c r="D41" s="6">
        <f t="shared" si="12"/>
        <v>386.70579111111118</v>
      </c>
      <c r="E41" s="6">
        <f t="shared" si="12"/>
        <v>386.43232055555563</v>
      </c>
      <c r="F41" s="6">
        <f t="shared" si="12"/>
        <v>385.87462611111118</v>
      </c>
      <c r="G41" s="6">
        <f t="shared" si="12"/>
        <v>384.99858722222234</v>
      </c>
      <c r="H41" s="6">
        <f t="shared" si="12"/>
        <v>383.80444444444447</v>
      </c>
      <c r="I41" s="6">
        <f t="shared" si="12"/>
        <v>382.29384500000003</v>
      </c>
      <c r="J41" s="6">
        <f t="shared" si="12"/>
        <v>380.46807000000007</v>
      </c>
      <c r="K41" s="6">
        <f t="shared" si="12"/>
        <v>378.32802777777783</v>
      </c>
      <c r="L41" s="6">
        <f t="shared" si="12"/>
        <v>375.8743644444445</v>
      </c>
      <c r="M41" s="6">
        <f t="shared" si="12"/>
        <v>373.10754388888893</v>
      </c>
      <c r="N41" s="6">
        <f t="shared" si="12"/>
        <v>370.02790722222232</v>
      </c>
      <c r="O41" s="6">
        <f t="shared" si="12"/>
        <v>366.6357055555556</v>
      </c>
      <c r="P41" s="6">
        <f t="shared" si="12"/>
        <v>362.93112611111115</v>
      </c>
      <c r="Q41" s="6">
        <f t="shared" si="12"/>
        <v>358.91430611111116</v>
      </c>
      <c r="R41" s="6">
        <f t="shared" si="12"/>
        <v>354.58534722222231</v>
      </c>
      <c r="S41" s="6">
        <f t="shared" si="12"/>
        <v>349.94432166666672</v>
      </c>
      <c r="T41" s="6">
        <f t="shared" si="12"/>
        <v>344.99128000000002</v>
      </c>
      <c r="U41" s="6">
        <f t="shared" si="12"/>
        <v>339.72625333333337</v>
      </c>
      <c r="V41" s="6">
        <f t="shared" si="12"/>
        <v>334.14926000000003</v>
      </c>
      <c r="W41" s="6">
        <f t="shared" si="12"/>
        <v>328.26321722222224</v>
      </c>
      <c r="X41" s="6">
        <f t="shared" si="12"/>
        <v>300.93523500000003</v>
      </c>
      <c r="Y41" s="6">
        <f t="shared" si="12"/>
        <v>295.34427833333336</v>
      </c>
      <c r="AA41" s="6">
        <f>5/9*(Z28-32)</f>
        <v>290.93455198094114</v>
      </c>
      <c r="AB41" s="3" t="s">
        <v>107</v>
      </c>
      <c r="AC41" s="15">
        <f t="shared" si="10"/>
        <v>-4.0907783625329869E-4</v>
      </c>
      <c r="AD41" s="15">
        <f t="shared" si="10"/>
        <v>-4.4357908253119736E-4</v>
      </c>
      <c r="AE41" s="15">
        <f t="shared" si="10"/>
        <v>-3.4591116653283707E-4</v>
      </c>
      <c r="AF41" s="15">
        <f t="shared" si="10"/>
        <v>-1.7796503541247453E-4</v>
      </c>
      <c r="AG41" s="15">
        <f t="shared" si="10"/>
        <v>-2.7614912190354238E-5</v>
      </c>
      <c r="AH41" s="15">
        <f t="shared" si="10"/>
        <v>1.0600350428834954E-4</v>
      </c>
      <c r="AI41" s="15">
        <f t="shared" si="10"/>
        <v>2.27362969627856E-4</v>
      </c>
      <c r="AJ41" s="15">
        <f t="shared" si="10"/>
        <v>3.3997934170397964E-4</v>
      </c>
      <c r="AK41" s="15">
        <f t="shared" si="10"/>
        <v>4.464032028680719E-4</v>
      </c>
      <c r="AL41" s="15">
        <f t="shared" si="10"/>
        <v>5.4851128881726113E-4</v>
      </c>
      <c r="AM41" s="15">
        <f t="shared" si="10"/>
        <v>6.4771702017460962E-4</v>
      </c>
      <c r="AN41" s="15">
        <f t="shared" si="10"/>
        <v>7.4512756690266169E-4</v>
      </c>
      <c r="AO41" s="15">
        <f t="shared" si="10"/>
        <v>8.4163102199829036E-4</v>
      </c>
    </row>
    <row r="42" spans="1:41"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4" spans="1:41">
      <c r="A44">
        <v>0</v>
      </c>
      <c r="B44" s="10">
        <v>4.8729883837070098E-4</v>
      </c>
      <c r="C44" s="10">
        <v>1.0896333279535699E-3</v>
      </c>
      <c r="D44" s="10">
        <v>1.7569809482196001E-3</v>
      </c>
      <c r="E44" s="10">
        <v>2.4364941918535001E-3</v>
      </c>
      <c r="F44" s="10">
        <v>3.1202350028443101E-3</v>
      </c>
      <c r="G44" s="10">
        <v>3.80592559445446E-3</v>
      </c>
      <c r="H44" s="10">
        <v>4.4926733043458601E-3</v>
      </c>
      <c r="I44" s="10">
        <v>5.1800577062567701E-3</v>
      </c>
      <c r="J44" s="10">
        <v>5.86785505037642E-3</v>
      </c>
      <c r="K44" s="10">
        <v>6.5559353700151502E-3</v>
      </c>
      <c r="L44" s="10">
        <v>7.2442180317072898E-3</v>
      </c>
      <c r="M44" s="10">
        <v>7.93265036652443E-3</v>
      </c>
      <c r="N44" s="10">
        <v>8.6211965187923296E-3</v>
      </c>
      <c r="O44" s="10">
        <v>9.3098312350581094E-3</v>
      </c>
      <c r="P44" s="10">
        <v>9.9985362161868502E-3</v>
      </c>
      <c r="Q44" s="10">
        <v>1.0687297878278001E-2</v>
      </c>
      <c r="R44" s="10">
        <v>1.1376105926159501E-2</v>
      </c>
      <c r="S44" s="10">
        <v>1.2064952415110001E-2</v>
      </c>
      <c r="T44" s="10">
        <v>1.2753831116415299E-2</v>
      </c>
      <c r="U44" s="10">
        <v>1.3438320209973801E-2</v>
      </c>
      <c r="V44" s="10">
        <v>1.3713910761154901E-2</v>
      </c>
      <c r="W44" s="10">
        <v>1.55839895013123E-2</v>
      </c>
    </row>
    <row r="45" spans="1:41">
      <c r="C45" s="3"/>
      <c r="D45" s="3" t="s">
        <v>124</v>
      </c>
    </row>
    <row r="46" spans="1:41">
      <c r="A46">
        <v>679.15262399999995</v>
      </c>
      <c r="B46" s="6">
        <v>678.65910199999996</v>
      </c>
      <c r="C46" s="6">
        <v>677.65265799999997</v>
      </c>
      <c r="D46" s="6">
        <v>676.07173599999999</v>
      </c>
      <c r="E46" s="6">
        <v>673.91679099999999</v>
      </c>
      <c r="F46" s="6">
        <v>671.190834</v>
      </c>
      <c r="G46" s="6">
        <v>667.89621999999997</v>
      </c>
      <c r="H46" s="6">
        <v>664.03463999999997</v>
      </c>
      <c r="I46" s="6">
        <v>659.60731899999996</v>
      </c>
      <c r="J46" s="6">
        <v>654.61516300000005</v>
      </c>
      <c r="K46" s="6">
        <v>649.05886099999998</v>
      </c>
      <c r="L46" s="6">
        <v>642.93894799999998</v>
      </c>
      <c r="M46" s="6">
        <v>636.25584800000001</v>
      </c>
      <c r="N46" s="6">
        <v>629.00990200000001</v>
      </c>
      <c r="O46" s="6">
        <v>621.20138999999995</v>
      </c>
      <c r="P46" s="6">
        <v>612.83054300000003</v>
      </c>
      <c r="Q46">
        <v>603.89755700000001</v>
      </c>
      <c r="R46">
        <v>594.40259500000002</v>
      </c>
      <c r="S46">
        <v>584.34579900000006</v>
      </c>
      <c r="T46">
        <v>573.73253499999998</v>
      </c>
      <c r="U46">
        <v>573.71884699999998</v>
      </c>
      <c r="V46">
        <v>563.637113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17"/>
  <sheetViews>
    <sheetView zoomScale="90" zoomScaleNormal="90" zoomScalePageLayoutView="90" workbookViewId="0">
      <selection activeCell="K23" sqref="K23"/>
    </sheetView>
  </sheetViews>
  <sheetFormatPr baseColWidth="10" defaultColWidth="8.83203125" defaultRowHeight="12" x14ac:dyDescent="0"/>
  <cols>
    <col min="7" max="7" width="15.5" bestFit="1" customWidth="1"/>
    <col min="12" max="12" width="15.5" bestFit="1" customWidth="1"/>
    <col min="13" max="13" width="9.1640625" bestFit="1" customWidth="1"/>
    <col min="14" max="14" width="11.33203125" bestFit="1" customWidth="1"/>
  </cols>
  <sheetData>
    <row r="7" spans="4:14">
      <c r="E7" s="3"/>
      <c r="F7" s="1" t="s">
        <v>125</v>
      </c>
      <c r="G7" s="1"/>
      <c r="H7" s="1"/>
      <c r="I7" s="1"/>
      <c r="J7" s="16"/>
      <c r="K7" s="21" t="s">
        <v>126</v>
      </c>
      <c r="L7" s="22"/>
      <c r="M7" s="22"/>
      <c r="N7" s="23"/>
    </row>
    <row r="8" spans="4:14">
      <c r="E8" s="3" t="s">
        <v>127</v>
      </c>
      <c r="F8" s="3" t="s">
        <v>128</v>
      </c>
      <c r="G8" s="3" t="s">
        <v>105</v>
      </c>
      <c r="H8" s="3" t="s">
        <v>106</v>
      </c>
      <c r="I8" s="3" t="s">
        <v>107</v>
      </c>
      <c r="J8" s="3"/>
      <c r="K8" s="18" t="s">
        <v>129</v>
      </c>
      <c r="L8" s="19" t="s">
        <v>105</v>
      </c>
      <c r="M8" s="19" t="s">
        <v>106</v>
      </c>
      <c r="N8" s="19" t="s">
        <v>107</v>
      </c>
    </row>
    <row r="9" spans="4:14">
      <c r="D9">
        <v>6</v>
      </c>
      <c r="E9" s="3">
        <v>5</v>
      </c>
      <c r="F9" s="6">
        <f>'SS Rod Radial Profile_10'!$C$31</f>
        <v>92.056962314594657</v>
      </c>
      <c r="G9" s="6">
        <f>'SS Rod Radial Profile_5'!C32</f>
        <v>88.266274629629606</v>
      </c>
      <c r="H9">
        <f>'SS Rod Radial Profile_5'!C33</f>
        <v>88.448237037036961</v>
      </c>
      <c r="I9">
        <f>'SS Rod Radial Profile_5'!C34</f>
        <v>88.235733518518558</v>
      </c>
      <c r="K9" s="18">
        <f>E9</f>
        <v>5</v>
      </c>
      <c r="L9" s="20">
        <f>ABS(G9-$F9)/$F9</f>
        <v>4.1177631649530075E-2</v>
      </c>
      <c r="M9" s="20">
        <f t="shared" ref="L9:N11" si="0">ABS(H9-$F9)/$F9</f>
        <v>3.920100323564088E-2</v>
      </c>
      <c r="N9" s="20">
        <f t="shared" si="0"/>
        <v>4.1509394835530906E-2</v>
      </c>
    </row>
    <row r="10" spans="4:14">
      <c r="D10">
        <v>12</v>
      </c>
      <c r="E10" s="3">
        <v>10</v>
      </c>
      <c r="F10" s="6">
        <f>F9</f>
        <v>92.056962314594657</v>
      </c>
      <c r="G10" s="6">
        <f>'SS Rod Radial Profile_10'!C32</f>
        <v>90.474413148148187</v>
      </c>
      <c r="H10">
        <f>'SS Rod Radial Profile_10'!C33</f>
        <v>90.635888703703756</v>
      </c>
      <c r="I10">
        <f>'SS Rod Radial Profile_10'!C34</f>
        <v>90.445768148148133</v>
      </c>
      <c r="K10" s="18">
        <f t="shared" ref="K10:K11" si="1">E10</f>
        <v>10</v>
      </c>
      <c r="L10" s="20">
        <f t="shared" si="0"/>
        <v>1.7190977484552224E-2</v>
      </c>
      <c r="M10" s="20">
        <f t="shared" si="0"/>
        <v>1.543689445274694E-2</v>
      </c>
      <c r="N10" s="20">
        <f t="shared" si="0"/>
        <v>1.7502143520013648E-2</v>
      </c>
    </row>
    <row r="11" spans="4:14">
      <c r="D11">
        <v>48</v>
      </c>
      <c r="E11" s="3">
        <v>20</v>
      </c>
      <c r="F11" s="6">
        <f>F10</f>
        <v>92.056962314594657</v>
      </c>
      <c r="G11" s="6">
        <f>'SS Rod Radial Profile_20'!C32</f>
        <v>91.480617037036993</v>
      </c>
      <c r="H11">
        <f>'SS Rod Radial Profile_20'!C34</f>
        <v>91.452669629629654</v>
      </c>
      <c r="I11">
        <f>'SS Rod Radial Profile_20'!C34</f>
        <v>91.452669629629654</v>
      </c>
      <c r="K11" s="18">
        <f t="shared" si="1"/>
        <v>20</v>
      </c>
      <c r="L11" s="20">
        <f t="shared" si="0"/>
        <v>6.2607462061160194E-3</v>
      </c>
      <c r="M11" s="20">
        <f t="shared" si="0"/>
        <v>6.5643344052555034E-3</v>
      </c>
      <c r="N11" s="20">
        <f t="shared" si="0"/>
        <v>6.5643344052555034E-3</v>
      </c>
    </row>
    <row r="13" spans="4:14">
      <c r="K13" s="21" t="s">
        <v>126</v>
      </c>
      <c r="L13" s="22"/>
      <c r="M13" s="22"/>
      <c r="N13" s="23"/>
    </row>
    <row r="14" spans="4:14">
      <c r="K14" s="18" t="s">
        <v>129</v>
      </c>
      <c r="L14" s="19" t="s">
        <v>105</v>
      </c>
      <c r="M14" s="19" t="s">
        <v>106</v>
      </c>
      <c r="N14" s="19" t="s">
        <v>107</v>
      </c>
    </row>
    <row r="15" spans="4:14">
      <c r="K15" s="18">
        <v>5</v>
      </c>
      <c r="L15" s="27">
        <f>G9-$F9</f>
        <v>-3.7906876849650502</v>
      </c>
      <c r="M15" s="27">
        <f t="shared" ref="M15:N15" si="2">H9-$F9</f>
        <v>-3.6087252775576957</v>
      </c>
      <c r="N15" s="27">
        <f t="shared" si="2"/>
        <v>-3.8212287960760989</v>
      </c>
    </row>
    <row r="16" spans="4:14">
      <c r="K16" s="18">
        <v>10</v>
      </c>
      <c r="L16" s="27">
        <f t="shared" ref="L16:L17" si="3">G10-$F10</f>
        <v>-1.5825491664464693</v>
      </c>
      <c r="M16" s="27">
        <f t="shared" ref="M16:M17" si="4">H10-$F10</f>
        <v>-1.4210736108909003</v>
      </c>
      <c r="N16" s="27">
        <f t="shared" ref="N16:N17" si="5">I10-$F10</f>
        <v>-1.6111941664465235</v>
      </c>
    </row>
    <row r="17" spans="11:14">
      <c r="K17" s="18">
        <v>20</v>
      </c>
      <c r="L17" s="27">
        <f t="shared" si="3"/>
        <v>-0.57634527755766385</v>
      </c>
      <c r="M17" s="27">
        <f t="shared" si="4"/>
        <v>-0.60429268496500299</v>
      </c>
      <c r="N17" s="27">
        <f t="shared" si="5"/>
        <v>-0.60429268496500299</v>
      </c>
    </row>
  </sheetData>
  <mergeCells count="3">
    <mergeCell ref="F7:I7"/>
    <mergeCell ref="K7:N7"/>
    <mergeCell ref="K13:N13"/>
  </mergeCells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Problem_Setup</vt:lpstr>
      <vt:lpstr>SS Rod Radial Profile_5</vt:lpstr>
      <vt:lpstr>SS Rod Radial Profile_10</vt:lpstr>
      <vt:lpstr>SS Rod Radial Profile_20</vt:lpstr>
      <vt:lpstr>Fuel_Centerline_Temperature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Dances</cp:lastModifiedBy>
  <cp:revision>698</cp:revision>
  <dcterms:created xsi:type="dcterms:W3CDTF">2015-03-08T19:04:55Z</dcterms:created>
  <dcterms:modified xsi:type="dcterms:W3CDTF">2015-03-24T00:52:56Z</dcterms:modified>
  <dc:language>en-US</dc:language>
</cp:coreProperties>
</file>